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6-26\"/>
    </mc:Choice>
  </mc:AlternateContent>
  <bookViews>
    <workbookView xWindow="0" yWindow="0" windowWidth="14070" windowHeight="11325" tabRatio="812" firstSheet="19" activeTab="21"/>
  </bookViews>
  <sheets>
    <sheet name="Объемы КС (Пр.6-26)" sheetId="29" r:id="rId1"/>
    <sheet name="ВМП КС (Пр.6-26)" sheetId="30" r:id="rId2"/>
    <sheet name="ВМП ДС (Пр.16-25)" sheetId="33" r:id="rId3"/>
    <sheet name="ДС (6-26)" sheetId="52" r:id="rId4"/>
    <sheet name="СМП (16-25)" sheetId="1" r:id="rId5"/>
    <sheet name="Обращения 6-26" sheetId="3" r:id="rId6"/>
    <sheet name="Мед.реаб.в АПУ 2026 6-26" sheetId="6" r:id="rId7"/>
    <sheet name="Профилак.Свод (Пр.6-26)    " sheetId="67" r:id="rId8"/>
    <sheet name="Углуб.дисп.1 и 2 эт.(Пр.1-26)" sheetId="4" r:id="rId9"/>
    <sheet name="ДОРЗ 1 и 2 этап (Пр.16-25)" sheetId="5" r:id="rId10"/>
    <sheet name="Пос. по дисп.набл. (Пр.6-26) " sheetId="68" r:id="rId11"/>
    <sheet name="Раз.пос.(Пр.6-26) " sheetId="69" r:id="rId12"/>
    <sheet name="Пос с др.целями(Пр.6-26)  " sheetId="70" r:id="rId13"/>
    <sheet name="Пос. ср.мед.пер. (Пр.6-26)  " sheetId="71" r:id="rId14"/>
    <sheet name="Центры здор.взросл Пр.5-26 " sheetId="66" r:id="rId15"/>
    <sheet name="Компл.посещ. ДН (6-26)" sheetId="36" r:id="rId16"/>
    <sheet name="Дистанц. набл.(3-26)" sheetId="54" r:id="rId17"/>
    <sheet name="КТ, МРТ(3-26)" sheetId="24" r:id="rId18"/>
    <sheet name="УЗИ ССС(6-26)" sheetId="25" r:id="rId19"/>
    <sheet name="ЭИ,ПАИ, МГИ(6-26)" sheetId="26" r:id="rId20"/>
    <sheet name="НИПТ, РНК геп С, Фиброз (6-26)" sheetId="27" r:id="rId21"/>
    <sheet name="ШХНИЗ,ШСД(6-26)" sheetId="55" r:id="rId22"/>
    <sheet name="АПУ неотл.пом.(6-26)" sheetId="23" r:id="rId23"/>
    <sheet name="гемодиализ (5-26)" sheetId="53" r:id="rId24"/>
    <sheet name="Долечивание, кибер-нож (16-25)" sheetId="38" r:id="rId25"/>
    <sheet name="Венерология (16-25)" sheetId="39" r:id="rId26"/>
    <sheet name="Паллиатив. МП (6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неотл.пом.(6-26)'!$A$9:$C$144</definedName>
    <definedName name="_xlnm._FilterDatabase" localSheetId="1" hidden="1">'ВМП КС (Пр.6-26)'!$A$4:$AJ$4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(6-26)'!$A$5:$M$144</definedName>
    <definedName name="_xlnm._FilterDatabase" localSheetId="17" hidden="1">'КТ, МРТ(3-26)'!$D$9:$O$9</definedName>
    <definedName name="_xlnm._FilterDatabase" localSheetId="20" hidden="1">'НИПТ, РНК геп С, Фиброз (6-26)'!$D$9:$H$9</definedName>
    <definedName name="_xlnm._FilterDatabase" localSheetId="5" hidden="1">'Обращения 6-26'!$A$10:$C$145</definedName>
    <definedName name="_xlnm._FilterDatabase" localSheetId="0" hidden="1">'Объемы КС (Пр.6-26)'!$A$8:$WVX$144</definedName>
    <definedName name="_xlnm._FilterDatabase" localSheetId="12" hidden="1">'Пос с др.целями(Пр.6-26)  '!#REF!</definedName>
    <definedName name="_xlnm._FilterDatabase" localSheetId="10" hidden="1">'Пос. по дисп.набл. (Пр.6-26) '!#REF!</definedName>
    <definedName name="_xlnm._FilterDatabase" localSheetId="13" hidden="1">'Пос. ср.мед.пер. (Пр.6-26)  '!#REF!</definedName>
    <definedName name="_xlnm._FilterDatabase" localSheetId="11" hidden="1">'Раз.пос.(Пр.6-26) '!#REF!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ССС(6-26)'!$D$9:$H$9</definedName>
    <definedName name="_xlnm._FilterDatabase" localSheetId="14" hidden="1">'Центры здор.взросл Пр.5-26 '!#REF!</definedName>
    <definedName name="_xlnm._FilterDatabase" localSheetId="21" hidden="1">'ШХНИЗ,ШСД(6-26)'!$A$11:$C$146</definedName>
    <definedName name="_xlnm._FilterDatabase" localSheetId="19" hidden="1">'ЭИ,ПАИ, МГИ(6-26)'!$D$10:$O$10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2">'[10]0-2'!$E:$F</definedName>
    <definedName name="ж0" localSheetId="10">'[11]0-2'!$E:$F</definedName>
    <definedName name="ж0" localSheetId="13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2">'[10]0-2'!$I:$J</definedName>
    <definedName name="ж1" localSheetId="10">'[11]0-2'!$I:$J</definedName>
    <definedName name="ж1" localSheetId="13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2">'[12]2+'!$AK:$AL</definedName>
    <definedName name="ж10" localSheetId="10">'[4]2+'!$AK:$AL</definedName>
    <definedName name="ж10" localSheetId="13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2">'[12]2+'!$OG:$OH</definedName>
    <definedName name="ж100" localSheetId="10">'[4]2+'!$OG:$OH</definedName>
    <definedName name="ж100" localSheetId="13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2">'[12]2+'!$OK:$OL</definedName>
    <definedName name="ж101" localSheetId="10">'[4]2+'!$OK:$OL</definedName>
    <definedName name="ж101" localSheetId="13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2">'[12]2+'!$OO:$OP</definedName>
    <definedName name="ж102" localSheetId="10">'[4]2+'!$OO:$OP</definedName>
    <definedName name="ж102" localSheetId="13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2">'[12]2+'!$OS:$OT</definedName>
    <definedName name="ж103" localSheetId="10">'[4]2+'!$OS:$OT</definedName>
    <definedName name="ж103" localSheetId="13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2">'[12]2+'!$OW:$OX</definedName>
    <definedName name="ж104" localSheetId="10">'[4]2+'!$OW:$OX</definedName>
    <definedName name="ж104" localSheetId="13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2">'[12]2+'!$PA:$PB</definedName>
    <definedName name="ж105" localSheetId="10">'[4]2+'!$PA:$PB</definedName>
    <definedName name="ж105" localSheetId="13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2">'[12]2+'!$PE:$PF</definedName>
    <definedName name="ж106" localSheetId="10">'[4]2+'!$PE:$PF</definedName>
    <definedName name="ж106" localSheetId="13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2">'[12]2+'!$PI:$PJ</definedName>
    <definedName name="ж107" localSheetId="10">'[4]2+'!$PI:$PJ</definedName>
    <definedName name="ж107" localSheetId="13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2">'[12]2+'!$PM:$PN</definedName>
    <definedName name="ж108" localSheetId="10">'[4]2+'!$PM:$PN</definedName>
    <definedName name="ж108" localSheetId="13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2">'[12]2+'!$PQ:$PR</definedName>
    <definedName name="ж109" localSheetId="10">'[4]2+'!$PQ:$PR</definedName>
    <definedName name="ж109" localSheetId="13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2">'[12]2+'!$AO:$AP</definedName>
    <definedName name="ж11" localSheetId="10">'[4]2+'!$AO:$AP</definedName>
    <definedName name="ж11" localSheetId="13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2">'[12]2+'!$PU:$PV</definedName>
    <definedName name="ж110" localSheetId="10">'[4]2+'!$PU:$PV</definedName>
    <definedName name="ж110" localSheetId="13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2">'[12]2+'!$PY:$PZ</definedName>
    <definedName name="ж111" localSheetId="10">'[4]2+'!$PY:$PZ</definedName>
    <definedName name="ж111" localSheetId="13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2">'[12]2+'!$QC:$QD</definedName>
    <definedName name="ж112" localSheetId="10">'[4]2+'!$QC:$QD</definedName>
    <definedName name="ж112" localSheetId="13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2">'[12]2+'!$AS:$AT</definedName>
    <definedName name="ж12" localSheetId="10">'[4]2+'!$AS:$AT</definedName>
    <definedName name="ж12" localSheetId="13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2">'[12]2+'!$AW:$AX</definedName>
    <definedName name="ж13" localSheetId="10">'[4]2+'!$AW:$AX</definedName>
    <definedName name="ж13" localSheetId="13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2">'[12]2+'!$BA:$BB</definedName>
    <definedName name="ж14" localSheetId="10">'[4]2+'!$BA:$BB</definedName>
    <definedName name="ж14" localSheetId="13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2">'[12]2+'!$BE:$BF</definedName>
    <definedName name="ж15" localSheetId="10">'[4]2+'!$BE:$BF</definedName>
    <definedName name="ж15" localSheetId="13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2">'[12]2+'!$BI:$BJ</definedName>
    <definedName name="ж16" localSheetId="10">'[4]2+'!$BI:$BJ</definedName>
    <definedName name="ж16" localSheetId="13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2">'[12]2+'!$BM:$BN</definedName>
    <definedName name="ж17" localSheetId="10">'[4]2+'!$BM:$BN</definedName>
    <definedName name="ж17" localSheetId="13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2">'[12]2+'!$BQ:$BR</definedName>
    <definedName name="ж18" localSheetId="10">'[4]2+'!$BQ:$BR</definedName>
    <definedName name="ж18" localSheetId="13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2">'[12]2+'!$BU:$BV</definedName>
    <definedName name="ж19" localSheetId="10">'[4]2+'!$BU:$BV</definedName>
    <definedName name="ж19" localSheetId="13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2">'[12]2+'!$E:$F</definedName>
    <definedName name="ж2" localSheetId="10">'[4]2+'!$E:$F</definedName>
    <definedName name="ж2" localSheetId="13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2">'[12]2+'!$BY:$BZ</definedName>
    <definedName name="ж20" localSheetId="10">'[4]2+'!$BY:$BZ</definedName>
    <definedName name="ж20" localSheetId="13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2">'[12]2+'!$CC:$CD</definedName>
    <definedName name="ж21" localSheetId="10">'[4]2+'!$CC:$CD</definedName>
    <definedName name="ж21" localSheetId="13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2">'[12]2+'!$CG:$CH</definedName>
    <definedName name="ж22" localSheetId="10">'[4]2+'!$CG:$CH</definedName>
    <definedName name="ж22" localSheetId="13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2">'[12]2+'!$CK:$CL</definedName>
    <definedName name="ж23" localSheetId="10">'[4]2+'!$CK:$CL</definedName>
    <definedName name="ж23" localSheetId="13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2">'[12]2+'!$CO:$CP</definedName>
    <definedName name="ж24" localSheetId="10">'[4]2+'!$CO:$CP</definedName>
    <definedName name="ж24" localSheetId="13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2">'[12]2+'!$CS:$CT</definedName>
    <definedName name="ж25" localSheetId="10">'[4]2+'!$CS:$CT</definedName>
    <definedName name="ж25" localSheetId="13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2">'[12]2+'!$CW:$CX</definedName>
    <definedName name="ж26" localSheetId="10">'[4]2+'!$CW:$CX</definedName>
    <definedName name="ж26" localSheetId="13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2">'[12]2+'!$DA:$DB</definedName>
    <definedName name="ж27" localSheetId="10">'[4]2+'!$DA:$DB</definedName>
    <definedName name="ж27" localSheetId="13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2">'[12]2+'!$DE:$DF</definedName>
    <definedName name="ж28" localSheetId="10">'[4]2+'!$DE:$DF</definedName>
    <definedName name="ж28" localSheetId="13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2">'[12]2+'!$DI:$DJ</definedName>
    <definedName name="ж29" localSheetId="10">'[4]2+'!$DI:$DJ</definedName>
    <definedName name="ж29" localSheetId="13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2">'[12]2+'!$I:$J</definedName>
    <definedName name="ж3" localSheetId="10">'[4]2+'!$I:$J</definedName>
    <definedName name="ж3" localSheetId="13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2">'[12]2+'!$DM:$DN</definedName>
    <definedName name="ж30" localSheetId="10">'[4]2+'!$DM:$DN</definedName>
    <definedName name="ж30" localSheetId="13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2">'[12]2+'!$DQ:$DR</definedName>
    <definedName name="ж31" localSheetId="10">'[4]2+'!$DQ:$DR</definedName>
    <definedName name="ж31" localSheetId="13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2">'[12]2+'!$DU:$DV</definedName>
    <definedName name="ж32" localSheetId="10">'[4]2+'!$DU:$DV</definedName>
    <definedName name="ж32" localSheetId="13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2">'[12]2+'!$DY:$DZ</definedName>
    <definedName name="ж33" localSheetId="10">'[4]2+'!$DY:$DZ</definedName>
    <definedName name="ж33" localSheetId="13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2">'[12]2+'!$EC:$ED</definedName>
    <definedName name="ж34" localSheetId="10">'[4]2+'!$EC:$ED</definedName>
    <definedName name="ж34" localSheetId="13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2">'[12]2+'!$EG:$EH</definedName>
    <definedName name="ж35" localSheetId="10">'[4]2+'!$EG:$EH</definedName>
    <definedName name="ж35" localSheetId="13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2">'[12]2+'!$EK:$EL</definedName>
    <definedName name="ж36" localSheetId="10">'[4]2+'!$EK:$EL</definedName>
    <definedName name="ж36" localSheetId="13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2">'[12]2+'!$EO:$EP</definedName>
    <definedName name="ж37" localSheetId="10">'[4]2+'!$EO:$EP</definedName>
    <definedName name="ж37" localSheetId="13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2">'[12]2+'!$ES:$ET</definedName>
    <definedName name="ж38" localSheetId="10">'[4]2+'!$ES:$ET</definedName>
    <definedName name="ж38" localSheetId="13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2">'[12]2+'!$EW:$EX</definedName>
    <definedName name="ж39" localSheetId="10">'[4]2+'!$EW:$EX</definedName>
    <definedName name="ж39" localSheetId="13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2">'[12]2+'!$M:$N</definedName>
    <definedName name="ж4" localSheetId="10">'[4]2+'!$M:$N</definedName>
    <definedName name="ж4" localSheetId="13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2">'[12]2+'!$FA:$FB</definedName>
    <definedName name="ж40" localSheetId="10">'[4]2+'!$FA:$FB</definedName>
    <definedName name="ж40" localSheetId="13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2">'[12]2+'!$FE:$FF</definedName>
    <definedName name="ж41" localSheetId="10">'[4]2+'!$FE:$FF</definedName>
    <definedName name="ж41" localSheetId="13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2">'[12]2+'!$FI:$FJ</definedName>
    <definedName name="ж42" localSheetId="10">'[4]2+'!$FI:$FJ</definedName>
    <definedName name="ж42" localSheetId="13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2">'[12]2+'!$FM:$FN</definedName>
    <definedName name="ж43" localSheetId="10">'[4]2+'!$FM:$FN</definedName>
    <definedName name="ж43" localSheetId="13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2">'[12]2+'!$FQ:$FR</definedName>
    <definedName name="ж44" localSheetId="10">'[4]2+'!$FQ:$FR</definedName>
    <definedName name="ж44" localSheetId="13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2">'[12]2+'!$FU:$FV</definedName>
    <definedName name="ж45" localSheetId="10">'[4]2+'!$FU:$FV</definedName>
    <definedName name="ж45" localSheetId="13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2">'[12]2+'!$FY:$FZ</definedName>
    <definedName name="ж46" localSheetId="10">'[4]2+'!$FY:$FZ</definedName>
    <definedName name="ж46" localSheetId="13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2">'[12]2+'!$GC:$GD</definedName>
    <definedName name="ж47" localSheetId="10">'[4]2+'!$GC:$GD</definedName>
    <definedName name="ж47" localSheetId="13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2">'[12]2+'!$GG:$GH</definedName>
    <definedName name="ж48" localSheetId="10">'[4]2+'!$GG:$GH</definedName>
    <definedName name="ж48" localSheetId="13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2">'[12]2+'!$GK:$GL</definedName>
    <definedName name="ж49" localSheetId="10">'[4]2+'!$GK:$GL</definedName>
    <definedName name="ж49" localSheetId="13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2">'[12]2+'!$Q:$R</definedName>
    <definedName name="ж5" localSheetId="10">'[4]2+'!$Q:$R</definedName>
    <definedName name="ж5" localSheetId="13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2">'[12]2+'!$GO:$GP</definedName>
    <definedName name="ж50" localSheetId="10">'[4]2+'!$GO:$GP</definedName>
    <definedName name="ж50" localSheetId="13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2">'[12]2+'!$GS:$GT</definedName>
    <definedName name="ж51" localSheetId="10">'[4]2+'!$GS:$GT</definedName>
    <definedName name="ж51" localSheetId="13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2">'[12]2+'!$GW:$GX</definedName>
    <definedName name="ж52" localSheetId="10">'[4]2+'!$GW:$GX</definedName>
    <definedName name="ж52" localSheetId="13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2">'[12]2+'!$HA:$HB</definedName>
    <definedName name="ж53" localSheetId="10">'[4]2+'!$HA:$HB</definedName>
    <definedName name="ж53" localSheetId="13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2">'[12]2+'!$HE:$HF</definedName>
    <definedName name="ж54" localSheetId="10">'[4]2+'!$HE:$HF</definedName>
    <definedName name="ж54" localSheetId="13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2">'[12]2+'!$HI:$HJ</definedName>
    <definedName name="ж55" localSheetId="10">'[4]2+'!$HI:$HJ</definedName>
    <definedName name="ж55" localSheetId="13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2">'[12]2+'!$HM:$HN</definedName>
    <definedName name="ж56" localSheetId="10">'[4]2+'!$HM:$HN</definedName>
    <definedName name="ж56" localSheetId="13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2">'[12]2+'!$HQ:$HR</definedName>
    <definedName name="ж57" localSheetId="10">'[4]2+'!$HQ:$HR</definedName>
    <definedName name="ж57" localSheetId="13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2">'[12]2+'!$HU:$HV</definedName>
    <definedName name="ж58" localSheetId="10">'[4]2+'!$HU:$HV</definedName>
    <definedName name="ж58" localSheetId="13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2">'[12]2+'!$HY:$HZ</definedName>
    <definedName name="ж59" localSheetId="10">'[4]2+'!$HY:$HZ</definedName>
    <definedName name="ж59" localSheetId="13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2">'[12]2+'!$U:$V</definedName>
    <definedName name="ж6" localSheetId="10">'[4]2+'!$U:$V</definedName>
    <definedName name="ж6" localSheetId="13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2">'[12]2+'!$IC:$ID</definedName>
    <definedName name="ж60" localSheetId="10">'[4]2+'!$IC:$ID</definedName>
    <definedName name="ж60" localSheetId="13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2">'[12]2+'!$IG:$IH</definedName>
    <definedName name="ж61" localSheetId="10">'[4]2+'!$IG:$IH</definedName>
    <definedName name="ж61" localSheetId="13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2">'[12]2+'!$IK:$IL</definedName>
    <definedName name="ж62" localSheetId="10">'[4]2+'!$IK:$IL</definedName>
    <definedName name="ж62" localSheetId="13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2">'[12]2+'!$IO:$IP</definedName>
    <definedName name="ж63" localSheetId="10">'[4]2+'!$IO:$IP</definedName>
    <definedName name="ж63" localSheetId="13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2">'[12]2+'!$IS:$IT</definedName>
    <definedName name="ж64" localSheetId="10">'[4]2+'!$IS:$IT</definedName>
    <definedName name="ж64" localSheetId="13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2">'[12]2+'!$IW:$IX</definedName>
    <definedName name="ж65" localSheetId="10">'[4]2+'!$IW:$IX</definedName>
    <definedName name="ж65" localSheetId="13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2">'[12]2+'!$JA:$JB</definedName>
    <definedName name="ж66" localSheetId="10">'[4]2+'!$JA:$JB</definedName>
    <definedName name="ж66" localSheetId="13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2">'[12]2+'!$JE:$JF</definedName>
    <definedName name="ж67" localSheetId="10">'[4]2+'!$JE:$JF</definedName>
    <definedName name="ж67" localSheetId="13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2">'[12]2+'!$JI:$JJ</definedName>
    <definedName name="ж68" localSheetId="10">'[4]2+'!$JI:$JJ</definedName>
    <definedName name="ж68" localSheetId="13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2">'[12]2+'!$JM:$JN</definedName>
    <definedName name="ж69" localSheetId="10">'[4]2+'!$JM:$JN</definedName>
    <definedName name="ж69" localSheetId="13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2">'[12]2+'!$Y:$Z</definedName>
    <definedName name="ж7" localSheetId="10">'[4]2+'!$Y:$Z</definedName>
    <definedName name="ж7" localSheetId="13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2">'[12]2+'!$JQ:$JR</definedName>
    <definedName name="ж70" localSheetId="10">'[4]2+'!$JQ:$JR</definedName>
    <definedName name="ж70" localSheetId="13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2">'[12]2+'!$JU:$JV</definedName>
    <definedName name="ж71" localSheetId="10">'[4]2+'!$JU:$JV</definedName>
    <definedName name="ж71" localSheetId="13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2">'[12]2+'!$JY:$JZ</definedName>
    <definedName name="ж72" localSheetId="10">'[4]2+'!$JY:$JZ</definedName>
    <definedName name="ж72" localSheetId="13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2">'[12]2+'!$KC:$KD</definedName>
    <definedName name="ж73" localSheetId="10">'[4]2+'!$KC:$KD</definedName>
    <definedName name="ж73" localSheetId="13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2">'[12]2+'!$KG:$KH</definedName>
    <definedName name="ж74" localSheetId="10">'[4]2+'!$KG:$KH</definedName>
    <definedName name="ж74" localSheetId="13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2">'[12]2+'!$KK:$KL</definedName>
    <definedName name="ж75" localSheetId="10">'[4]2+'!$KK:$KL</definedName>
    <definedName name="ж75" localSheetId="13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2">'[12]2+'!$KO:$KP</definedName>
    <definedName name="ж76" localSheetId="10">'[4]2+'!$KO:$KP</definedName>
    <definedName name="ж76" localSheetId="13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2">'[12]2+'!$KS:$KT</definedName>
    <definedName name="ж77" localSheetId="10">'[4]2+'!$KS:$KT</definedName>
    <definedName name="ж77" localSheetId="13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2">'[12]2+'!$KW:$KX</definedName>
    <definedName name="ж78" localSheetId="10">'[4]2+'!$KW:$KX</definedName>
    <definedName name="ж78" localSheetId="13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2">'[12]2+'!$LA:$LB</definedName>
    <definedName name="ж79" localSheetId="10">'[4]2+'!$LA:$LB</definedName>
    <definedName name="ж79" localSheetId="13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2">'[12]2+'!$AC:$AD</definedName>
    <definedName name="ж8" localSheetId="10">'[4]2+'!$AC:$AD</definedName>
    <definedName name="ж8" localSheetId="13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2">'[12]2+'!$LE:$LF</definedName>
    <definedName name="ж80" localSheetId="10">'[4]2+'!$LE:$LF</definedName>
    <definedName name="ж80" localSheetId="13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2">'[12]2+'!$LI:$LJ</definedName>
    <definedName name="ж81" localSheetId="10">'[4]2+'!$LI:$LJ</definedName>
    <definedName name="ж81" localSheetId="13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2">'[12]2+'!$LM:$LN</definedName>
    <definedName name="ж82" localSheetId="10">'[4]2+'!$LM:$LN</definedName>
    <definedName name="ж82" localSheetId="13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2">'[12]2+'!$LQ:$LR</definedName>
    <definedName name="ж83" localSheetId="10">'[4]2+'!$LQ:$LR</definedName>
    <definedName name="ж83" localSheetId="13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2">'[12]2+'!$LU:$LV</definedName>
    <definedName name="ж84" localSheetId="10">'[4]2+'!$LU:$LV</definedName>
    <definedName name="ж84" localSheetId="13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2">'[12]2+'!$LY:$LZ</definedName>
    <definedName name="ж85" localSheetId="10">'[4]2+'!$LY:$LZ</definedName>
    <definedName name="ж85" localSheetId="13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2">'[12]2+'!$MC:$MD</definedName>
    <definedName name="ж86" localSheetId="10">'[4]2+'!$MC:$MD</definedName>
    <definedName name="ж86" localSheetId="13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2">'[12]2+'!$MG:$MH</definedName>
    <definedName name="ж87" localSheetId="10">'[4]2+'!$MG:$MH</definedName>
    <definedName name="ж87" localSheetId="13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2">'[12]2+'!$MK:$ML</definedName>
    <definedName name="ж88" localSheetId="10">'[4]2+'!$MK:$ML</definedName>
    <definedName name="ж88" localSheetId="13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2">'[12]2+'!$MO:$MP</definedName>
    <definedName name="ж89" localSheetId="10">'[4]2+'!$MO:$MP</definedName>
    <definedName name="ж89" localSheetId="13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2">'[12]2+'!$AG:$AH</definedName>
    <definedName name="ж9" localSheetId="10">'[4]2+'!$AG:$AH</definedName>
    <definedName name="ж9" localSheetId="13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2">'[12]2+'!$MS:$MT</definedName>
    <definedName name="ж90" localSheetId="10">'[4]2+'!$MS:$MT</definedName>
    <definedName name="ж90" localSheetId="13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2">'[12]2+'!$MW:$MX</definedName>
    <definedName name="ж91" localSheetId="10">'[4]2+'!$MW:$MX</definedName>
    <definedName name="ж91" localSheetId="13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2">'[12]2+'!$NA:$NB</definedName>
    <definedName name="ж92" localSheetId="10">'[4]2+'!$NA:$NB</definedName>
    <definedName name="ж92" localSheetId="13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2">'[12]2+'!$NE:$NF</definedName>
    <definedName name="ж93" localSheetId="10">'[4]2+'!$NE:$NF</definedName>
    <definedName name="ж93" localSheetId="13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2">'[12]2+'!$NI:$NJ</definedName>
    <definedName name="ж94" localSheetId="10">'[4]2+'!$NI:$NJ</definedName>
    <definedName name="ж94" localSheetId="13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2">'[12]2+'!$NM:$NN</definedName>
    <definedName name="ж95" localSheetId="10">'[4]2+'!$NM:$NN</definedName>
    <definedName name="ж95" localSheetId="13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2">'[12]2+'!$NQ:$NR</definedName>
    <definedName name="ж96" localSheetId="10">'[4]2+'!$NQ:$NR</definedName>
    <definedName name="ж96" localSheetId="13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2">'[12]2+'!$NU:$NV</definedName>
    <definedName name="ж97" localSheetId="10">'[4]2+'!$NU:$NV</definedName>
    <definedName name="ж97" localSheetId="13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2">'[12]2+'!$NY:$NZ</definedName>
    <definedName name="ж98" localSheetId="10">'[4]2+'!$NY:$NZ</definedName>
    <definedName name="ж98" localSheetId="13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2">'[12]2+'!$OC:$OD</definedName>
    <definedName name="ж99" localSheetId="10">'[4]2+'!$OC:$OD</definedName>
    <definedName name="ж99" localSheetId="13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2">'[12]0-2'!$D:$E</definedName>
    <definedName name="жж0" localSheetId="10">'[4]0-2'!$D:$E</definedName>
    <definedName name="жж0" localSheetId="13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2">'[12]0-2'!$H:$I</definedName>
    <definedName name="жж1" localSheetId="10">'[4]0-2'!$H:$I</definedName>
    <definedName name="жж1" localSheetId="13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2">'[12]0-2'!$AR:$AS</definedName>
    <definedName name="жж10" localSheetId="10">'[4]0-2'!$AR:$AS</definedName>
    <definedName name="жж10" localSheetId="13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2">'[12]0-2'!$AV:$AW</definedName>
    <definedName name="жж11" localSheetId="10">'[4]0-2'!$AV:$AW</definedName>
    <definedName name="жж11" localSheetId="13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2">'[12]0-2'!$AZ:$BA</definedName>
    <definedName name="жж12" localSheetId="10">'[4]0-2'!$AZ:$BA</definedName>
    <definedName name="жж12" localSheetId="13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2">'[12]0-2'!$BD:$BE</definedName>
    <definedName name="жж13" localSheetId="10">'[4]0-2'!$BD:$BE</definedName>
    <definedName name="жж13" localSheetId="13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2">'[12]0-2'!$BH:$BI</definedName>
    <definedName name="жж14" localSheetId="10">'[4]0-2'!$BH:$BI</definedName>
    <definedName name="жж14" localSheetId="13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2">'[12]0-2'!$BL:$BM</definedName>
    <definedName name="жж15" localSheetId="10">'[4]0-2'!$BL:$BM</definedName>
    <definedName name="жж15" localSheetId="13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2">'[12]0-2'!$BP:$BQ</definedName>
    <definedName name="жж16" localSheetId="10">'[4]0-2'!$BP:$BQ</definedName>
    <definedName name="жж16" localSheetId="13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2">'[12]0-2'!$BT:$BU</definedName>
    <definedName name="жж17" localSheetId="10">'[4]0-2'!$BT:$BU</definedName>
    <definedName name="жж17" localSheetId="13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2">'[12]0-2'!$BX:$BY</definedName>
    <definedName name="жж18" localSheetId="10">'[4]0-2'!$BX:$BY</definedName>
    <definedName name="жж18" localSheetId="13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2">'[12]0-2'!$CB:$CC</definedName>
    <definedName name="жж19" localSheetId="10">'[4]0-2'!$CB:$CC</definedName>
    <definedName name="жж19" localSheetId="13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2">'[12]0-2'!$L:$M</definedName>
    <definedName name="жж2" localSheetId="10">'[4]0-2'!$L:$M</definedName>
    <definedName name="жж2" localSheetId="13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2">'[12]0-2'!$CF:$CG</definedName>
    <definedName name="жж20" localSheetId="10">'[4]0-2'!$CF:$CG</definedName>
    <definedName name="жж20" localSheetId="13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2">'[12]0-2'!$CJ:$CK</definedName>
    <definedName name="жж21" localSheetId="10">'[4]0-2'!$CJ:$CK</definedName>
    <definedName name="жж21" localSheetId="13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2">'[12]0-2'!$CN:$CO</definedName>
    <definedName name="жж22" localSheetId="10">'[4]0-2'!$CN:$CO</definedName>
    <definedName name="жж22" localSheetId="13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2">'[12]0-2'!$CR:$CS</definedName>
    <definedName name="жж23" localSheetId="10">'[4]0-2'!$CR:$CS</definedName>
    <definedName name="жж23" localSheetId="13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2">'[12]0-2'!$P:$Q</definedName>
    <definedName name="жж3" localSheetId="10">'[4]0-2'!$P:$Q</definedName>
    <definedName name="жж3" localSheetId="13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2">'[12]0-2'!$T:$U</definedName>
    <definedName name="жж4" localSheetId="10">'[4]0-2'!$T:$U</definedName>
    <definedName name="жж4" localSheetId="13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2">'[12]0-2'!$X:$Y</definedName>
    <definedName name="жж5" localSheetId="10">'[4]0-2'!$X:$Y</definedName>
    <definedName name="жж5" localSheetId="13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2">'[12]0-2'!$AB:$AC</definedName>
    <definedName name="жж6" localSheetId="10">'[4]0-2'!$AB:$AC</definedName>
    <definedName name="жж6" localSheetId="13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2">'[12]0-2'!$AF:$AG</definedName>
    <definedName name="жж7" localSheetId="10">'[4]0-2'!$AF:$AG</definedName>
    <definedName name="жж7" localSheetId="13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2">'[12]0-2'!$AJ:$AK</definedName>
    <definedName name="жж8" localSheetId="10">'[4]0-2'!$AJ:$AK</definedName>
    <definedName name="жж8" localSheetId="13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2">'[12]0-2'!$AN:$AO</definedName>
    <definedName name="жж9" localSheetId="10">'[4]0-2'!$AN:$AO</definedName>
    <definedName name="жж9" localSheetId="13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неотл.пом.(6-26)'!$4:$5</definedName>
    <definedName name="_xlnm.Print_Titles" localSheetId="1">'ВМП КС (Пр.6-26)'!$B:$B,'ВМП КС (Пр.6-26)'!$3:$4</definedName>
    <definedName name="_xlnm.Print_Titles" localSheetId="16">'Дистанц. набл.(3-26)'!$7:$7</definedName>
    <definedName name="_xlnm.Print_Titles" localSheetId="3">'ДС (6-26)'!#REF!</definedName>
    <definedName name="_xlnm.Print_Titles" localSheetId="17">'КТ, МРТ(3-26)'!$4:$7</definedName>
    <definedName name="_xlnm.Print_Titles" localSheetId="20">'НИПТ, РНК геп С, Фиброз (6-26)'!$5:$7</definedName>
    <definedName name="_xlnm.Print_Titles" localSheetId="5">'Обращения 6-26'!$4:$7</definedName>
    <definedName name="_xlnm.Print_Titles" localSheetId="0">'Объемы КС (Пр.6-26)'!$6:$8</definedName>
    <definedName name="_xlnm.Print_Titles" localSheetId="12">'Пос с др.целями(Пр.6-26)  '!$2:$6</definedName>
    <definedName name="_xlnm.Print_Titles" localSheetId="10">'Пос. по дисп.набл. (Пр.6-26) '!$2:$8</definedName>
    <definedName name="_xlnm.Print_Titles" localSheetId="13">'Пос. ср.мед.пер. (Пр.6-26)  '!$2:$6</definedName>
    <definedName name="_xlnm.Print_Titles" localSheetId="7">'Профилак.Свод (Пр.6-26)    '!$2:$8</definedName>
    <definedName name="_xlnm.Print_Titles" localSheetId="11">'Раз.пос.(Пр.6-26)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ССС(6-26)'!$4:$7</definedName>
    <definedName name="_xlnm.Print_Titles" localSheetId="14">'Центры здор.взросл Пр.5-26 '!$3:$9</definedName>
    <definedName name="_xlnm.Print_Titles" localSheetId="21">'ШХНИЗ,ШСД(6-26)'!$5:$7</definedName>
    <definedName name="_xlnm.Print_Titles" localSheetId="19">'ЭИ,ПАИ, МГИ(6-26)'!$4:$8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2">'[10]0-2'!$B:$C</definedName>
    <definedName name="м0" localSheetId="10">'[11]0-2'!$B:$C</definedName>
    <definedName name="м0" localSheetId="13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2">'[10]0-2'!$G:$H</definedName>
    <definedName name="м1" localSheetId="10">'[11]0-2'!$G:$H</definedName>
    <definedName name="м1" localSheetId="13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2">'[12]2+'!$AI:$AJ</definedName>
    <definedName name="м10" localSheetId="10">'[4]2+'!$AI:$AJ</definedName>
    <definedName name="м10" localSheetId="13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2">'[12]2+'!$OE:$OF</definedName>
    <definedName name="м100" localSheetId="10">'[4]2+'!$OE:$OF</definedName>
    <definedName name="м100" localSheetId="13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2">'[12]2+'!$OI:$OJ</definedName>
    <definedName name="м101" localSheetId="10">'[4]2+'!$OI:$OJ</definedName>
    <definedName name="м101" localSheetId="13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2">'[12]2+'!$OM:$ON</definedName>
    <definedName name="м102" localSheetId="10">'[4]2+'!$OM:$ON</definedName>
    <definedName name="м102" localSheetId="13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2">'[12]2+'!$OQ:$OR</definedName>
    <definedName name="м103" localSheetId="10">'[4]2+'!$OQ:$OR</definedName>
    <definedName name="м103" localSheetId="13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2">'[12]2+'!$OU:$OV</definedName>
    <definedName name="м104" localSheetId="10">'[4]2+'!$OU:$OV</definedName>
    <definedName name="м104" localSheetId="13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2">'[12]2+'!$OY:$OZ</definedName>
    <definedName name="м105" localSheetId="10">'[4]2+'!$OY:$OZ</definedName>
    <definedName name="м105" localSheetId="13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2">'[12]2+'!$PC:$PD</definedName>
    <definedName name="м106" localSheetId="10">'[4]2+'!$PC:$PD</definedName>
    <definedName name="м106" localSheetId="13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2">'[12]2+'!$PG:$PH</definedName>
    <definedName name="м107" localSheetId="10">'[4]2+'!$PG:$PH</definedName>
    <definedName name="м107" localSheetId="13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2">'[12]2+'!$PK:$PL</definedName>
    <definedName name="м108" localSheetId="10">'[4]2+'!$PK:$PL</definedName>
    <definedName name="м108" localSheetId="13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2">'[12]2+'!$PO:$PP</definedName>
    <definedName name="м109" localSheetId="10">'[4]2+'!$PO:$PP</definedName>
    <definedName name="м109" localSheetId="13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2">'[12]2+'!$AM:$AN</definedName>
    <definedName name="м11" localSheetId="10">'[4]2+'!$AM:$AN</definedName>
    <definedName name="м11" localSheetId="13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2">'[12]2+'!$PS:$PT</definedName>
    <definedName name="м110" localSheetId="10">'[4]2+'!$PS:$PT</definedName>
    <definedName name="м110" localSheetId="13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2">'[12]2+'!$PW:$PX</definedName>
    <definedName name="м111" localSheetId="10">'[4]2+'!$PW:$PX</definedName>
    <definedName name="м111" localSheetId="13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2">'[12]2+'!$QA:$QB</definedName>
    <definedName name="м112" localSheetId="10">'[4]2+'!$QA:$QB</definedName>
    <definedName name="м112" localSheetId="13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2">'[12]2+'!$AQ:$AR</definedName>
    <definedName name="м12" localSheetId="10">'[4]2+'!$AQ:$AR</definedName>
    <definedName name="м12" localSheetId="13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2">'[12]2+'!$AU:$AV</definedName>
    <definedName name="м13" localSheetId="10">'[4]2+'!$AU:$AV</definedName>
    <definedName name="м13" localSheetId="13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2">'[12]2+'!$AY:$AZ</definedName>
    <definedName name="м14" localSheetId="10">'[4]2+'!$AY:$AZ</definedName>
    <definedName name="м14" localSheetId="13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2">'[12]2+'!$BC:$BD</definedName>
    <definedName name="м15" localSheetId="10">'[4]2+'!$BC:$BD</definedName>
    <definedName name="м15" localSheetId="13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2">'[12]2+'!$BG:$BH</definedName>
    <definedName name="м16" localSheetId="10">'[4]2+'!$BG:$BH</definedName>
    <definedName name="м16" localSheetId="13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2">'[12]2+'!$BK:$BL</definedName>
    <definedName name="м17" localSheetId="10">'[4]2+'!$BK:$BL</definedName>
    <definedName name="м17" localSheetId="13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2">'[12]2+'!$BO:$BP</definedName>
    <definedName name="м18" localSheetId="10">'[4]2+'!$BO:$BP</definedName>
    <definedName name="м18" localSheetId="13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2">'[12]2+'!$BS:$BT</definedName>
    <definedName name="м19" localSheetId="10">'[4]2+'!$BS:$BT</definedName>
    <definedName name="м19" localSheetId="13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2">'[12]2+'!$C:$D</definedName>
    <definedName name="м2" localSheetId="10">'[4]2+'!$C:$D</definedName>
    <definedName name="м2" localSheetId="13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2">'[12]2+'!$BW:$BX</definedName>
    <definedName name="м20" localSheetId="10">'[4]2+'!$BW:$BX</definedName>
    <definedName name="м20" localSheetId="13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2">'[12]2+'!$CA:$CB</definedName>
    <definedName name="м21" localSheetId="10">'[4]2+'!$CA:$CB</definedName>
    <definedName name="м21" localSheetId="13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2">'[12]2+'!$CE:$CF</definedName>
    <definedName name="м22" localSheetId="10">'[4]2+'!$CE:$CF</definedName>
    <definedName name="м22" localSheetId="13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2">'[12]2+'!$CI:$CJ</definedName>
    <definedName name="м23" localSheetId="10">'[4]2+'!$CI:$CJ</definedName>
    <definedName name="м23" localSheetId="13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2">'[12]2+'!$CM:$CN</definedName>
    <definedName name="м24" localSheetId="10">'[4]2+'!$CM:$CN</definedName>
    <definedName name="м24" localSheetId="13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2">'[12]2+'!$CQ:$CR</definedName>
    <definedName name="м25" localSheetId="10">'[4]2+'!$CQ:$CR</definedName>
    <definedName name="м25" localSheetId="13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2">'[12]2+'!$CU:$CV</definedName>
    <definedName name="м26" localSheetId="10">'[4]2+'!$CU:$CV</definedName>
    <definedName name="м26" localSheetId="13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2">'[12]2+'!$CY:$CZ</definedName>
    <definedName name="м27" localSheetId="10">'[4]2+'!$CY:$CZ</definedName>
    <definedName name="м27" localSheetId="13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2">'[12]2+'!$DC:$DD</definedName>
    <definedName name="м28" localSheetId="10">'[4]2+'!$DC:$DD</definedName>
    <definedName name="м28" localSheetId="13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2">'[12]2+'!$DG:$DH</definedName>
    <definedName name="м29" localSheetId="10">'[4]2+'!$DG:$DH</definedName>
    <definedName name="м29" localSheetId="13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2">'[12]2+'!$G:$H</definedName>
    <definedName name="м3" localSheetId="10">'[4]2+'!$G:$H</definedName>
    <definedName name="м3" localSheetId="13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2">'[12]2+'!$DK:$DL</definedName>
    <definedName name="м30" localSheetId="10">'[4]2+'!$DK:$DL</definedName>
    <definedName name="м30" localSheetId="13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2">'[12]2+'!$DO:$DP</definedName>
    <definedName name="м31" localSheetId="10">'[4]2+'!$DO:$DP</definedName>
    <definedName name="м31" localSheetId="13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2">'[12]2+'!$DS:$DT</definedName>
    <definedName name="м32" localSheetId="10">'[4]2+'!$DS:$DT</definedName>
    <definedName name="м32" localSheetId="13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2">'[12]2+'!$DW:$DX</definedName>
    <definedName name="м33" localSheetId="10">'[4]2+'!$DW:$DX</definedName>
    <definedName name="м33" localSheetId="13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2">'[12]2+'!$EA:$EB</definedName>
    <definedName name="м34" localSheetId="10">'[4]2+'!$EA:$EB</definedName>
    <definedName name="м34" localSheetId="13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2">'[12]2+'!$EE:$EF</definedName>
    <definedName name="м35" localSheetId="10">'[4]2+'!$EE:$EF</definedName>
    <definedName name="м35" localSheetId="13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2">'[12]2+'!$EI:$EJ</definedName>
    <definedName name="м36" localSheetId="10">'[4]2+'!$EI:$EJ</definedName>
    <definedName name="м36" localSheetId="13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2">'[12]2+'!$EM:$EN</definedName>
    <definedName name="м37" localSheetId="10">'[4]2+'!$EM:$EN</definedName>
    <definedName name="м37" localSheetId="13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2">'[12]2+'!$EQ:$ER</definedName>
    <definedName name="м38" localSheetId="10">'[4]2+'!$EQ:$ER</definedName>
    <definedName name="м38" localSheetId="13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2">'[12]2+'!$EU:$EV</definedName>
    <definedName name="м39" localSheetId="10">'[4]2+'!$EU:$EV</definedName>
    <definedName name="м39" localSheetId="13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2">'[12]2+'!$K:$L</definedName>
    <definedName name="м4" localSheetId="10">'[4]2+'!$K:$L</definedName>
    <definedName name="м4" localSheetId="13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2">'[12]2+'!$EY:$EZ</definedName>
    <definedName name="м40" localSheetId="10">'[4]2+'!$EY:$EZ</definedName>
    <definedName name="м40" localSheetId="13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2">'[12]2+'!$FC:$FD</definedName>
    <definedName name="м41" localSheetId="10">'[4]2+'!$FC:$FD</definedName>
    <definedName name="м41" localSheetId="13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2">'[12]2+'!$FG:$FH</definedName>
    <definedName name="м42" localSheetId="10">'[4]2+'!$FG:$FH</definedName>
    <definedName name="м42" localSheetId="13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2">'[12]2+'!$FK:$FL</definedName>
    <definedName name="м43" localSheetId="10">'[4]2+'!$FK:$FL</definedName>
    <definedName name="м43" localSheetId="13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2">'[12]2+'!$FO:$FP</definedName>
    <definedName name="м44" localSheetId="10">'[4]2+'!$FO:$FP</definedName>
    <definedName name="м44" localSheetId="13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2">'[12]2+'!$FS:$FT</definedName>
    <definedName name="м45" localSheetId="10">'[4]2+'!$FS:$FT</definedName>
    <definedName name="м45" localSheetId="13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2">'[12]2+'!$FW:$FX</definedName>
    <definedName name="м46" localSheetId="10">'[4]2+'!$FW:$FX</definedName>
    <definedName name="м46" localSheetId="13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2">'[12]2+'!$GA:$GB</definedName>
    <definedName name="м47" localSheetId="10">'[4]2+'!$GA:$GB</definedName>
    <definedName name="м47" localSheetId="13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2">'[12]2+'!$GE:$GF</definedName>
    <definedName name="м48" localSheetId="10">'[4]2+'!$GE:$GF</definedName>
    <definedName name="м48" localSheetId="13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2">'[12]2+'!$GI:$GJ</definedName>
    <definedName name="м49" localSheetId="10">'[4]2+'!$GI:$GJ</definedName>
    <definedName name="м49" localSheetId="13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2">'[12]2+'!$O:$P</definedName>
    <definedName name="м5" localSheetId="10">'[4]2+'!$O:$P</definedName>
    <definedName name="м5" localSheetId="13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2">'[12]2+'!$GM:$GN</definedName>
    <definedName name="м50" localSheetId="10">'[4]2+'!$GM:$GN</definedName>
    <definedName name="м50" localSheetId="13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2">'[12]2+'!$GQ:$GR</definedName>
    <definedName name="м51" localSheetId="10">'[4]2+'!$GQ:$GR</definedName>
    <definedName name="м51" localSheetId="13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2">'[12]2+'!$GU:$GV</definedName>
    <definedName name="м52" localSheetId="10">'[4]2+'!$GU:$GV</definedName>
    <definedName name="м52" localSheetId="13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2">'[12]2+'!$GY:$GZ</definedName>
    <definedName name="м53" localSheetId="10">'[4]2+'!$GY:$GZ</definedName>
    <definedName name="м53" localSheetId="13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2">'[12]2+'!$HC:$HD</definedName>
    <definedName name="м54" localSheetId="10">'[4]2+'!$HC:$HD</definedName>
    <definedName name="м54" localSheetId="13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2">'[12]2+'!$HG:$HH</definedName>
    <definedName name="м55" localSheetId="10">'[4]2+'!$HG:$HH</definedName>
    <definedName name="м55" localSheetId="13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2">'[12]2+'!$HK:$HL</definedName>
    <definedName name="м56" localSheetId="10">'[4]2+'!$HK:$HL</definedName>
    <definedName name="м56" localSheetId="13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2">'[12]2+'!$HO:$HP</definedName>
    <definedName name="м57" localSheetId="10">'[4]2+'!$HO:$HP</definedName>
    <definedName name="м57" localSheetId="13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2">'[12]2+'!$HS:$HT</definedName>
    <definedName name="м58" localSheetId="10">'[4]2+'!$HS:$HT</definedName>
    <definedName name="м58" localSheetId="13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2">'[12]2+'!$HW:$HX</definedName>
    <definedName name="м59" localSheetId="10">'[4]2+'!$HW:$HX</definedName>
    <definedName name="м59" localSheetId="13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2">'[12]2+'!$S:$T</definedName>
    <definedName name="м6" localSheetId="10">'[4]2+'!$S:$T</definedName>
    <definedName name="м6" localSheetId="13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2">'[12]2+'!$IA:$IB</definedName>
    <definedName name="м60" localSheetId="10">'[4]2+'!$IA:$IB</definedName>
    <definedName name="м60" localSheetId="13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2">'[12]2+'!$IE:$IF</definedName>
    <definedName name="м61" localSheetId="10">'[4]2+'!$IE:$IF</definedName>
    <definedName name="м61" localSheetId="13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2">'[12]2+'!$II:$IJ</definedName>
    <definedName name="м62" localSheetId="10">'[4]2+'!$II:$IJ</definedName>
    <definedName name="м62" localSheetId="13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2">'[12]2+'!$IM:$IN</definedName>
    <definedName name="м63" localSheetId="10">'[4]2+'!$IM:$IN</definedName>
    <definedName name="м63" localSheetId="13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2">'[12]2+'!$IQ:$IR</definedName>
    <definedName name="м64" localSheetId="10">'[4]2+'!$IQ:$IR</definedName>
    <definedName name="м64" localSheetId="13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2">'[12]2+'!$IU:$IV</definedName>
    <definedName name="м65" localSheetId="10">'[4]2+'!$IU:$IV</definedName>
    <definedName name="м65" localSheetId="13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2">'[12]2+'!$IY:$IZ</definedName>
    <definedName name="м66" localSheetId="10">'[4]2+'!$IY:$IZ</definedName>
    <definedName name="м66" localSheetId="13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2">'[12]2+'!$JC:$JD</definedName>
    <definedName name="м67" localSheetId="10">'[4]2+'!$JC:$JD</definedName>
    <definedName name="м67" localSheetId="13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2">'[12]2+'!$JG:$JH</definedName>
    <definedName name="м68" localSheetId="10">'[4]2+'!$JG:$JH</definedName>
    <definedName name="м68" localSheetId="13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2">'[12]2+'!$JK:$JL</definedName>
    <definedName name="м69" localSheetId="10">'[4]2+'!$JK:$JL</definedName>
    <definedName name="м69" localSheetId="13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2">'[12]2+'!$W:$X</definedName>
    <definedName name="м7" localSheetId="10">'[4]2+'!$W:$X</definedName>
    <definedName name="м7" localSheetId="13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2">'[12]2+'!$JO:$JP</definedName>
    <definedName name="м70" localSheetId="10">'[4]2+'!$JO:$JP</definedName>
    <definedName name="м70" localSheetId="13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2">'[12]2+'!$JS:$JT</definedName>
    <definedName name="м71" localSheetId="10">'[4]2+'!$JS:$JT</definedName>
    <definedName name="м71" localSheetId="13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2">'[12]2+'!$JW:$JX</definedName>
    <definedName name="м72" localSheetId="10">'[4]2+'!$JW:$JX</definedName>
    <definedName name="м72" localSheetId="13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2">'[12]2+'!$KA:$KB</definedName>
    <definedName name="м73" localSheetId="10">'[4]2+'!$KA:$KB</definedName>
    <definedName name="м73" localSheetId="13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2">'[12]2+'!$KE:$KF</definedName>
    <definedName name="м74" localSheetId="10">'[4]2+'!$KE:$KF</definedName>
    <definedName name="м74" localSheetId="13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2">'[12]2+'!$KI:$KJ</definedName>
    <definedName name="м75" localSheetId="10">'[4]2+'!$KI:$KJ</definedName>
    <definedName name="м75" localSheetId="13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2">'[12]2+'!$KM:$KN</definedName>
    <definedName name="м76" localSheetId="10">'[4]2+'!$KM:$KN</definedName>
    <definedName name="м76" localSheetId="13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2">'[12]2+'!$KQ:$KR</definedName>
    <definedName name="м77" localSheetId="10">'[4]2+'!$KQ:$KR</definedName>
    <definedName name="м77" localSheetId="13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2">'[12]2+'!$KU:$KV</definedName>
    <definedName name="м78" localSheetId="10">'[4]2+'!$KU:$KV</definedName>
    <definedName name="м78" localSheetId="13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2">'[12]2+'!$KY:$KZ</definedName>
    <definedName name="м79" localSheetId="10">'[4]2+'!$KY:$KZ</definedName>
    <definedName name="м79" localSheetId="13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2">'[12]2+'!$AA:$AB</definedName>
    <definedName name="м8" localSheetId="10">'[4]2+'!$AA:$AB</definedName>
    <definedName name="м8" localSheetId="13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2">'[12]2+'!$LC:$LD</definedName>
    <definedName name="м80" localSheetId="10">'[4]2+'!$LC:$LD</definedName>
    <definedName name="м80" localSheetId="13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2">'[12]2+'!$LG:$LH</definedName>
    <definedName name="м81" localSheetId="10">'[4]2+'!$LG:$LH</definedName>
    <definedName name="м81" localSheetId="13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2">'[12]2+'!$LK:$LL</definedName>
    <definedName name="м82" localSheetId="10">'[4]2+'!$LK:$LL</definedName>
    <definedName name="м82" localSheetId="13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2">'[12]2+'!$LO:$LP</definedName>
    <definedName name="м83" localSheetId="10">'[4]2+'!$LO:$LP</definedName>
    <definedName name="м83" localSheetId="13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2">'[12]2+'!$LS:$LT</definedName>
    <definedName name="м84" localSheetId="10">'[4]2+'!$LS:$LT</definedName>
    <definedName name="м84" localSheetId="13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2">'[12]2+'!$LW:$LX</definedName>
    <definedName name="м85" localSheetId="10">'[4]2+'!$LW:$LX</definedName>
    <definedName name="м85" localSheetId="13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2">'[12]2+'!$MA:$MB</definedName>
    <definedName name="м86" localSheetId="10">'[4]2+'!$MA:$MB</definedName>
    <definedName name="м86" localSheetId="13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2">'[12]2+'!$ME:$MF</definedName>
    <definedName name="м87" localSheetId="10">'[4]2+'!$ME:$MF</definedName>
    <definedName name="м87" localSheetId="13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2">'[12]2+'!$MI:$MJ</definedName>
    <definedName name="м88" localSheetId="10">'[4]2+'!$MI:$MJ</definedName>
    <definedName name="м88" localSheetId="13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2">'[12]2+'!$MM:$MN</definedName>
    <definedName name="м89" localSheetId="10">'[4]2+'!$MM:$MN</definedName>
    <definedName name="м89" localSheetId="13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2">'[12]2+'!$AE:$AF</definedName>
    <definedName name="м9" localSheetId="10">'[4]2+'!$AE:$AF</definedName>
    <definedName name="м9" localSheetId="13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2">'[12]2+'!$MQ:$MR</definedName>
    <definedName name="м90" localSheetId="10">'[4]2+'!$MQ:$MR</definedName>
    <definedName name="м90" localSheetId="13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2">'[12]2+'!$MU:$MV</definedName>
    <definedName name="м91" localSheetId="10">'[4]2+'!$MU:$MV</definedName>
    <definedName name="м91" localSheetId="13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2">'[12]2+'!$MY:$MZ</definedName>
    <definedName name="м92" localSheetId="10">'[4]2+'!$MY:$MZ</definedName>
    <definedName name="м92" localSheetId="13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2">'[12]2+'!$NC:$ND</definedName>
    <definedName name="м93" localSheetId="10">'[4]2+'!$NC:$ND</definedName>
    <definedName name="м93" localSheetId="13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2">'[12]2+'!$NG:$NH</definedName>
    <definedName name="м94" localSheetId="10">'[4]2+'!$NG:$NH</definedName>
    <definedName name="м94" localSheetId="13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2">'[12]2+'!$NK:$NL</definedName>
    <definedName name="м95" localSheetId="10">'[4]2+'!$NK:$NL</definedName>
    <definedName name="м95" localSheetId="13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2">'[12]2+'!$NO:$NP</definedName>
    <definedName name="м96" localSheetId="10">'[4]2+'!$NO:$NP</definedName>
    <definedName name="м96" localSheetId="13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2">'[12]2+'!$NS:$NT</definedName>
    <definedName name="м97" localSheetId="10">'[4]2+'!$NS:$NT</definedName>
    <definedName name="м97" localSheetId="13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2">'[12]2+'!$NW:$NX</definedName>
    <definedName name="м98" localSheetId="10">'[4]2+'!$NW:$NX</definedName>
    <definedName name="м98" localSheetId="13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2">'[12]2+'!$OA:$OB</definedName>
    <definedName name="м99" localSheetId="10">'[4]2+'!$OA:$OB</definedName>
    <definedName name="м99" localSheetId="13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2">'[12]0-2'!$B:$C</definedName>
    <definedName name="мм0" localSheetId="10">'[4]0-2'!$B:$C</definedName>
    <definedName name="мм0" localSheetId="13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2">'[12]0-2'!$F:$G</definedName>
    <definedName name="мм1" localSheetId="10">'[4]0-2'!$F:$G</definedName>
    <definedName name="мм1" localSheetId="13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2">'[12]0-2'!$AP:$AQ</definedName>
    <definedName name="мм10" localSheetId="10">'[4]0-2'!$AP:$AQ</definedName>
    <definedName name="мм10" localSheetId="13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2">'[12]0-2'!$AT:$AU</definedName>
    <definedName name="мм11" localSheetId="10">'[4]0-2'!$AT:$AU</definedName>
    <definedName name="мм11" localSheetId="13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2">'[12]0-2'!$AX:$AY</definedName>
    <definedName name="мм12" localSheetId="10">'[4]0-2'!$AX:$AY</definedName>
    <definedName name="мм12" localSheetId="13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2">'[12]0-2'!$BB:$BC</definedName>
    <definedName name="мм13" localSheetId="10">'[4]0-2'!$BB:$BC</definedName>
    <definedName name="мм13" localSheetId="13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2">'[12]0-2'!$BF:$BG</definedName>
    <definedName name="мм14" localSheetId="10">'[4]0-2'!$BF:$BG</definedName>
    <definedName name="мм14" localSheetId="13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2">'[12]0-2'!$BJ:$BK</definedName>
    <definedName name="мм15" localSheetId="10">'[4]0-2'!$BJ:$BK</definedName>
    <definedName name="мм15" localSheetId="13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2">'[12]0-2'!$BN:$BO</definedName>
    <definedName name="мм16" localSheetId="10">'[4]0-2'!$BN:$BO</definedName>
    <definedName name="мм16" localSheetId="13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2">'[12]0-2'!$BR:$BS</definedName>
    <definedName name="мм17" localSheetId="10">'[4]0-2'!$BR:$BS</definedName>
    <definedName name="мм17" localSheetId="13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2">'[12]0-2'!$BV:$BW</definedName>
    <definedName name="мм18" localSheetId="10">'[4]0-2'!$BV:$BW</definedName>
    <definedName name="мм18" localSheetId="13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2">'[12]0-2'!$BZ:$CA</definedName>
    <definedName name="мм19" localSheetId="10">'[4]0-2'!$BZ:$CA</definedName>
    <definedName name="мм19" localSheetId="13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2">'[12]0-2'!$J:$K</definedName>
    <definedName name="мм2" localSheetId="10">'[4]0-2'!$J:$K</definedName>
    <definedName name="мм2" localSheetId="13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2">'[12]0-2'!$CD:$CE</definedName>
    <definedName name="мм20" localSheetId="10">'[4]0-2'!$CD:$CE</definedName>
    <definedName name="мм20" localSheetId="13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2">'[12]0-2'!$CH:$CI</definedName>
    <definedName name="мм21" localSheetId="10">'[4]0-2'!$CH:$CI</definedName>
    <definedName name="мм21" localSheetId="13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2">'[12]0-2'!$CL:$CM</definedName>
    <definedName name="мм22" localSheetId="10">'[4]0-2'!$CL:$CM</definedName>
    <definedName name="мм22" localSheetId="13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2">'[12]0-2'!$CP:$CQ</definedName>
    <definedName name="мм23" localSheetId="10">'[4]0-2'!$CP:$CQ</definedName>
    <definedName name="мм23" localSheetId="13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2">'[12]0-2'!$N:$O</definedName>
    <definedName name="мм3" localSheetId="10">'[4]0-2'!$N:$O</definedName>
    <definedName name="мм3" localSheetId="13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2">'[12]0-2'!$R:$S</definedName>
    <definedName name="мм4" localSheetId="10">'[4]0-2'!$R:$S</definedName>
    <definedName name="мм4" localSheetId="13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2">'[12]0-2'!$V:$W</definedName>
    <definedName name="мм5" localSheetId="10">'[4]0-2'!$V:$W</definedName>
    <definedName name="мм5" localSheetId="13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2">'[12]0-2'!$Z:$AA</definedName>
    <definedName name="мм6" localSheetId="10">'[4]0-2'!$Z:$AA</definedName>
    <definedName name="мм6" localSheetId="13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2">'[12]0-2'!$AD:$AE</definedName>
    <definedName name="мм7" localSheetId="10">'[4]0-2'!$AD:$AE</definedName>
    <definedName name="мм7" localSheetId="13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2">'[12]0-2'!$AH:$AI</definedName>
    <definedName name="мм8" localSheetId="10">'[4]0-2'!$AH:$AI</definedName>
    <definedName name="мм8" localSheetId="13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2">'[12]0-2'!$AL:$AM</definedName>
    <definedName name="мм9" localSheetId="10">'[4]0-2'!$AL:$AM</definedName>
    <definedName name="мм9" localSheetId="13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2">'[12]по годам'!#REF!</definedName>
    <definedName name="МО" localSheetId="10">'[4]по годам'!#REF!</definedName>
    <definedName name="МО" localSheetId="13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2">'[16]СВОД КП ПРОЕКТА книж'!$A$4:$DS$109</definedName>
    <definedName name="Нефтекамск" localSheetId="10">'[14]СВОД КП ПРОЕКТА книж'!$A$4:$DS$109</definedName>
    <definedName name="Нефтекамск" localSheetId="13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3" l="1"/>
  <c r="D9" i="23"/>
  <c r="D90" i="23"/>
  <c r="F31" i="40" l="1"/>
  <c r="D77" i="36"/>
  <c r="E77" i="36"/>
  <c r="D78" i="36"/>
  <c r="N80" i="36"/>
  <c r="D80" i="36" s="1"/>
  <c r="N79" i="36"/>
  <c r="E79" i="36" s="1"/>
  <c r="N78" i="36"/>
  <c r="E78" i="36" s="1"/>
  <c r="N77" i="36"/>
  <c r="N76" i="36"/>
  <c r="D76" i="36" s="1"/>
  <c r="D69" i="36"/>
  <c r="G69" i="36"/>
  <c r="G70" i="36"/>
  <c r="O70" i="36"/>
  <c r="D70" i="36" s="1"/>
  <c r="O68" i="36"/>
  <c r="D68" i="36" s="1"/>
  <c r="D37" i="36"/>
  <c r="G37" i="36"/>
  <c r="O37" i="36"/>
  <c r="O36" i="36"/>
  <c r="D79" i="36" l="1"/>
  <c r="G68" i="36"/>
  <c r="E80" i="36"/>
  <c r="E76" i="36"/>
  <c r="E31" i="40"/>
  <c r="E147" i="71" l="1"/>
  <c r="E146" i="71"/>
  <c r="D146" i="71" s="1"/>
  <c r="E145" i="71"/>
  <c r="D145" i="71" s="1"/>
  <c r="E144" i="71"/>
  <c r="D144" i="71" s="1"/>
  <c r="E143" i="71"/>
  <c r="D143" i="71" s="1"/>
  <c r="E142" i="71"/>
  <c r="D142" i="71" s="1"/>
  <c r="E141" i="71"/>
  <c r="D141" i="71" s="1"/>
  <c r="E140" i="71"/>
  <c r="D140" i="71" s="1"/>
  <c r="E139" i="71"/>
  <c r="D139" i="71" s="1"/>
  <c r="E138" i="71"/>
  <c r="D138" i="71" s="1"/>
  <c r="E137" i="71"/>
  <c r="D137" i="71" s="1"/>
  <c r="E136" i="71"/>
  <c r="D136" i="71" s="1"/>
  <c r="E135" i="71"/>
  <c r="D135" i="71" s="1"/>
  <c r="E134" i="71"/>
  <c r="D134" i="71" s="1"/>
  <c r="E133" i="71"/>
  <c r="D133" i="71" s="1"/>
  <c r="E132" i="71"/>
  <c r="D132" i="71" s="1"/>
  <c r="E131" i="71"/>
  <c r="D131" i="71" s="1"/>
  <c r="E130" i="71"/>
  <c r="D130" i="71" s="1"/>
  <c r="E129" i="71"/>
  <c r="D129" i="71" s="1"/>
  <c r="E128" i="71"/>
  <c r="D128" i="71" s="1"/>
  <c r="E127" i="71"/>
  <c r="D127" i="71" s="1"/>
  <c r="E126" i="71"/>
  <c r="D126" i="71" s="1"/>
  <c r="E125" i="71"/>
  <c r="D125" i="71" s="1"/>
  <c r="E124" i="71"/>
  <c r="D124" i="71" s="1"/>
  <c r="E123" i="71"/>
  <c r="D123" i="71" s="1"/>
  <c r="E122" i="71"/>
  <c r="D122" i="71" s="1"/>
  <c r="E121" i="71"/>
  <c r="D121" i="71" s="1"/>
  <c r="E120" i="71"/>
  <c r="D120" i="71" s="1"/>
  <c r="E119" i="71"/>
  <c r="D119" i="71"/>
  <c r="E118" i="71"/>
  <c r="D118" i="71" s="1"/>
  <c r="E117" i="71"/>
  <c r="D117" i="71" s="1"/>
  <c r="E116" i="71"/>
  <c r="D116" i="71" s="1"/>
  <c r="E115" i="71"/>
  <c r="D115" i="71" s="1"/>
  <c r="E114" i="71"/>
  <c r="D114" i="71" s="1"/>
  <c r="E113" i="71"/>
  <c r="D113" i="71" s="1"/>
  <c r="E112" i="71"/>
  <c r="D112" i="71" s="1"/>
  <c r="E111" i="71"/>
  <c r="D111" i="71" s="1"/>
  <c r="E110" i="71"/>
  <c r="D110" i="71" s="1"/>
  <c r="E109" i="71"/>
  <c r="D109" i="71" s="1"/>
  <c r="E108" i="71"/>
  <c r="D108" i="71" s="1"/>
  <c r="E107" i="71"/>
  <c r="D107" i="71" s="1"/>
  <c r="E106" i="71"/>
  <c r="D106" i="71" s="1"/>
  <c r="E105" i="71"/>
  <c r="D105" i="71" s="1"/>
  <c r="E104" i="71"/>
  <c r="D104" i="71" s="1"/>
  <c r="E103" i="71"/>
  <c r="D103" i="71" s="1"/>
  <c r="E102" i="71"/>
  <c r="D102" i="71" s="1"/>
  <c r="E101" i="71"/>
  <c r="D101" i="71" s="1"/>
  <c r="E100" i="71"/>
  <c r="D100" i="71" s="1"/>
  <c r="E99" i="71"/>
  <c r="D99" i="71" s="1"/>
  <c r="E98" i="71"/>
  <c r="D98" i="71" s="1"/>
  <c r="E97" i="71"/>
  <c r="D97" i="71" s="1"/>
  <c r="E96" i="71"/>
  <c r="D96" i="71" s="1"/>
  <c r="E95" i="71"/>
  <c r="D95" i="71" s="1"/>
  <c r="E94" i="71"/>
  <c r="D94" i="71" s="1"/>
  <c r="E93" i="71"/>
  <c r="D93" i="71" s="1"/>
  <c r="E92" i="71"/>
  <c r="D92" i="71" s="1"/>
  <c r="E91" i="71"/>
  <c r="D91" i="71" s="1"/>
  <c r="E90" i="71"/>
  <c r="D90" i="71" s="1"/>
  <c r="E89" i="71"/>
  <c r="D89" i="71"/>
  <c r="E88" i="71"/>
  <c r="D88" i="71" s="1"/>
  <c r="E87" i="71"/>
  <c r="D87" i="71" s="1"/>
  <c r="E86" i="71"/>
  <c r="D86" i="71" s="1"/>
  <c r="E85" i="71"/>
  <c r="D85" i="71" s="1"/>
  <c r="E84" i="71"/>
  <c r="D84" i="71" s="1"/>
  <c r="E83" i="71"/>
  <c r="D83" i="71" s="1"/>
  <c r="E82" i="71"/>
  <c r="D82" i="71" s="1"/>
  <c r="E81" i="71"/>
  <c r="D81" i="71" s="1"/>
  <c r="E80" i="71"/>
  <c r="D80" i="71" s="1"/>
  <c r="E79" i="71"/>
  <c r="D79" i="71" s="1"/>
  <c r="E78" i="71"/>
  <c r="D78" i="71" s="1"/>
  <c r="E77" i="71"/>
  <c r="D77" i="71" s="1"/>
  <c r="E76" i="71"/>
  <c r="D76" i="71" s="1"/>
  <c r="E75" i="71"/>
  <c r="D75" i="71" s="1"/>
  <c r="E74" i="71"/>
  <c r="D74" i="71" s="1"/>
  <c r="E73" i="71"/>
  <c r="D73" i="71" s="1"/>
  <c r="E72" i="71"/>
  <c r="D72" i="71" s="1"/>
  <c r="E71" i="71"/>
  <c r="D71" i="71" s="1"/>
  <c r="E70" i="71"/>
  <c r="D70" i="71" s="1"/>
  <c r="E69" i="71"/>
  <c r="D69" i="71" s="1"/>
  <c r="E68" i="71"/>
  <c r="D68" i="71" s="1"/>
  <c r="E67" i="71"/>
  <c r="D67" i="71" s="1"/>
  <c r="E66" i="71"/>
  <c r="D66" i="71" s="1"/>
  <c r="E65" i="71"/>
  <c r="D65" i="71" s="1"/>
  <c r="E64" i="71"/>
  <c r="D64" i="71" s="1"/>
  <c r="E63" i="71"/>
  <c r="D63" i="71" s="1"/>
  <c r="E62" i="71"/>
  <c r="D62" i="71" s="1"/>
  <c r="E61" i="71"/>
  <c r="D61" i="71" s="1"/>
  <c r="E60" i="71"/>
  <c r="D60" i="71" s="1"/>
  <c r="E59" i="71"/>
  <c r="D59" i="71" s="1"/>
  <c r="E58" i="71"/>
  <c r="D58" i="71" s="1"/>
  <c r="E57" i="71"/>
  <c r="D57" i="71" s="1"/>
  <c r="E56" i="71"/>
  <c r="D56" i="71" s="1"/>
  <c r="E55" i="71"/>
  <c r="D55" i="71" s="1"/>
  <c r="E54" i="71"/>
  <c r="D54" i="71" s="1"/>
  <c r="E53" i="71"/>
  <c r="D53" i="71" s="1"/>
  <c r="E52" i="71"/>
  <c r="D52" i="71" s="1"/>
  <c r="E51" i="71"/>
  <c r="D51" i="71" s="1"/>
  <c r="E50" i="71"/>
  <c r="D50" i="71" s="1"/>
  <c r="E49" i="71"/>
  <c r="D49" i="71" s="1"/>
  <c r="E48" i="71"/>
  <c r="D48" i="71" s="1"/>
  <c r="E47" i="71"/>
  <c r="D47" i="71" s="1"/>
  <c r="E46" i="71"/>
  <c r="D46" i="71" s="1"/>
  <c r="E45" i="71"/>
  <c r="D45" i="71" s="1"/>
  <c r="E44" i="71"/>
  <c r="D44" i="71" s="1"/>
  <c r="E43" i="71"/>
  <c r="D43" i="71" s="1"/>
  <c r="E42" i="71"/>
  <c r="D42" i="71" s="1"/>
  <c r="E41" i="71"/>
  <c r="D41" i="71" s="1"/>
  <c r="E40" i="71"/>
  <c r="D40" i="71" s="1"/>
  <c r="E39" i="71"/>
  <c r="D39" i="71" s="1"/>
  <c r="E38" i="71"/>
  <c r="D38" i="71" s="1"/>
  <c r="E37" i="71"/>
  <c r="D37" i="71" s="1"/>
  <c r="E36" i="71"/>
  <c r="D36" i="71" s="1"/>
  <c r="E35" i="71"/>
  <c r="D35" i="71" s="1"/>
  <c r="E34" i="71"/>
  <c r="D34" i="71" s="1"/>
  <c r="E33" i="71"/>
  <c r="D33" i="71" s="1"/>
  <c r="E32" i="71"/>
  <c r="D32" i="71" s="1"/>
  <c r="E31" i="71"/>
  <c r="D31" i="71" s="1"/>
  <c r="E30" i="71"/>
  <c r="D30" i="71" s="1"/>
  <c r="E29" i="71"/>
  <c r="D29" i="71" s="1"/>
  <c r="E28" i="71"/>
  <c r="D28" i="71" s="1"/>
  <c r="E27" i="71"/>
  <c r="D27" i="71" s="1"/>
  <c r="E26" i="71"/>
  <c r="D26" i="71" s="1"/>
  <c r="E25" i="71"/>
  <c r="D25" i="71" s="1"/>
  <c r="E24" i="71"/>
  <c r="D24" i="71" s="1"/>
  <c r="E23" i="71"/>
  <c r="D23" i="71" s="1"/>
  <c r="E22" i="71"/>
  <c r="D22" i="71" s="1"/>
  <c r="E21" i="71"/>
  <c r="D21" i="71" s="1"/>
  <c r="E20" i="71"/>
  <c r="D20" i="71" s="1"/>
  <c r="E19" i="71"/>
  <c r="D19" i="71" s="1"/>
  <c r="E18" i="71"/>
  <c r="D18" i="71" s="1"/>
  <c r="E17" i="71"/>
  <c r="D17" i="71" s="1"/>
  <c r="E16" i="71"/>
  <c r="D16" i="71" s="1"/>
  <c r="E15" i="71"/>
  <c r="D15" i="71" s="1"/>
  <c r="E14" i="71"/>
  <c r="D14" i="71" s="1"/>
  <c r="E13" i="71"/>
  <c r="D13" i="71" s="1"/>
  <c r="E12" i="71"/>
  <c r="D12" i="71" s="1"/>
  <c r="E11" i="71"/>
  <c r="D11" i="71" s="1"/>
  <c r="E10" i="71"/>
  <c r="D10" i="71" s="1"/>
  <c r="G9" i="71"/>
  <c r="F9" i="71"/>
  <c r="G8" i="71"/>
  <c r="F8" i="71"/>
  <c r="E8" i="71"/>
  <c r="G7" i="71" l="1"/>
  <c r="F7" i="71"/>
  <c r="D8" i="71"/>
  <c r="D9" i="71"/>
  <c r="D7" i="71" s="1"/>
  <c r="E9" i="71"/>
  <c r="E7" i="71" s="1"/>
  <c r="L147" i="70" l="1"/>
  <c r="D147" i="70" s="1"/>
  <c r="G147" i="70"/>
  <c r="F147" i="70"/>
  <c r="L146" i="70"/>
  <c r="D146" i="70" s="1"/>
  <c r="G146" i="70"/>
  <c r="F146" i="70"/>
  <c r="L145" i="70"/>
  <c r="G145" i="70"/>
  <c r="F145" i="70"/>
  <c r="L144" i="70"/>
  <c r="G144" i="70"/>
  <c r="F144" i="70"/>
  <c r="L143" i="70"/>
  <c r="G143" i="70"/>
  <c r="E143" i="70" s="1"/>
  <c r="D143" i="70" s="1"/>
  <c r="F143" i="70"/>
  <c r="L142" i="70"/>
  <c r="G142" i="70"/>
  <c r="F142" i="70"/>
  <c r="L141" i="70"/>
  <c r="G141" i="70"/>
  <c r="F141" i="70"/>
  <c r="L140" i="70"/>
  <c r="G140" i="70"/>
  <c r="F140" i="70"/>
  <c r="L139" i="70"/>
  <c r="H139" i="70"/>
  <c r="G139" i="70"/>
  <c r="E139" i="70" s="1"/>
  <c r="F139" i="70"/>
  <c r="L138" i="70"/>
  <c r="H138" i="70"/>
  <c r="G138" i="70"/>
  <c r="F138" i="70"/>
  <c r="L137" i="70"/>
  <c r="H137" i="70"/>
  <c r="G137" i="70"/>
  <c r="E137" i="70" s="1"/>
  <c r="F137" i="70"/>
  <c r="L136" i="70"/>
  <c r="H136" i="70"/>
  <c r="G136" i="70"/>
  <c r="F136" i="70"/>
  <c r="L135" i="70"/>
  <c r="H135" i="70"/>
  <c r="G135" i="70"/>
  <c r="F135" i="70"/>
  <c r="L134" i="70"/>
  <c r="H134" i="70"/>
  <c r="G134" i="70"/>
  <c r="E134" i="70" s="1"/>
  <c r="D134" i="70" s="1"/>
  <c r="F134" i="70"/>
  <c r="L133" i="70"/>
  <c r="H133" i="70"/>
  <c r="G133" i="70"/>
  <c r="F133" i="70"/>
  <c r="L132" i="70"/>
  <c r="H132" i="70"/>
  <c r="G132" i="70"/>
  <c r="F132" i="70"/>
  <c r="L131" i="70"/>
  <c r="H131" i="70"/>
  <c r="G131" i="70"/>
  <c r="F131" i="70"/>
  <c r="L130" i="70"/>
  <c r="H130" i="70"/>
  <c r="G130" i="70"/>
  <c r="F130" i="70"/>
  <c r="L129" i="70"/>
  <c r="H129" i="70"/>
  <c r="G129" i="70"/>
  <c r="F129" i="70"/>
  <c r="L128" i="70"/>
  <c r="H128" i="70"/>
  <c r="G128" i="70"/>
  <c r="F128" i="70"/>
  <c r="L127" i="70"/>
  <c r="H127" i="70"/>
  <c r="G127" i="70"/>
  <c r="F127" i="70"/>
  <c r="L126" i="70"/>
  <c r="H126" i="70"/>
  <c r="G126" i="70"/>
  <c r="E126" i="70" s="1"/>
  <c r="D126" i="70" s="1"/>
  <c r="F126" i="70"/>
  <c r="L125" i="70"/>
  <c r="H125" i="70"/>
  <c r="G125" i="70"/>
  <c r="F125" i="70"/>
  <c r="L124" i="70"/>
  <c r="G124" i="70"/>
  <c r="F124" i="70"/>
  <c r="L123" i="70"/>
  <c r="G123" i="70"/>
  <c r="F123" i="70"/>
  <c r="L122" i="70"/>
  <c r="G122" i="70"/>
  <c r="F122" i="70"/>
  <c r="L121" i="70"/>
  <c r="G121" i="70"/>
  <c r="F121" i="70"/>
  <c r="L120" i="70"/>
  <c r="G120" i="70"/>
  <c r="F120" i="70"/>
  <c r="E120" i="70" s="1"/>
  <c r="D120" i="70" s="1"/>
  <c r="L119" i="70"/>
  <c r="G119" i="70"/>
  <c r="F119" i="70"/>
  <c r="L118" i="70"/>
  <c r="G118" i="70"/>
  <c r="F118" i="70"/>
  <c r="L117" i="70"/>
  <c r="G117" i="70"/>
  <c r="F117" i="70"/>
  <c r="L116" i="70"/>
  <c r="G116" i="70"/>
  <c r="F116" i="70"/>
  <c r="L115" i="70"/>
  <c r="H115" i="70"/>
  <c r="G115" i="70"/>
  <c r="F115" i="70"/>
  <c r="E115" i="70" s="1"/>
  <c r="D115" i="70" s="1"/>
  <c r="L114" i="70"/>
  <c r="G114" i="70"/>
  <c r="F114" i="70"/>
  <c r="L113" i="70"/>
  <c r="G113" i="70"/>
  <c r="F113" i="70"/>
  <c r="L112" i="70"/>
  <c r="G112" i="70"/>
  <c r="F112" i="70"/>
  <c r="L111" i="70"/>
  <c r="G111" i="70"/>
  <c r="F111" i="70"/>
  <c r="L110" i="70"/>
  <c r="G110" i="70"/>
  <c r="F110" i="70"/>
  <c r="L109" i="70"/>
  <c r="H109" i="70"/>
  <c r="G109" i="70"/>
  <c r="F109" i="70"/>
  <c r="L108" i="70"/>
  <c r="H108" i="70"/>
  <c r="G108" i="70"/>
  <c r="F108" i="70"/>
  <c r="E108" i="70" s="1"/>
  <c r="L107" i="70"/>
  <c r="H107" i="70"/>
  <c r="G107" i="70"/>
  <c r="F107" i="70"/>
  <c r="L106" i="70"/>
  <c r="H106" i="70"/>
  <c r="G106" i="70"/>
  <c r="F106" i="70"/>
  <c r="L105" i="70"/>
  <c r="H105" i="70"/>
  <c r="G105" i="70"/>
  <c r="F105" i="70"/>
  <c r="L104" i="70"/>
  <c r="H104" i="70"/>
  <c r="G104" i="70"/>
  <c r="F104" i="70"/>
  <c r="L103" i="70"/>
  <c r="H103" i="70"/>
  <c r="G103" i="70"/>
  <c r="F103" i="70"/>
  <c r="L102" i="70"/>
  <c r="H102" i="70"/>
  <c r="G102" i="70"/>
  <c r="F102" i="70"/>
  <c r="E102" i="70" s="1"/>
  <c r="L101" i="70"/>
  <c r="H101" i="70"/>
  <c r="G101" i="70"/>
  <c r="F101" i="70"/>
  <c r="L100" i="70"/>
  <c r="H100" i="70"/>
  <c r="G100" i="70"/>
  <c r="F100" i="70"/>
  <c r="L99" i="70"/>
  <c r="H99" i="70"/>
  <c r="G99" i="70"/>
  <c r="F99" i="70"/>
  <c r="L98" i="70"/>
  <c r="H98" i="70"/>
  <c r="G98" i="70"/>
  <c r="F98" i="70"/>
  <c r="L97" i="70"/>
  <c r="H97" i="70"/>
  <c r="G97" i="70"/>
  <c r="F97" i="70"/>
  <c r="L96" i="70"/>
  <c r="H96" i="70"/>
  <c r="G96" i="70"/>
  <c r="F96" i="70"/>
  <c r="E96" i="70" s="1"/>
  <c r="L95" i="70"/>
  <c r="H95" i="70"/>
  <c r="G95" i="70"/>
  <c r="F95" i="70"/>
  <c r="L94" i="70"/>
  <c r="H94" i="70"/>
  <c r="G94" i="70"/>
  <c r="F94" i="70"/>
  <c r="L93" i="70"/>
  <c r="G93" i="70"/>
  <c r="F93" i="70"/>
  <c r="L92" i="70"/>
  <c r="H92" i="70"/>
  <c r="G92" i="70"/>
  <c r="F92" i="70"/>
  <c r="L91" i="70"/>
  <c r="H91" i="70"/>
  <c r="G91" i="70"/>
  <c r="F91" i="70"/>
  <c r="L90" i="70"/>
  <c r="H90" i="70"/>
  <c r="G90" i="70"/>
  <c r="F90" i="70"/>
  <c r="L89" i="70"/>
  <c r="H89" i="70"/>
  <c r="G89" i="70"/>
  <c r="F89" i="70"/>
  <c r="L88" i="70"/>
  <c r="H88" i="70"/>
  <c r="G88" i="70"/>
  <c r="F88" i="70"/>
  <c r="L87" i="70"/>
  <c r="H87" i="70"/>
  <c r="G87" i="70"/>
  <c r="F87" i="70"/>
  <c r="L86" i="70"/>
  <c r="H86" i="70"/>
  <c r="G86" i="70"/>
  <c r="F86" i="70"/>
  <c r="L85" i="70"/>
  <c r="H85" i="70"/>
  <c r="G85" i="70"/>
  <c r="F85" i="70"/>
  <c r="L84" i="70"/>
  <c r="H84" i="70"/>
  <c r="G84" i="70"/>
  <c r="F84" i="70"/>
  <c r="E84" i="70" s="1"/>
  <c r="L83" i="70"/>
  <c r="H83" i="70"/>
  <c r="G83" i="70"/>
  <c r="F83" i="70"/>
  <c r="L82" i="70"/>
  <c r="H82" i="70"/>
  <c r="G82" i="70"/>
  <c r="F82" i="70"/>
  <c r="E82" i="70" s="1"/>
  <c r="L81" i="70"/>
  <c r="H81" i="70"/>
  <c r="G81" i="70"/>
  <c r="F81" i="70"/>
  <c r="L80" i="70"/>
  <c r="H80" i="70"/>
  <c r="G80" i="70"/>
  <c r="F80" i="70"/>
  <c r="E80" i="70" s="1"/>
  <c r="L79" i="70"/>
  <c r="H79" i="70"/>
  <c r="G79" i="70"/>
  <c r="F79" i="70"/>
  <c r="L78" i="70"/>
  <c r="H78" i="70"/>
  <c r="G78" i="70"/>
  <c r="F78" i="70"/>
  <c r="E78" i="70" s="1"/>
  <c r="L77" i="70"/>
  <c r="H77" i="70"/>
  <c r="G77" i="70"/>
  <c r="F77" i="70"/>
  <c r="L76" i="70"/>
  <c r="H76" i="70"/>
  <c r="G76" i="70"/>
  <c r="F76" i="70"/>
  <c r="E76" i="70" s="1"/>
  <c r="L75" i="70"/>
  <c r="H75" i="70"/>
  <c r="G75" i="70"/>
  <c r="F75" i="70"/>
  <c r="L74" i="70"/>
  <c r="H74" i="70"/>
  <c r="G74" i="70"/>
  <c r="F74" i="70"/>
  <c r="E74" i="70" s="1"/>
  <c r="L73" i="70"/>
  <c r="H73" i="70"/>
  <c r="G73" i="70"/>
  <c r="F73" i="70"/>
  <c r="L72" i="70"/>
  <c r="H72" i="70"/>
  <c r="G72" i="70"/>
  <c r="F72" i="70"/>
  <c r="E72" i="70" s="1"/>
  <c r="L71" i="70"/>
  <c r="H71" i="70"/>
  <c r="G71" i="70"/>
  <c r="F71" i="70"/>
  <c r="L70" i="70"/>
  <c r="H70" i="70"/>
  <c r="G70" i="70"/>
  <c r="F70" i="70"/>
  <c r="E70" i="70" s="1"/>
  <c r="L69" i="70"/>
  <c r="H69" i="70"/>
  <c r="G69" i="70"/>
  <c r="F69" i="70"/>
  <c r="L68" i="70"/>
  <c r="H68" i="70"/>
  <c r="G68" i="70"/>
  <c r="F68" i="70"/>
  <c r="E68" i="70" s="1"/>
  <c r="L67" i="70"/>
  <c r="H67" i="70"/>
  <c r="G67" i="70"/>
  <c r="F67" i="70"/>
  <c r="L66" i="70"/>
  <c r="H66" i="70"/>
  <c r="G66" i="70"/>
  <c r="F66" i="70"/>
  <c r="E66" i="70" s="1"/>
  <c r="L65" i="70"/>
  <c r="H65" i="70"/>
  <c r="G65" i="70"/>
  <c r="F65" i="70"/>
  <c r="L64" i="70"/>
  <c r="H64" i="70"/>
  <c r="G64" i="70"/>
  <c r="F64" i="70"/>
  <c r="E64" i="70" s="1"/>
  <c r="L63" i="70"/>
  <c r="G63" i="70"/>
  <c r="F63" i="70"/>
  <c r="L62" i="70"/>
  <c r="G62" i="70"/>
  <c r="F62" i="70"/>
  <c r="L61" i="70"/>
  <c r="H61" i="70"/>
  <c r="G61" i="70"/>
  <c r="F61" i="70"/>
  <c r="L60" i="70"/>
  <c r="H60" i="70"/>
  <c r="G60" i="70"/>
  <c r="F60" i="70"/>
  <c r="L59" i="70"/>
  <c r="H59" i="70"/>
  <c r="G59" i="70"/>
  <c r="F59" i="70"/>
  <c r="L58" i="70"/>
  <c r="H58" i="70"/>
  <c r="G58" i="70"/>
  <c r="F58" i="70"/>
  <c r="E58" i="70" s="1"/>
  <c r="L57" i="70"/>
  <c r="H57" i="70"/>
  <c r="G57" i="70"/>
  <c r="F57" i="70"/>
  <c r="E57" i="70" s="1"/>
  <c r="L56" i="70"/>
  <c r="H56" i="70"/>
  <c r="G56" i="70"/>
  <c r="F56" i="70"/>
  <c r="E56" i="70" s="1"/>
  <c r="L55" i="70"/>
  <c r="H55" i="70"/>
  <c r="G55" i="70"/>
  <c r="F55" i="70"/>
  <c r="L54" i="70"/>
  <c r="H54" i="70"/>
  <c r="G54" i="70"/>
  <c r="F54" i="70"/>
  <c r="L53" i="70"/>
  <c r="H53" i="70"/>
  <c r="G53" i="70"/>
  <c r="F53" i="70"/>
  <c r="E53" i="70" s="1"/>
  <c r="L52" i="70"/>
  <c r="H52" i="70"/>
  <c r="G52" i="70"/>
  <c r="F52" i="70"/>
  <c r="E52" i="70" s="1"/>
  <c r="L51" i="70"/>
  <c r="H51" i="70"/>
  <c r="G51" i="70"/>
  <c r="F51" i="70"/>
  <c r="E51" i="70" s="1"/>
  <c r="L50" i="70"/>
  <c r="H50" i="70"/>
  <c r="G50" i="70"/>
  <c r="F50" i="70"/>
  <c r="E50" i="70" s="1"/>
  <c r="L49" i="70"/>
  <c r="H49" i="70"/>
  <c r="G49" i="70"/>
  <c r="F49" i="70"/>
  <c r="E49" i="70" s="1"/>
  <c r="L48" i="70"/>
  <c r="H48" i="70"/>
  <c r="G48" i="70"/>
  <c r="F48" i="70"/>
  <c r="E48" i="70" s="1"/>
  <c r="L47" i="70"/>
  <c r="H47" i="70"/>
  <c r="G47" i="70"/>
  <c r="F47" i="70"/>
  <c r="E47" i="70" s="1"/>
  <c r="D47" i="70" s="1"/>
  <c r="L46" i="70"/>
  <c r="H46" i="70"/>
  <c r="G46" i="70"/>
  <c r="F46" i="70"/>
  <c r="E46" i="70" s="1"/>
  <c r="L45" i="70"/>
  <c r="H45" i="70"/>
  <c r="G45" i="70"/>
  <c r="F45" i="70"/>
  <c r="E45" i="70" s="1"/>
  <c r="D45" i="70" s="1"/>
  <c r="L44" i="70"/>
  <c r="H44" i="70"/>
  <c r="G44" i="70"/>
  <c r="F44" i="70"/>
  <c r="E44" i="70" s="1"/>
  <c r="L43" i="70"/>
  <c r="H43" i="70"/>
  <c r="G43" i="70"/>
  <c r="F43" i="70"/>
  <c r="E43" i="70" s="1"/>
  <c r="L42" i="70"/>
  <c r="H42" i="70"/>
  <c r="G42" i="70"/>
  <c r="F42" i="70"/>
  <c r="E42" i="70" s="1"/>
  <c r="L41" i="70"/>
  <c r="H41" i="70"/>
  <c r="G41" i="70"/>
  <c r="F41" i="70"/>
  <c r="E41" i="70" s="1"/>
  <c r="D41" i="70" s="1"/>
  <c r="L40" i="70"/>
  <c r="H40" i="70"/>
  <c r="G40" i="70"/>
  <c r="F40" i="70"/>
  <c r="E40" i="70" s="1"/>
  <c r="L39" i="70"/>
  <c r="H39" i="70"/>
  <c r="G39" i="70"/>
  <c r="F39" i="70"/>
  <c r="E39" i="70" s="1"/>
  <c r="D39" i="70" s="1"/>
  <c r="L38" i="70"/>
  <c r="H38" i="70"/>
  <c r="G38" i="70"/>
  <c r="F38" i="70"/>
  <c r="E38" i="70" s="1"/>
  <c r="L37" i="70"/>
  <c r="H37" i="70"/>
  <c r="G37" i="70"/>
  <c r="F37" i="70"/>
  <c r="E37" i="70" s="1"/>
  <c r="L36" i="70"/>
  <c r="H36" i="70"/>
  <c r="G36" i="70"/>
  <c r="F36" i="70"/>
  <c r="E36" i="70" s="1"/>
  <c r="L35" i="70"/>
  <c r="H35" i="70"/>
  <c r="G35" i="70"/>
  <c r="F35" i="70"/>
  <c r="E35" i="70" s="1"/>
  <c r="D35" i="70" s="1"/>
  <c r="L34" i="70"/>
  <c r="H34" i="70"/>
  <c r="G34" i="70"/>
  <c r="F34" i="70"/>
  <c r="E34" i="70" s="1"/>
  <c r="L33" i="70"/>
  <c r="G33" i="70"/>
  <c r="F33" i="70"/>
  <c r="E33" i="70"/>
  <c r="D33" i="70" s="1"/>
  <c r="L32" i="70"/>
  <c r="G32" i="70"/>
  <c r="F32" i="70"/>
  <c r="L31" i="70"/>
  <c r="H31" i="70"/>
  <c r="G31" i="70"/>
  <c r="F31" i="70"/>
  <c r="L30" i="70"/>
  <c r="H30" i="70"/>
  <c r="G30" i="70"/>
  <c r="F30" i="70"/>
  <c r="L29" i="70"/>
  <c r="H29" i="70"/>
  <c r="G29" i="70"/>
  <c r="F29" i="70"/>
  <c r="L28" i="70"/>
  <c r="H28" i="70"/>
  <c r="G28" i="70"/>
  <c r="F28" i="70"/>
  <c r="L27" i="70"/>
  <c r="H27" i="70"/>
  <c r="G27" i="70"/>
  <c r="F27" i="70"/>
  <c r="E27" i="70" s="1"/>
  <c r="L26" i="70"/>
  <c r="H26" i="70"/>
  <c r="G26" i="70"/>
  <c r="F26" i="70"/>
  <c r="L25" i="70"/>
  <c r="H25" i="70"/>
  <c r="G25" i="70"/>
  <c r="F25" i="70"/>
  <c r="L24" i="70"/>
  <c r="H24" i="70"/>
  <c r="G24" i="70"/>
  <c r="F24" i="70"/>
  <c r="L23" i="70"/>
  <c r="H23" i="70"/>
  <c r="G23" i="70"/>
  <c r="F23" i="70"/>
  <c r="E23" i="70" s="1"/>
  <c r="L22" i="70"/>
  <c r="H22" i="70"/>
  <c r="G22" i="70"/>
  <c r="F22" i="70"/>
  <c r="L21" i="70"/>
  <c r="H21" i="70"/>
  <c r="G21" i="70"/>
  <c r="F21" i="70"/>
  <c r="E21" i="70" s="1"/>
  <c r="L20" i="70"/>
  <c r="H20" i="70"/>
  <c r="G20" i="70"/>
  <c r="F20" i="70"/>
  <c r="L19" i="70"/>
  <c r="H19" i="70"/>
  <c r="G19" i="70"/>
  <c r="F19" i="70"/>
  <c r="L18" i="70"/>
  <c r="H18" i="70"/>
  <c r="G18" i="70"/>
  <c r="F18" i="70"/>
  <c r="L17" i="70"/>
  <c r="H17" i="70"/>
  <c r="G17" i="70"/>
  <c r="F17" i="70"/>
  <c r="E17" i="70" s="1"/>
  <c r="L16" i="70"/>
  <c r="H16" i="70"/>
  <c r="G16" i="70"/>
  <c r="F16" i="70"/>
  <c r="L15" i="70"/>
  <c r="H15" i="70"/>
  <c r="G15" i="70"/>
  <c r="F15" i="70"/>
  <c r="E15" i="70" s="1"/>
  <c r="L14" i="70"/>
  <c r="H14" i="70"/>
  <c r="G14" i="70"/>
  <c r="F14" i="70"/>
  <c r="L13" i="70"/>
  <c r="H13" i="70"/>
  <c r="G13" i="70"/>
  <c r="F13" i="70"/>
  <c r="L12" i="70"/>
  <c r="H12" i="70"/>
  <c r="G12" i="70"/>
  <c r="F12" i="70"/>
  <c r="L11" i="70"/>
  <c r="H11" i="70"/>
  <c r="G11" i="70"/>
  <c r="F11" i="70"/>
  <c r="E11" i="70" s="1"/>
  <c r="L10" i="70"/>
  <c r="H10" i="70"/>
  <c r="G10" i="70"/>
  <c r="F10" i="70"/>
  <c r="N9" i="70"/>
  <c r="N7" i="70" s="1"/>
  <c r="M9" i="70"/>
  <c r="K9" i="70"/>
  <c r="J9" i="70"/>
  <c r="I9" i="70"/>
  <c r="N8" i="70"/>
  <c r="M8" i="70"/>
  <c r="L8" i="70"/>
  <c r="K8" i="70"/>
  <c r="J8" i="70"/>
  <c r="I8" i="70"/>
  <c r="G8" i="70"/>
  <c r="F8" i="70"/>
  <c r="E13" i="70" l="1"/>
  <c r="E19" i="70"/>
  <c r="E25" i="70"/>
  <c r="E98" i="70"/>
  <c r="D98" i="70" s="1"/>
  <c r="E104" i="70"/>
  <c r="D104" i="70" s="1"/>
  <c r="E110" i="70"/>
  <c r="D110" i="70" s="1"/>
  <c r="I7" i="70"/>
  <c r="E60" i="70"/>
  <c r="D60" i="70" s="1"/>
  <c r="E62" i="70"/>
  <c r="D62" i="70" s="1"/>
  <c r="E95" i="70"/>
  <c r="E99" i="70"/>
  <c r="D99" i="70" s="1"/>
  <c r="E101" i="70"/>
  <c r="D101" i="70" s="1"/>
  <c r="E105" i="70"/>
  <c r="E107" i="70"/>
  <c r="E119" i="70"/>
  <c r="D119" i="70" s="1"/>
  <c r="E112" i="70"/>
  <c r="D112" i="70" s="1"/>
  <c r="E117" i="70"/>
  <c r="E127" i="70"/>
  <c r="D51" i="70"/>
  <c r="D53" i="70"/>
  <c r="E61" i="70"/>
  <c r="D61" i="70" s="1"/>
  <c r="E29" i="70"/>
  <c r="D29" i="70" s="1"/>
  <c r="E31" i="70"/>
  <c r="D31" i="70" s="1"/>
  <c r="D96" i="70"/>
  <c r="D102" i="70"/>
  <c r="D108" i="70"/>
  <c r="E132" i="70"/>
  <c r="E140" i="70"/>
  <c r="D140" i="70" s="1"/>
  <c r="E123" i="70"/>
  <c r="D123" i="70" s="1"/>
  <c r="J7" i="70"/>
  <c r="M7" i="70"/>
  <c r="D64" i="70"/>
  <c r="D66" i="70"/>
  <c r="D70" i="70"/>
  <c r="D72" i="70"/>
  <c r="D76" i="70"/>
  <c r="D78" i="70"/>
  <c r="D82" i="70"/>
  <c r="D84" i="70"/>
  <c r="E86" i="70"/>
  <c r="D86" i="70" s="1"/>
  <c r="E88" i="70"/>
  <c r="D88" i="70" s="1"/>
  <c r="E90" i="70"/>
  <c r="E113" i="70"/>
  <c r="D113" i="70" s="1"/>
  <c r="E135" i="70"/>
  <c r="D135" i="70" s="1"/>
  <c r="E141" i="70"/>
  <c r="D141" i="70" s="1"/>
  <c r="E63" i="70"/>
  <c r="D63" i="70" s="1"/>
  <c r="D36" i="70"/>
  <c r="D38" i="70"/>
  <c r="D42" i="70"/>
  <c r="D44" i="70"/>
  <c r="D48" i="70"/>
  <c r="D50" i="70"/>
  <c r="D56" i="70"/>
  <c r="D58" i="70"/>
  <c r="D137" i="70"/>
  <c r="D139" i="70"/>
  <c r="E10" i="70"/>
  <c r="D10" i="70" s="1"/>
  <c r="E12" i="70"/>
  <c r="E14" i="70"/>
  <c r="D14" i="70" s="1"/>
  <c r="E16" i="70"/>
  <c r="E18" i="70"/>
  <c r="D18" i="70" s="1"/>
  <c r="E20" i="70"/>
  <c r="D20" i="70" s="1"/>
  <c r="E22" i="70"/>
  <c r="E24" i="70"/>
  <c r="E26" i="70"/>
  <c r="D26" i="70" s="1"/>
  <c r="E28" i="70"/>
  <c r="E30" i="70"/>
  <c r="D30" i="70" s="1"/>
  <c r="E32" i="70"/>
  <c r="D32" i="70" s="1"/>
  <c r="E54" i="70"/>
  <c r="D54" i="70" s="1"/>
  <c r="E116" i="70"/>
  <c r="D116" i="70" s="1"/>
  <c r="E121" i="70"/>
  <c r="D121" i="70" s="1"/>
  <c r="E124" i="70"/>
  <c r="E128" i="70"/>
  <c r="D128" i="70" s="1"/>
  <c r="E130" i="70"/>
  <c r="D130" i="70" s="1"/>
  <c r="E144" i="70"/>
  <c r="D144" i="70" s="1"/>
  <c r="D105" i="70"/>
  <c r="D95" i="70"/>
  <c r="D107" i="70"/>
  <c r="H9" i="70"/>
  <c r="E65" i="70"/>
  <c r="D65" i="70" s="1"/>
  <c r="E67" i="70"/>
  <c r="D67" i="70" s="1"/>
  <c r="E69" i="70"/>
  <c r="D69" i="70" s="1"/>
  <c r="E71" i="70"/>
  <c r="E73" i="70"/>
  <c r="D73" i="70" s="1"/>
  <c r="E75" i="70"/>
  <c r="D75" i="70" s="1"/>
  <c r="E77" i="70"/>
  <c r="E79" i="70"/>
  <c r="D79" i="70" s="1"/>
  <c r="E81" i="70"/>
  <c r="D81" i="70" s="1"/>
  <c r="E83" i="70"/>
  <c r="D83" i="70" s="1"/>
  <c r="E85" i="70"/>
  <c r="D85" i="70" s="1"/>
  <c r="E87" i="70"/>
  <c r="D87" i="70" s="1"/>
  <c r="E89" i="70"/>
  <c r="D89" i="70" s="1"/>
  <c r="E91" i="70"/>
  <c r="D91" i="70" s="1"/>
  <c r="E93" i="70"/>
  <c r="D93" i="70" s="1"/>
  <c r="E122" i="70"/>
  <c r="D122" i="70" s="1"/>
  <c r="E136" i="70"/>
  <c r="D136" i="70" s="1"/>
  <c r="E138" i="70"/>
  <c r="D138" i="70" s="1"/>
  <c r="E145" i="70"/>
  <c r="D145" i="70" s="1"/>
  <c r="E118" i="70"/>
  <c r="D118" i="70" s="1"/>
  <c r="E125" i="70"/>
  <c r="D125" i="70" s="1"/>
  <c r="E133" i="70"/>
  <c r="D133" i="70" s="1"/>
  <c r="D11" i="70"/>
  <c r="D17" i="70"/>
  <c r="D23" i="70"/>
  <c r="L9" i="70"/>
  <c r="L7" i="70" s="1"/>
  <c r="G9" i="70"/>
  <c r="G7" i="70" s="1"/>
  <c r="E94" i="70"/>
  <c r="D94" i="70" s="1"/>
  <c r="E97" i="70"/>
  <c r="D97" i="70" s="1"/>
  <c r="E100" i="70"/>
  <c r="D100" i="70" s="1"/>
  <c r="E103" i="70"/>
  <c r="D103" i="70" s="1"/>
  <c r="E106" i="70"/>
  <c r="D106" i="70" s="1"/>
  <c r="E109" i="70"/>
  <c r="D109" i="70" s="1"/>
  <c r="E131" i="70"/>
  <c r="D131" i="70" s="1"/>
  <c r="D15" i="70"/>
  <c r="D21" i="70"/>
  <c r="D24" i="70"/>
  <c r="D27" i="70"/>
  <c r="E142" i="70"/>
  <c r="D142" i="70" s="1"/>
  <c r="D12" i="70"/>
  <c r="K7" i="70"/>
  <c r="H7" i="70" s="1"/>
  <c r="E59" i="70"/>
  <c r="D59" i="70" s="1"/>
  <c r="E129" i="70"/>
  <c r="D129" i="70" s="1"/>
  <c r="D132" i="70"/>
  <c r="D34" i="70"/>
  <c r="D37" i="70"/>
  <c r="D40" i="70"/>
  <c r="D43" i="70"/>
  <c r="D46" i="70"/>
  <c r="D49" i="70"/>
  <c r="D52" i="70"/>
  <c r="D57" i="70"/>
  <c r="D68" i="70"/>
  <c r="D71" i="70"/>
  <c r="D74" i="70"/>
  <c r="D77" i="70"/>
  <c r="D80" i="70"/>
  <c r="E92" i="70"/>
  <c r="D92" i="70" s="1"/>
  <c r="H8" i="70"/>
  <c r="D16" i="70"/>
  <c r="D19" i="70"/>
  <c r="D22" i="70"/>
  <c r="D25" i="70"/>
  <c r="D28" i="70"/>
  <c r="D117" i="70"/>
  <c r="D124" i="70"/>
  <c r="D127" i="70"/>
  <c r="D13" i="70"/>
  <c r="E55" i="70"/>
  <c r="D55" i="70" s="1"/>
  <c r="E111" i="70"/>
  <c r="D111" i="70" s="1"/>
  <c r="E114" i="70"/>
  <c r="D114" i="70" s="1"/>
  <c r="D90" i="70"/>
  <c r="E8" i="70"/>
  <c r="F9" i="70"/>
  <c r="F7" i="70" s="1"/>
  <c r="D9" i="70" l="1"/>
  <c r="D7" i="70" s="1"/>
  <c r="D8" i="70"/>
  <c r="E9" i="70"/>
  <c r="E7" i="70"/>
  <c r="S148" i="69" l="1"/>
  <c r="R148" i="69"/>
  <c r="N148" i="69"/>
  <c r="M148" i="69"/>
  <c r="H148" i="69"/>
  <c r="G148" i="69"/>
  <c r="F148" i="69"/>
  <c r="S147" i="69"/>
  <c r="R147" i="69"/>
  <c r="N147" i="69"/>
  <c r="M147" i="69"/>
  <c r="H147" i="69"/>
  <c r="G147" i="69"/>
  <c r="F147" i="69"/>
  <c r="S146" i="69"/>
  <c r="R146" i="69"/>
  <c r="N146" i="69"/>
  <c r="M146" i="69"/>
  <c r="H146" i="69"/>
  <c r="G146" i="69"/>
  <c r="F146" i="69"/>
  <c r="S145" i="69"/>
  <c r="R145" i="69"/>
  <c r="N145" i="69"/>
  <c r="M145" i="69"/>
  <c r="H145" i="69"/>
  <c r="G145" i="69"/>
  <c r="F145" i="69"/>
  <c r="S144" i="69"/>
  <c r="R144" i="69"/>
  <c r="N144" i="69"/>
  <c r="M144" i="69"/>
  <c r="H144" i="69"/>
  <c r="G144" i="69"/>
  <c r="F144" i="69"/>
  <c r="S143" i="69"/>
  <c r="R143" i="69"/>
  <c r="N143" i="69"/>
  <c r="M143" i="69"/>
  <c r="H143" i="69"/>
  <c r="G143" i="69"/>
  <c r="F143" i="69"/>
  <c r="S142" i="69"/>
  <c r="R142" i="69"/>
  <c r="N142" i="69"/>
  <c r="M142" i="69"/>
  <c r="H142" i="69"/>
  <c r="G142" i="69"/>
  <c r="F142" i="69"/>
  <c r="S141" i="69"/>
  <c r="R141" i="69"/>
  <c r="N141" i="69"/>
  <c r="M141" i="69"/>
  <c r="H141" i="69"/>
  <c r="G141" i="69"/>
  <c r="F141" i="69"/>
  <c r="S140" i="69"/>
  <c r="R140" i="69"/>
  <c r="O140" i="69"/>
  <c r="N140" i="69"/>
  <c r="M140" i="69"/>
  <c r="H140" i="69"/>
  <c r="G140" i="69"/>
  <c r="F140" i="69"/>
  <c r="S139" i="69"/>
  <c r="R139" i="69"/>
  <c r="O139" i="69"/>
  <c r="N139" i="69"/>
  <c r="M139" i="69"/>
  <c r="H139" i="69"/>
  <c r="G139" i="69"/>
  <c r="F139" i="69"/>
  <c r="S138" i="69"/>
  <c r="R138" i="69"/>
  <c r="O138" i="69"/>
  <c r="N138" i="69"/>
  <c r="M138" i="69"/>
  <c r="H138" i="69"/>
  <c r="G138" i="69"/>
  <c r="F138" i="69"/>
  <c r="E138" i="69" s="1"/>
  <c r="S137" i="69"/>
  <c r="R137" i="69"/>
  <c r="O137" i="69"/>
  <c r="N137" i="69"/>
  <c r="M137" i="69"/>
  <c r="H137" i="69"/>
  <c r="G137" i="69"/>
  <c r="F137" i="69"/>
  <c r="S136" i="69"/>
  <c r="R136" i="69"/>
  <c r="O136" i="69"/>
  <c r="N136" i="69"/>
  <c r="M136" i="69"/>
  <c r="H136" i="69"/>
  <c r="G136" i="69"/>
  <c r="F136" i="69"/>
  <c r="S135" i="69"/>
  <c r="R135" i="69"/>
  <c r="O135" i="69"/>
  <c r="N135" i="69"/>
  <c r="M135" i="69"/>
  <c r="H135" i="69"/>
  <c r="G135" i="69"/>
  <c r="F135" i="69"/>
  <c r="E135" i="69" s="1"/>
  <c r="S134" i="69"/>
  <c r="R134" i="69"/>
  <c r="O134" i="69"/>
  <c r="N134" i="69"/>
  <c r="M134" i="69"/>
  <c r="H134" i="69"/>
  <c r="G134" i="69"/>
  <c r="F134" i="69"/>
  <c r="E134" i="69" s="1"/>
  <c r="S133" i="69"/>
  <c r="R133" i="69"/>
  <c r="O133" i="69"/>
  <c r="N133" i="69"/>
  <c r="M133" i="69"/>
  <c r="H133" i="69"/>
  <c r="G133" i="69"/>
  <c r="F133" i="69"/>
  <c r="S132" i="69"/>
  <c r="R132" i="69"/>
  <c r="O132" i="69"/>
  <c r="N132" i="69"/>
  <c r="M132" i="69"/>
  <c r="H132" i="69"/>
  <c r="G132" i="69"/>
  <c r="F132" i="69"/>
  <c r="S131" i="69"/>
  <c r="R131" i="69"/>
  <c r="O131" i="69"/>
  <c r="N131" i="69"/>
  <c r="M131" i="69"/>
  <c r="H131" i="69"/>
  <c r="G131" i="69"/>
  <c r="F131" i="69"/>
  <c r="S130" i="69"/>
  <c r="R130" i="69"/>
  <c r="Q130" i="69"/>
  <c r="O130" i="69" s="1"/>
  <c r="N130" i="69"/>
  <c r="M130" i="69"/>
  <c r="H130" i="69"/>
  <c r="G130" i="69"/>
  <c r="F130" i="69"/>
  <c r="S129" i="69"/>
  <c r="R129" i="69"/>
  <c r="O129" i="69"/>
  <c r="N129" i="69"/>
  <c r="M129" i="69"/>
  <c r="H129" i="69"/>
  <c r="G129" i="69"/>
  <c r="F129" i="69"/>
  <c r="E129" i="69" s="1"/>
  <c r="S128" i="69"/>
  <c r="R128" i="69"/>
  <c r="O128" i="69"/>
  <c r="N128" i="69"/>
  <c r="M128" i="69"/>
  <c r="H128" i="69"/>
  <c r="G128" i="69"/>
  <c r="F128" i="69"/>
  <c r="E128" i="69" s="1"/>
  <c r="S127" i="69"/>
  <c r="R127" i="69"/>
  <c r="N127" i="69"/>
  <c r="M127" i="69"/>
  <c r="H127" i="69"/>
  <c r="G127" i="69"/>
  <c r="F127" i="69"/>
  <c r="S126" i="69"/>
  <c r="R126" i="69"/>
  <c r="O126" i="69"/>
  <c r="N126" i="69"/>
  <c r="M126" i="69"/>
  <c r="H126" i="69"/>
  <c r="G126" i="69"/>
  <c r="F126" i="69"/>
  <c r="S125" i="69"/>
  <c r="R125" i="69"/>
  <c r="O125" i="69"/>
  <c r="N125" i="69"/>
  <c r="M125" i="69"/>
  <c r="H125" i="69"/>
  <c r="G125" i="69"/>
  <c r="F125" i="69"/>
  <c r="S124" i="69"/>
  <c r="R124" i="69"/>
  <c r="O124" i="69"/>
  <c r="N124" i="69"/>
  <c r="M124" i="69"/>
  <c r="H124" i="69"/>
  <c r="G124" i="69"/>
  <c r="F124" i="69"/>
  <c r="S123" i="69"/>
  <c r="R123" i="69"/>
  <c r="O123" i="69"/>
  <c r="N123" i="69"/>
  <c r="M123" i="69"/>
  <c r="H123" i="69"/>
  <c r="G123" i="69"/>
  <c r="F123" i="69"/>
  <c r="S122" i="69"/>
  <c r="R122" i="69"/>
  <c r="O122" i="69"/>
  <c r="N122" i="69"/>
  <c r="M122" i="69"/>
  <c r="H122" i="69"/>
  <c r="G122" i="69"/>
  <c r="F122" i="69"/>
  <c r="S121" i="69"/>
  <c r="R121" i="69"/>
  <c r="O121" i="69"/>
  <c r="N121" i="69"/>
  <c r="M121" i="69"/>
  <c r="H121" i="69"/>
  <c r="G121" i="69"/>
  <c r="F121" i="69"/>
  <c r="S120" i="69"/>
  <c r="R120" i="69"/>
  <c r="O120" i="69"/>
  <c r="N120" i="69"/>
  <c r="M120" i="69"/>
  <c r="H120" i="69"/>
  <c r="G120" i="69"/>
  <c r="F120" i="69"/>
  <c r="S119" i="69"/>
  <c r="R119" i="69"/>
  <c r="O119" i="69"/>
  <c r="N119" i="69"/>
  <c r="M119" i="69"/>
  <c r="H119" i="69"/>
  <c r="G119" i="69"/>
  <c r="F119" i="69"/>
  <c r="S118" i="69"/>
  <c r="R118" i="69"/>
  <c r="O118" i="69"/>
  <c r="N118" i="69"/>
  <c r="M118" i="69"/>
  <c r="H118" i="69"/>
  <c r="G118" i="69"/>
  <c r="F118" i="69"/>
  <c r="S117" i="69"/>
  <c r="R117" i="69"/>
  <c r="O117" i="69"/>
  <c r="N117" i="69"/>
  <c r="M117" i="69"/>
  <c r="H117" i="69"/>
  <c r="G117" i="69"/>
  <c r="F117" i="69"/>
  <c r="S116" i="69"/>
  <c r="R116" i="69"/>
  <c r="O116" i="69"/>
  <c r="N116" i="69"/>
  <c r="M116" i="69"/>
  <c r="H116" i="69"/>
  <c r="G116" i="69"/>
  <c r="F116" i="69"/>
  <c r="S115" i="69"/>
  <c r="R115" i="69"/>
  <c r="O115" i="69"/>
  <c r="N115" i="69"/>
  <c r="M115" i="69"/>
  <c r="H115" i="69"/>
  <c r="G115" i="69"/>
  <c r="F115" i="69"/>
  <c r="S114" i="69"/>
  <c r="R114" i="69"/>
  <c r="O114" i="69"/>
  <c r="N114" i="69"/>
  <c r="M114" i="69"/>
  <c r="H114" i="69"/>
  <c r="G114" i="69"/>
  <c r="F114" i="69"/>
  <c r="S113" i="69"/>
  <c r="R113" i="69"/>
  <c r="O113" i="69"/>
  <c r="N113" i="69"/>
  <c r="M113" i="69"/>
  <c r="H113" i="69"/>
  <c r="G113" i="69"/>
  <c r="F113" i="69"/>
  <c r="S112" i="69"/>
  <c r="R112" i="69"/>
  <c r="O112" i="69"/>
  <c r="N112" i="69"/>
  <c r="M112" i="69"/>
  <c r="H112" i="69"/>
  <c r="G112" i="69"/>
  <c r="F112" i="69"/>
  <c r="S111" i="69"/>
  <c r="R111" i="69"/>
  <c r="O111" i="69"/>
  <c r="N111" i="69"/>
  <c r="M111" i="69"/>
  <c r="H111" i="69"/>
  <c r="G111" i="69"/>
  <c r="F111" i="69"/>
  <c r="S110" i="69"/>
  <c r="R110" i="69"/>
  <c r="O110" i="69"/>
  <c r="N110" i="69"/>
  <c r="M110" i="69"/>
  <c r="H110" i="69"/>
  <c r="G110" i="69"/>
  <c r="F110" i="69"/>
  <c r="S109" i="69"/>
  <c r="R109" i="69"/>
  <c r="O109" i="69"/>
  <c r="N109" i="69"/>
  <c r="M109" i="69"/>
  <c r="H109" i="69"/>
  <c r="G109" i="69"/>
  <c r="F109" i="69"/>
  <c r="S108" i="69"/>
  <c r="R108" i="69"/>
  <c r="O108" i="69"/>
  <c r="N108" i="69"/>
  <c r="M108" i="69"/>
  <c r="H108" i="69"/>
  <c r="G108" i="69"/>
  <c r="F108" i="69"/>
  <c r="S107" i="69"/>
  <c r="R107" i="69"/>
  <c r="O107" i="69"/>
  <c r="N107" i="69"/>
  <c r="M107" i="69"/>
  <c r="H107" i="69"/>
  <c r="G107" i="69"/>
  <c r="F107" i="69"/>
  <c r="S106" i="69"/>
  <c r="R106" i="69"/>
  <c r="O106" i="69"/>
  <c r="N106" i="69"/>
  <c r="M106" i="69"/>
  <c r="H106" i="69"/>
  <c r="G106" i="69"/>
  <c r="F106" i="69"/>
  <c r="S105" i="69"/>
  <c r="R105" i="69"/>
  <c r="O105" i="69"/>
  <c r="N105" i="69"/>
  <c r="M105" i="69"/>
  <c r="H105" i="69"/>
  <c r="G105" i="69"/>
  <c r="F105" i="69"/>
  <c r="S104" i="69"/>
  <c r="R104" i="69"/>
  <c r="O104" i="69"/>
  <c r="N104" i="69"/>
  <c r="M104" i="69"/>
  <c r="H104" i="69"/>
  <c r="G104" i="69"/>
  <c r="F104" i="69"/>
  <c r="S103" i="69"/>
  <c r="R103" i="69"/>
  <c r="O103" i="69"/>
  <c r="N103" i="69"/>
  <c r="M103" i="69"/>
  <c r="H103" i="69"/>
  <c r="G103" i="69"/>
  <c r="F103" i="69"/>
  <c r="S102" i="69"/>
  <c r="R102" i="69"/>
  <c r="O102" i="69"/>
  <c r="N102" i="69"/>
  <c r="M102" i="69"/>
  <c r="H102" i="69"/>
  <c r="G102" i="69"/>
  <c r="F102" i="69"/>
  <c r="S101" i="69"/>
  <c r="R101" i="69"/>
  <c r="O101" i="69"/>
  <c r="N101" i="69"/>
  <c r="M101" i="69"/>
  <c r="H101" i="69"/>
  <c r="G101" i="69"/>
  <c r="F101" i="69"/>
  <c r="S100" i="69"/>
  <c r="R100" i="69"/>
  <c r="O100" i="69"/>
  <c r="N100" i="69"/>
  <c r="M100" i="69"/>
  <c r="H100" i="69"/>
  <c r="G100" i="69"/>
  <c r="F100" i="69"/>
  <c r="S99" i="69"/>
  <c r="R99" i="69"/>
  <c r="O99" i="69"/>
  <c r="N99" i="69"/>
  <c r="M99" i="69"/>
  <c r="H99" i="69"/>
  <c r="G99" i="69"/>
  <c r="F99" i="69"/>
  <c r="S98" i="69"/>
  <c r="R98" i="69"/>
  <c r="O98" i="69"/>
  <c r="N98" i="69"/>
  <c r="M98" i="69"/>
  <c r="H98" i="69"/>
  <c r="G98" i="69"/>
  <c r="F98" i="69"/>
  <c r="S97" i="69"/>
  <c r="R97" i="69"/>
  <c r="O97" i="69"/>
  <c r="N97" i="69"/>
  <c r="M97" i="69"/>
  <c r="H97" i="69"/>
  <c r="G97" i="69"/>
  <c r="F97" i="69"/>
  <c r="S96" i="69"/>
  <c r="R96" i="69"/>
  <c r="O96" i="69"/>
  <c r="N96" i="69"/>
  <c r="M96" i="69"/>
  <c r="H96" i="69"/>
  <c r="G96" i="69"/>
  <c r="F96" i="69"/>
  <c r="S95" i="69"/>
  <c r="R95" i="69"/>
  <c r="O95" i="69"/>
  <c r="N95" i="69"/>
  <c r="M95" i="69"/>
  <c r="H95" i="69"/>
  <c r="G95" i="69"/>
  <c r="F95" i="69"/>
  <c r="S94" i="69"/>
  <c r="R94" i="69"/>
  <c r="O94" i="69"/>
  <c r="N94" i="69"/>
  <c r="M94" i="69"/>
  <c r="H94" i="69"/>
  <c r="G94" i="69"/>
  <c r="F94" i="69"/>
  <c r="S93" i="69"/>
  <c r="R93" i="69"/>
  <c r="O93" i="69"/>
  <c r="N93" i="69"/>
  <c r="M93" i="69"/>
  <c r="H93" i="69"/>
  <c r="G93" i="69"/>
  <c r="F93" i="69"/>
  <c r="S92" i="69"/>
  <c r="R92" i="69"/>
  <c r="O92" i="69"/>
  <c r="N92" i="69"/>
  <c r="M92" i="69"/>
  <c r="H92" i="69"/>
  <c r="G92" i="69"/>
  <c r="F92" i="69"/>
  <c r="S91" i="69"/>
  <c r="R91" i="69"/>
  <c r="O91" i="69"/>
  <c r="N91" i="69"/>
  <c r="M91" i="69"/>
  <c r="H91" i="69"/>
  <c r="G91" i="69"/>
  <c r="F91" i="69"/>
  <c r="S90" i="69"/>
  <c r="R90" i="69"/>
  <c r="N90" i="69"/>
  <c r="M90" i="69"/>
  <c r="H90" i="69"/>
  <c r="G90" i="69"/>
  <c r="F90" i="69"/>
  <c r="S89" i="69"/>
  <c r="R89" i="69"/>
  <c r="O89" i="69"/>
  <c r="N89" i="69"/>
  <c r="M89" i="69"/>
  <c r="H89" i="69"/>
  <c r="G89" i="69"/>
  <c r="F89" i="69"/>
  <c r="S88" i="69"/>
  <c r="R88" i="69"/>
  <c r="O88" i="69"/>
  <c r="N88" i="69"/>
  <c r="M88" i="69"/>
  <c r="H88" i="69"/>
  <c r="G88" i="69"/>
  <c r="F88" i="69"/>
  <c r="S87" i="69"/>
  <c r="R87" i="69"/>
  <c r="O87" i="69"/>
  <c r="N87" i="69"/>
  <c r="M87" i="69"/>
  <c r="H87" i="69"/>
  <c r="G87" i="69"/>
  <c r="F87" i="69"/>
  <c r="S86" i="69"/>
  <c r="R86" i="69"/>
  <c r="O86" i="69"/>
  <c r="N86" i="69"/>
  <c r="M86" i="69"/>
  <c r="H86" i="69"/>
  <c r="G86" i="69"/>
  <c r="F86" i="69"/>
  <c r="S85" i="69"/>
  <c r="R85" i="69"/>
  <c r="O85" i="69"/>
  <c r="N85" i="69"/>
  <c r="M85" i="69"/>
  <c r="H85" i="69"/>
  <c r="G85" i="69"/>
  <c r="F85" i="69"/>
  <c r="S84" i="69"/>
  <c r="R84" i="69"/>
  <c r="O84" i="69"/>
  <c r="N84" i="69"/>
  <c r="M84" i="69"/>
  <c r="H84" i="69"/>
  <c r="G84" i="69"/>
  <c r="F84" i="69"/>
  <c r="S83" i="69"/>
  <c r="R83" i="69"/>
  <c r="O83" i="69"/>
  <c r="N83" i="69"/>
  <c r="M83" i="69"/>
  <c r="H83" i="69"/>
  <c r="G83" i="69"/>
  <c r="F83" i="69"/>
  <c r="S82" i="69"/>
  <c r="R82" i="69"/>
  <c r="O82" i="69"/>
  <c r="N82" i="69"/>
  <c r="M82" i="69"/>
  <c r="H82" i="69"/>
  <c r="G82" i="69"/>
  <c r="F82" i="69"/>
  <c r="S81" i="69"/>
  <c r="R81" i="69"/>
  <c r="O81" i="69"/>
  <c r="N81" i="69"/>
  <c r="M81" i="69"/>
  <c r="H81" i="69"/>
  <c r="G81" i="69"/>
  <c r="F81" i="69"/>
  <c r="S80" i="69"/>
  <c r="R80" i="69"/>
  <c r="O80" i="69"/>
  <c r="N80" i="69"/>
  <c r="M80" i="69"/>
  <c r="H80" i="69"/>
  <c r="G80" i="69"/>
  <c r="F80" i="69"/>
  <c r="S79" i="69"/>
  <c r="R79" i="69"/>
  <c r="O79" i="69"/>
  <c r="N79" i="69"/>
  <c r="M79" i="69"/>
  <c r="H79" i="69"/>
  <c r="G79" i="69"/>
  <c r="F79" i="69"/>
  <c r="S78" i="69"/>
  <c r="R78" i="69"/>
  <c r="O78" i="69"/>
  <c r="N78" i="69"/>
  <c r="M78" i="69"/>
  <c r="H78" i="69"/>
  <c r="G78" i="69"/>
  <c r="F78" i="69"/>
  <c r="S77" i="69"/>
  <c r="R77" i="69"/>
  <c r="O77" i="69"/>
  <c r="N77" i="69"/>
  <c r="M77" i="69"/>
  <c r="H77" i="69"/>
  <c r="G77" i="69"/>
  <c r="F77" i="69"/>
  <c r="S76" i="69"/>
  <c r="R76" i="69"/>
  <c r="O76" i="69"/>
  <c r="N76" i="69"/>
  <c r="M76" i="69"/>
  <c r="H76" i="69"/>
  <c r="G76" i="69"/>
  <c r="F76" i="69"/>
  <c r="S75" i="69"/>
  <c r="R75" i="69"/>
  <c r="O75" i="69"/>
  <c r="N75" i="69"/>
  <c r="M75" i="69"/>
  <c r="H75" i="69"/>
  <c r="G75" i="69"/>
  <c r="F75" i="69"/>
  <c r="S74" i="69"/>
  <c r="R74" i="69"/>
  <c r="O74" i="69"/>
  <c r="N74" i="69"/>
  <c r="M74" i="69"/>
  <c r="H74" i="69"/>
  <c r="G74" i="69"/>
  <c r="F74" i="69"/>
  <c r="S73" i="69"/>
  <c r="R73" i="69"/>
  <c r="O73" i="69"/>
  <c r="N73" i="69"/>
  <c r="M73" i="69"/>
  <c r="H73" i="69"/>
  <c r="G73" i="69"/>
  <c r="F73" i="69"/>
  <c r="S72" i="69"/>
  <c r="R72" i="69"/>
  <c r="O72" i="69"/>
  <c r="N72" i="69"/>
  <c r="M72" i="69"/>
  <c r="H72" i="69"/>
  <c r="G72" i="69"/>
  <c r="F72" i="69"/>
  <c r="S71" i="69"/>
  <c r="R71" i="69"/>
  <c r="O71" i="69"/>
  <c r="N71" i="69"/>
  <c r="M71" i="69"/>
  <c r="H71" i="69"/>
  <c r="G71" i="69"/>
  <c r="F71" i="69"/>
  <c r="S70" i="69"/>
  <c r="R70" i="69"/>
  <c r="O70" i="69"/>
  <c r="N70" i="69"/>
  <c r="M70" i="69"/>
  <c r="H70" i="69"/>
  <c r="G70" i="69"/>
  <c r="F70" i="69"/>
  <c r="S69" i="69"/>
  <c r="R69" i="69"/>
  <c r="O69" i="69"/>
  <c r="N69" i="69"/>
  <c r="M69" i="69"/>
  <c r="H69" i="69"/>
  <c r="G69" i="69"/>
  <c r="F69" i="69"/>
  <c r="S68" i="69"/>
  <c r="R68" i="69"/>
  <c r="O68" i="69"/>
  <c r="N68" i="69"/>
  <c r="M68" i="69"/>
  <c r="H68" i="69"/>
  <c r="G68" i="69"/>
  <c r="F68" i="69"/>
  <c r="S67" i="69"/>
  <c r="R67" i="69"/>
  <c r="O67" i="69"/>
  <c r="N67" i="69"/>
  <c r="M67" i="69"/>
  <c r="H67" i="69"/>
  <c r="G67" i="69"/>
  <c r="F67" i="69"/>
  <c r="S66" i="69"/>
  <c r="R66" i="69"/>
  <c r="O66" i="69"/>
  <c r="N66" i="69"/>
  <c r="M66" i="69"/>
  <c r="H66" i="69"/>
  <c r="G66" i="69"/>
  <c r="F66" i="69"/>
  <c r="S65" i="69"/>
  <c r="R65" i="69"/>
  <c r="O65" i="69"/>
  <c r="N65" i="69"/>
  <c r="M65" i="69"/>
  <c r="H65" i="69"/>
  <c r="G65" i="69"/>
  <c r="F65" i="69"/>
  <c r="E65" i="69" s="1"/>
  <c r="S64" i="69"/>
  <c r="R64" i="69"/>
  <c r="N64" i="69"/>
  <c r="M64" i="69"/>
  <c r="H64" i="69"/>
  <c r="G64" i="69"/>
  <c r="F64" i="69"/>
  <c r="S63" i="69"/>
  <c r="R63" i="69"/>
  <c r="N63" i="69"/>
  <c r="M63" i="69"/>
  <c r="H63" i="69"/>
  <c r="G63" i="69"/>
  <c r="F63" i="69"/>
  <c r="S62" i="69"/>
  <c r="R62" i="69"/>
  <c r="O62" i="69"/>
  <c r="N62" i="69"/>
  <c r="M62" i="69"/>
  <c r="H62" i="69"/>
  <c r="G62" i="69"/>
  <c r="F62" i="69"/>
  <c r="S61" i="69"/>
  <c r="R61" i="69"/>
  <c r="O61" i="69"/>
  <c r="N61" i="69"/>
  <c r="M61" i="69"/>
  <c r="H61" i="69"/>
  <c r="G61" i="69"/>
  <c r="F61" i="69"/>
  <c r="S60" i="69"/>
  <c r="R60" i="69"/>
  <c r="O60" i="69"/>
  <c r="N60" i="69"/>
  <c r="M60" i="69"/>
  <c r="H60" i="69"/>
  <c r="G60" i="69"/>
  <c r="F60" i="69"/>
  <c r="S59" i="69"/>
  <c r="R59" i="69"/>
  <c r="O59" i="69"/>
  <c r="N59" i="69"/>
  <c r="M59" i="69"/>
  <c r="H59" i="69"/>
  <c r="G59" i="69"/>
  <c r="F59" i="69"/>
  <c r="S58" i="69"/>
  <c r="R58" i="69"/>
  <c r="O58" i="69"/>
  <c r="N58" i="69"/>
  <c r="M58" i="69"/>
  <c r="H58" i="69"/>
  <c r="G58" i="69"/>
  <c r="F58" i="69"/>
  <c r="S57" i="69"/>
  <c r="R57" i="69"/>
  <c r="O57" i="69"/>
  <c r="N57" i="69"/>
  <c r="M57" i="69"/>
  <c r="H57" i="69"/>
  <c r="G57" i="69"/>
  <c r="F57" i="69"/>
  <c r="S56" i="69"/>
  <c r="R56" i="69"/>
  <c r="O56" i="69"/>
  <c r="N56" i="69"/>
  <c r="M56" i="69"/>
  <c r="H56" i="69"/>
  <c r="G56" i="69"/>
  <c r="F56" i="69"/>
  <c r="S55" i="69"/>
  <c r="R55" i="69"/>
  <c r="O55" i="69"/>
  <c r="N55" i="69"/>
  <c r="M55" i="69"/>
  <c r="H55" i="69"/>
  <c r="G55" i="69"/>
  <c r="F55" i="69"/>
  <c r="S54" i="69"/>
  <c r="R54" i="69"/>
  <c r="O54" i="69"/>
  <c r="N54" i="69"/>
  <c r="M54" i="69"/>
  <c r="H54" i="69"/>
  <c r="G54" i="69"/>
  <c r="F54" i="69"/>
  <c r="S53" i="69"/>
  <c r="R53" i="69"/>
  <c r="O53" i="69"/>
  <c r="N53" i="69"/>
  <c r="M53" i="69"/>
  <c r="H53" i="69"/>
  <c r="G53" i="69"/>
  <c r="F53" i="69"/>
  <c r="S52" i="69"/>
  <c r="R52" i="69"/>
  <c r="O52" i="69"/>
  <c r="N52" i="69"/>
  <c r="M52" i="69"/>
  <c r="H52" i="69"/>
  <c r="G52" i="69"/>
  <c r="F52" i="69"/>
  <c r="S51" i="69"/>
  <c r="R51" i="69"/>
  <c r="O51" i="69"/>
  <c r="N51" i="69"/>
  <c r="M51" i="69"/>
  <c r="H51" i="69"/>
  <c r="G51" i="69"/>
  <c r="F51" i="69"/>
  <c r="S50" i="69"/>
  <c r="R50" i="69"/>
  <c r="O50" i="69"/>
  <c r="N50" i="69"/>
  <c r="M50" i="69"/>
  <c r="H50" i="69"/>
  <c r="G50" i="69"/>
  <c r="F50" i="69"/>
  <c r="S49" i="69"/>
  <c r="R49" i="69"/>
  <c r="O49" i="69"/>
  <c r="N49" i="69"/>
  <c r="M49" i="69"/>
  <c r="H49" i="69"/>
  <c r="G49" i="69"/>
  <c r="F49" i="69"/>
  <c r="S48" i="69"/>
  <c r="R48" i="69"/>
  <c r="O48" i="69"/>
  <c r="N48" i="69"/>
  <c r="M48" i="69"/>
  <c r="H48" i="69"/>
  <c r="G48" i="69"/>
  <c r="F48" i="69"/>
  <c r="S47" i="69"/>
  <c r="R47" i="69"/>
  <c r="O47" i="69"/>
  <c r="N47" i="69"/>
  <c r="M47" i="69"/>
  <c r="H47" i="69"/>
  <c r="G47" i="69"/>
  <c r="F47" i="69"/>
  <c r="S46" i="69"/>
  <c r="R46" i="69"/>
  <c r="O46" i="69"/>
  <c r="N46" i="69"/>
  <c r="M46" i="69"/>
  <c r="H46" i="69"/>
  <c r="G46" i="69"/>
  <c r="F46" i="69"/>
  <c r="S45" i="69"/>
  <c r="R45" i="69"/>
  <c r="O45" i="69"/>
  <c r="N45" i="69"/>
  <c r="M45" i="69"/>
  <c r="H45" i="69"/>
  <c r="G45" i="69"/>
  <c r="F45" i="69"/>
  <c r="S44" i="69"/>
  <c r="R44" i="69"/>
  <c r="O44" i="69"/>
  <c r="N44" i="69"/>
  <c r="M44" i="69"/>
  <c r="H44" i="69"/>
  <c r="G44" i="69"/>
  <c r="F44" i="69"/>
  <c r="S43" i="69"/>
  <c r="R43" i="69"/>
  <c r="O43" i="69"/>
  <c r="N43" i="69"/>
  <c r="M43" i="69"/>
  <c r="H43" i="69"/>
  <c r="G43" i="69"/>
  <c r="F43" i="69"/>
  <c r="S42" i="69"/>
  <c r="R42" i="69"/>
  <c r="O42" i="69"/>
  <c r="N42" i="69"/>
  <c r="M42" i="69"/>
  <c r="H42" i="69"/>
  <c r="G42" i="69"/>
  <c r="F42" i="69"/>
  <c r="S41" i="69"/>
  <c r="R41" i="69"/>
  <c r="O41" i="69"/>
  <c r="N41" i="69"/>
  <c r="M41" i="69"/>
  <c r="H41" i="69"/>
  <c r="G41" i="69"/>
  <c r="F41" i="69"/>
  <c r="S40" i="69"/>
  <c r="R40" i="69"/>
  <c r="O40" i="69"/>
  <c r="N40" i="69"/>
  <c r="M40" i="69"/>
  <c r="H40" i="69"/>
  <c r="G40" i="69"/>
  <c r="F40" i="69"/>
  <c r="S39" i="69"/>
  <c r="R39" i="69"/>
  <c r="O39" i="69"/>
  <c r="N39" i="69"/>
  <c r="M39" i="69"/>
  <c r="H39" i="69"/>
  <c r="G39" i="69"/>
  <c r="F39" i="69"/>
  <c r="S38" i="69"/>
  <c r="R38" i="69"/>
  <c r="O38" i="69"/>
  <c r="N38" i="69"/>
  <c r="M38" i="69"/>
  <c r="H38" i="69"/>
  <c r="G38" i="69"/>
  <c r="F38" i="69"/>
  <c r="S37" i="69"/>
  <c r="R37" i="69"/>
  <c r="O37" i="69"/>
  <c r="N37" i="69"/>
  <c r="M37" i="69"/>
  <c r="H37" i="69"/>
  <c r="G37" i="69"/>
  <c r="F37" i="69"/>
  <c r="S36" i="69"/>
  <c r="R36" i="69"/>
  <c r="O36" i="69"/>
  <c r="N36" i="69"/>
  <c r="M36" i="69"/>
  <c r="H36" i="69"/>
  <c r="G36" i="69"/>
  <c r="F36" i="69"/>
  <c r="S35" i="69"/>
  <c r="R35" i="69"/>
  <c r="O35" i="69"/>
  <c r="N35" i="69"/>
  <c r="M35" i="69"/>
  <c r="H35" i="69"/>
  <c r="G35" i="69"/>
  <c r="F35" i="69"/>
  <c r="S34" i="69"/>
  <c r="R34" i="69"/>
  <c r="N34" i="69"/>
  <c r="M34" i="69"/>
  <c r="H34" i="69"/>
  <c r="G34" i="69"/>
  <c r="F34" i="69"/>
  <c r="S33" i="69"/>
  <c r="R33" i="69"/>
  <c r="N33" i="69"/>
  <c r="M33" i="69"/>
  <c r="H33" i="69"/>
  <c r="G33" i="69"/>
  <c r="F33" i="69"/>
  <c r="S32" i="69"/>
  <c r="R32" i="69"/>
  <c r="O32" i="69"/>
  <c r="N32" i="69"/>
  <c r="M32" i="69"/>
  <c r="H32" i="69"/>
  <c r="G32" i="69"/>
  <c r="F32" i="69"/>
  <c r="S31" i="69"/>
  <c r="R31" i="69"/>
  <c r="O31" i="69"/>
  <c r="N31" i="69"/>
  <c r="M31" i="69"/>
  <c r="H31" i="69"/>
  <c r="G31" i="69"/>
  <c r="F31" i="69"/>
  <c r="S30" i="69"/>
  <c r="R30" i="69"/>
  <c r="O30" i="69"/>
  <c r="N30" i="69"/>
  <c r="M30" i="69"/>
  <c r="H30" i="69"/>
  <c r="G30" i="69"/>
  <c r="F30" i="69"/>
  <c r="S29" i="69"/>
  <c r="R29" i="69"/>
  <c r="O29" i="69"/>
  <c r="N29" i="69"/>
  <c r="M29" i="69"/>
  <c r="H29" i="69"/>
  <c r="G29" i="69"/>
  <c r="F29" i="69"/>
  <c r="S28" i="69"/>
  <c r="R28" i="69"/>
  <c r="O28" i="69"/>
  <c r="N28" i="69"/>
  <c r="M28" i="69"/>
  <c r="H28" i="69"/>
  <c r="G28" i="69"/>
  <c r="F28" i="69"/>
  <c r="S27" i="69"/>
  <c r="R27" i="69"/>
  <c r="O27" i="69"/>
  <c r="N27" i="69"/>
  <c r="M27" i="69"/>
  <c r="H27" i="69"/>
  <c r="G27" i="69"/>
  <c r="F27" i="69"/>
  <c r="S26" i="69"/>
  <c r="R26" i="69"/>
  <c r="O26" i="69"/>
  <c r="N26" i="69"/>
  <c r="M26" i="69"/>
  <c r="H26" i="69"/>
  <c r="G26" i="69"/>
  <c r="F26" i="69"/>
  <c r="S25" i="69"/>
  <c r="R25" i="69"/>
  <c r="O25" i="69"/>
  <c r="N25" i="69"/>
  <c r="M25" i="69"/>
  <c r="H25" i="69"/>
  <c r="G25" i="69"/>
  <c r="F25" i="69"/>
  <c r="S24" i="69"/>
  <c r="R24" i="69"/>
  <c r="O24" i="69"/>
  <c r="N24" i="69"/>
  <c r="M24" i="69"/>
  <c r="H24" i="69"/>
  <c r="G24" i="69"/>
  <c r="F24" i="69"/>
  <c r="S23" i="69"/>
  <c r="R23" i="69"/>
  <c r="O23" i="69"/>
  <c r="N23" i="69"/>
  <c r="M23" i="69"/>
  <c r="H23" i="69"/>
  <c r="G23" i="69"/>
  <c r="F23" i="69"/>
  <c r="S22" i="69"/>
  <c r="R22" i="69"/>
  <c r="O22" i="69"/>
  <c r="N22" i="69"/>
  <c r="M22" i="69"/>
  <c r="H22" i="69"/>
  <c r="G22" i="69"/>
  <c r="F22" i="69"/>
  <c r="S21" i="69"/>
  <c r="R21" i="69"/>
  <c r="O21" i="69"/>
  <c r="N21" i="69"/>
  <c r="M21" i="69"/>
  <c r="H21" i="69"/>
  <c r="G21" i="69"/>
  <c r="F21" i="69"/>
  <c r="E21" i="69" s="1"/>
  <c r="S20" i="69"/>
  <c r="R20" i="69"/>
  <c r="O20" i="69"/>
  <c r="N20" i="69"/>
  <c r="M20" i="69"/>
  <c r="H20" i="69"/>
  <c r="G20" i="69"/>
  <c r="F20" i="69"/>
  <c r="S19" i="69"/>
  <c r="R19" i="69"/>
  <c r="O19" i="69"/>
  <c r="N19" i="69"/>
  <c r="M19" i="69"/>
  <c r="H19" i="69"/>
  <c r="G19" i="69"/>
  <c r="F19" i="69"/>
  <c r="E19" i="69" s="1"/>
  <c r="S18" i="69"/>
  <c r="R18" i="69"/>
  <c r="O18" i="69"/>
  <c r="N18" i="69"/>
  <c r="M18" i="69"/>
  <c r="H18" i="69"/>
  <c r="G18" i="69"/>
  <c r="F18" i="69"/>
  <c r="S17" i="69"/>
  <c r="R17" i="69"/>
  <c r="O17" i="69"/>
  <c r="N17" i="69"/>
  <c r="M17" i="69"/>
  <c r="H17" i="69"/>
  <c r="G17" i="69"/>
  <c r="F17" i="69"/>
  <c r="E17" i="69" s="1"/>
  <c r="S16" i="69"/>
  <c r="R16" i="69"/>
  <c r="O16" i="69"/>
  <c r="N16" i="69"/>
  <c r="M16" i="69"/>
  <c r="H16" i="69"/>
  <c r="G16" i="69"/>
  <c r="F16" i="69"/>
  <c r="S15" i="69"/>
  <c r="R15" i="69"/>
  <c r="O15" i="69"/>
  <c r="N15" i="69"/>
  <c r="M15" i="69"/>
  <c r="H15" i="69"/>
  <c r="G15" i="69"/>
  <c r="F15" i="69"/>
  <c r="E15" i="69" s="1"/>
  <c r="S14" i="69"/>
  <c r="R14" i="69"/>
  <c r="O14" i="69"/>
  <c r="N14" i="69"/>
  <c r="M14" i="69"/>
  <c r="H14" i="69"/>
  <c r="G14" i="69"/>
  <c r="F14" i="69"/>
  <c r="S13" i="69"/>
  <c r="R13" i="69"/>
  <c r="O13" i="69"/>
  <c r="N13" i="69"/>
  <c r="M13" i="69"/>
  <c r="H13" i="69"/>
  <c r="G13" i="69"/>
  <c r="F13" i="69"/>
  <c r="S12" i="69"/>
  <c r="R12" i="69"/>
  <c r="O12" i="69"/>
  <c r="N12" i="69"/>
  <c r="M12" i="69"/>
  <c r="H12" i="69"/>
  <c r="G12" i="69"/>
  <c r="F12" i="69"/>
  <c r="S11" i="69"/>
  <c r="R11" i="69"/>
  <c r="O11" i="69"/>
  <c r="N11" i="69"/>
  <c r="M11" i="69"/>
  <c r="H11" i="69"/>
  <c r="G11" i="69"/>
  <c r="F11" i="69"/>
  <c r="E11" i="69" s="1"/>
  <c r="Q10" i="69"/>
  <c r="Q8" i="69" s="1"/>
  <c r="P10" i="69"/>
  <c r="L10" i="69"/>
  <c r="K10" i="69"/>
  <c r="J10" i="69"/>
  <c r="I10" i="69"/>
  <c r="S9" i="69"/>
  <c r="R9" i="69"/>
  <c r="P9" i="69"/>
  <c r="O9" i="69" s="1"/>
  <c r="L9" i="69"/>
  <c r="L8" i="69" s="1"/>
  <c r="K9" i="69"/>
  <c r="J9" i="69"/>
  <c r="I9" i="69"/>
  <c r="G9" i="69"/>
  <c r="F9" i="69"/>
  <c r="E130" i="69" l="1"/>
  <c r="E136" i="69"/>
  <c r="E123" i="69"/>
  <c r="E140" i="69"/>
  <c r="E91" i="69"/>
  <c r="D91" i="69" s="1"/>
  <c r="E93" i="69"/>
  <c r="E96" i="69"/>
  <c r="E99" i="69"/>
  <c r="E102" i="69"/>
  <c r="E108" i="69"/>
  <c r="D108" i="69" s="1"/>
  <c r="E110" i="69"/>
  <c r="D110" i="69" s="1"/>
  <c r="E115" i="69"/>
  <c r="E117" i="69"/>
  <c r="E122" i="69"/>
  <c r="E68" i="69"/>
  <c r="E83" i="69"/>
  <c r="E88" i="69"/>
  <c r="E36" i="69"/>
  <c r="D36" i="69" s="1"/>
  <c r="E38" i="69"/>
  <c r="E41" i="69"/>
  <c r="D41" i="69" s="1"/>
  <c r="E47" i="69"/>
  <c r="E48" i="69"/>
  <c r="D48" i="69" s="1"/>
  <c r="E49" i="69"/>
  <c r="D49" i="69" s="1"/>
  <c r="E63" i="69"/>
  <c r="E24" i="69"/>
  <c r="E29" i="69"/>
  <c r="E32" i="69"/>
  <c r="D129" i="69"/>
  <c r="D135" i="69"/>
  <c r="D136" i="69"/>
  <c r="D138" i="69"/>
  <c r="E141" i="69"/>
  <c r="D141" i="69" s="1"/>
  <c r="E61" i="69"/>
  <c r="D61" i="69" s="1"/>
  <c r="E80" i="69"/>
  <c r="D80" i="69" s="1"/>
  <c r="E81" i="69"/>
  <c r="D81" i="69" s="1"/>
  <c r="E84" i="69"/>
  <c r="E87" i="69"/>
  <c r="D87" i="69" s="1"/>
  <c r="E127" i="69"/>
  <c r="D127" i="69" s="1"/>
  <c r="E148" i="69"/>
  <c r="D15" i="69"/>
  <c r="E146" i="69"/>
  <c r="D146" i="69" s="1"/>
  <c r="E37" i="69"/>
  <c r="D37" i="69" s="1"/>
  <c r="E52" i="69"/>
  <c r="E9" i="69"/>
  <c r="E27" i="69"/>
  <c r="D27" i="69" s="1"/>
  <c r="E145" i="69"/>
  <c r="D145" i="69" s="1"/>
  <c r="J8" i="69"/>
  <c r="E66" i="69"/>
  <c r="D66" i="69" s="1"/>
  <c r="E133" i="69"/>
  <c r="D133" i="69" s="1"/>
  <c r="E118" i="69"/>
  <c r="D118" i="69" s="1"/>
  <c r="E121" i="69"/>
  <c r="D121" i="69" s="1"/>
  <c r="E12" i="69"/>
  <c r="D12" i="69" s="1"/>
  <c r="D63" i="69"/>
  <c r="E78" i="69"/>
  <c r="D78" i="69" s="1"/>
  <c r="E33" i="69"/>
  <c r="D33" i="69" s="1"/>
  <c r="D123" i="69"/>
  <c r="D17" i="69"/>
  <c r="D38" i="69"/>
  <c r="D47" i="69"/>
  <c r="K8" i="69"/>
  <c r="G10" i="69"/>
  <c r="G8" i="69" s="1"/>
  <c r="E50" i="69"/>
  <c r="D50" i="69" s="1"/>
  <c r="E53" i="69"/>
  <c r="D53" i="69" s="1"/>
  <c r="E59" i="69"/>
  <c r="E71" i="69"/>
  <c r="D71" i="69" s="1"/>
  <c r="E74" i="69"/>
  <c r="E95" i="69"/>
  <c r="D95" i="69" s="1"/>
  <c r="E98" i="69"/>
  <c r="D98" i="69" s="1"/>
  <c r="E107" i="69"/>
  <c r="D107" i="69" s="1"/>
  <c r="E143" i="69"/>
  <c r="D143" i="69" s="1"/>
  <c r="D29" i="69"/>
  <c r="S10" i="69"/>
  <c r="S8" i="69" s="1"/>
  <c r="E113" i="69"/>
  <c r="D113" i="69" s="1"/>
  <c r="D134" i="69"/>
  <c r="D32" i="69"/>
  <c r="E13" i="69"/>
  <c r="D13" i="69" s="1"/>
  <c r="E16" i="69"/>
  <c r="D16" i="69" s="1"/>
  <c r="E46" i="69"/>
  <c r="D46" i="69" s="1"/>
  <c r="E64" i="69"/>
  <c r="D64" i="69" s="1"/>
  <c r="E70" i="69"/>
  <c r="D70" i="69" s="1"/>
  <c r="E82" i="69"/>
  <c r="D82" i="69" s="1"/>
  <c r="E22" i="69"/>
  <c r="D22" i="69" s="1"/>
  <c r="E58" i="69"/>
  <c r="D58" i="69" s="1"/>
  <c r="E94" i="69"/>
  <c r="D94" i="69" s="1"/>
  <c r="E103" i="69"/>
  <c r="D103" i="69" s="1"/>
  <c r="E106" i="69"/>
  <c r="D106" i="69" s="1"/>
  <c r="E109" i="69"/>
  <c r="D109" i="69" s="1"/>
  <c r="E147" i="69"/>
  <c r="E25" i="69"/>
  <c r="E31" i="69"/>
  <c r="D31" i="69" s="1"/>
  <c r="E112" i="69"/>
  <c r="D112" i="69" s="1"/>
  <c r="P8" i="69"/>
  <c r="M10" i="69"/>
  <c r="M8" i="69" s="1"/>
  <c r="E20" i="69"/>
  <c r="D20" i="69" s="1"/>
  <c r="E23" i="69"/>
  <c r="D23" i="69" s="1"/>
  <c r="E51" i="69"/>
  <c r="D51" i="69" s="1"/>
  <c r="E54" i="69"/>
  <c r="D54" i="69" s="1"/>
  <c r="E57" i="69"/>
  <c r="D57" i="69" s="1"/>
  <c r="E85" i="69"/>
  <c r="D85" i="69" s="1"/>
  <c r="E126" i="69"/>
  <c r="D126" i="69" s="1"/>
  <c r="E139" i="69"/>
  <c r="D139" i="69" s="1"/>
  <c r="E144" i="69"/>
  <c r="D144" i="69" s="1"/>
  <c r="N10" i="69"/>
  <c r="N8" i="69" s="1"/>
  <c r="O10" i="69"/>
  <c r="E26" i="69"/>
  <c r="D26" i="69" s="1"/>
  <c r="E35" i="69"/>
  <c r="D35" i="69" s="1"/>
  <c r="E60" i="69"/>
  <c r="D60" i="69" s="1"/>
  <c r="E69" i="69"/>
  <c r="D69" i="69" s="1"/>
  <c r="D88" i="69"/>
  <c r="E97" i="69"/>
  <c r="D97" i="69" s="1"/>
  <c r="E100" i="69"/>
  <c r="D100" i="69" s="1"/>
  <c r="E116" i="69"/>
  <c r="D116" i="69" s="1"/>
  <c r="E72" i="69"/>
  <c r="D72" i="69" s="1"/>
  <c r="E75" i="69"/>
  <c r="D75" i="69" s="1"/>
  <c r="E119" i="69"/>
  <c r="D119" i="69" s="1"/>
  <c r="E132" i="69"/>
  <c r="D132" i="69" s="1"/>
  <c r="E44" i="69"/>
  <c r="D44" i="69" s="1"/>
  <c r="D19" i="69"/>
  <c r="D65" i="69"/>
  <c r="D68" i="69"/>
  <c r="D84" i="69"/>
  <c r="D93" i="69"/>
  <c r="D115" i="69"/>
  <c r="D128" i="69"/>
  <c r="D148" i="69"/>
  <c r="I8" i="69"/>
  <c r="D25" i="69"/>
  <c r="E56" i="69"/>
  <c r="D56" i="69" s="1"/>
  <c r="D59" i="69"/>
  <c r="E90" i="69"/>
  <c r="D90" i="69" s="1"/>
  <c r="D96" i="69"/>
  <c r="D99" i="69"/>
  <c r="D102" i="69"/>
  <c r="E125" i="69"/>
  <c r="D125" i="69" s="1"/>
  <c r="E28" i="69"/>
  <c r="D28" i="69" s="1"/>
  <c r="E34" i="69"/>
  <c r="D34" i="69" s="1"/>
  <c r="E40" i="69"/>
  <c r="D40" i="69" s="1"/>
  <c r="E43" i="69"/>
  <c r="D43" i="69" s="1"/>
  <c r="E62" i="69"/>
  <c r="D62" i="69" s="1"/>
  <c r="E77" i="69"/>
  <c r="D77" i="69" s="1"/>
  <c r="E105" i="69"/>
  <c r="D105" i="69" s="1"/>
  <c r="D122" i="69"/>
  <c r="E131" i="69"/>
  <c r="D131" i="69" s="1"/>
  <c r="E18" i="69"/>
  <c r="D18" i="69" s="1"/>
  <c r="D74" i="69"/>
  <c r="D83" i="69"/>
  <c r="D140" i="69"/>
  <c r="D24" i="69"/>
  <c r="E55" i="69"/>
  <c r="D55" i="69" s="1"/>
  <c r="E67" i="69"/>
  <c r="D67" i="69" s="1"/>
  <c r="E86" i="69"/>
  <c r="D86" i="69" s="1"/>
  <c r="E89" i="69"/>
  <c r="D89" i="69" s="1"/>
  <c r="E92" i="69"/>
  <c r="D92" i="69" s="1"/>
  <c r="E111" i="69"/>
  <c r="D111" i="69" s="1"/>
  <c r="E114" i="69"/>
  <c r="D114" i="69" s="1"/>
  <c r="E124" i="69"/>
  <c r="D124" i="69" s="1"/>
  <c r="E137" i="69"/>
  <c r="D137" i="69" s="1"/>
  <c r="D52" i="69"/>
  <c r="D117" i="69"/>
  <c r="D130" i="69"/>
  <c r="D147" i="69"/>
  <c r="D21" i="69"/>
  <c r="H10" i="69"/>
  <c r="H8" i="69" s="1"/>
  <c r="E14" i="69"/>
  <c r="D14" i="69" s="1"/>
  <c r="R10" i="69"/>
  <c r="R8" i="69" s="1"/>
  <c r="E30" i="69"/>
  <c r="D30" i="69" s="1"/>
  <c r="E39" i="69"/>
  <c r="D39" i="69" s="1"/>
  <c r="E42" i="69"/>
  <c r="D42" i="69" s="1"/>
  <c r="E45" i="69"/>
  <c r="D45" i="69" s="1"/>
  <c r="E73" i="69"/>
  <c r="D73" i="69" s="1"/>
  <c r="E76" i="69"/>
  <c r="D76" i="69" s="1"/>
  <c r="E79" i="69"/>
  <c r="D79" i="69" s="1"/>
  <c r="E101" i="69"/>
  <c r="D101" i="69" s="1"/>
  <c r="E104" i="69"/>
  <c r="D104" i="69" s="1"/>
  <c r="E120" i="69"/>
  <c r="D120" i="69" s="1"/>
  <c r="E142" i="69"/>
  <c r="D142" i="69" s="1"/>
  <c r="D11" i="69"/>
  <c r="D9" i="69"/>
  <c r="O8" i="69"/>
  <c r="F10" i="69"/>
  <c r="F8" i="69" s="1"/>
  <c r="E10" i="69" l="1"/>
  <c r="E8" i="69" s="1"/>
  <c r="D8" i="69" s="1"/>
  <c r="D10" i="69"/>
  <c r="D150" i="68" l="1"/>
  <c r="D149" i="68"/>
  <c r="D148" i="68"/>
  <c r="D147" i="68"/>
  <c r="D146" i="68"/>
  <c r="D145" i="68"/>
  <c r="D144" i="68"/>
  <c r="D143" i="68"/>
  <c r="H142" i="68"/>
  <c r="F142" i="68" s="1"/>
  <c r="D142" i="68" s="1"/>
  <c r="H141" i="68"/>
  <c r="F141" i="68" s="1"/>
  <c r="D141" i="68" s="1"/>
  <c r="H140" i="68"/>
  <c r="F140" i="68" s="1"/>
  <c r="D140" i="68" s="1"/>
  <c r="H139" i="68"/>
  <c r="F139" i="68" s="1"/>
  <c r="D139" i="68" s="1"/>
  <c r="H138" i="68"/>
  <c r="F138" i="68" s="1"/>
  <c r="D138" i="68" s="1"/>
  <c r="H137" i="68"/>
  <c r="F137" i="68" s="1"/>
  <c r="D137" i="68" s="1"/>
  <c r="H136" i="68"/>
  <c r="F136" i="68" s="1"/>
  <c r="D136" i="68" s="1"/>
  <c r="H135" i="68"/>
  <c r="F135" i="68" s="1"/>
  <c r="D135" i="68" s="1"/>
  <c r="H134" i="68"/>
  <c r="F134" i="68" s="1"/>
  <c r="D134" i="68" s="1"/>
  <c r="H133" i="68"/>
  <c r="F133" i="68" s="1"/>
  <c r="D133" i="68" s="1"/>
  <c r="H132" i="68"/>
  <c r="F132" i="68" s="1"/>
  <c r="D132" i="68" s="1"/>
  <c r="H131" i="68"/>
  <c r="F131" i="68" s="1"/>
  <c r="D131" i="68" s="1"/>
  <c r="H130" i="68"/>
  <c r="F130" i="68" s="1"/>
  <c r="D130" i="68" s="1"/>
  <c r="D129" i="68"/>
  <c r="H128" i="68"/>
  <c r="F128" i="68" s="1"/>
  <c r="D128" i="68" s="1"/>
  <c r="D127" i="68"/>
  <c r="D126" i="68"/>
  <c r="D125" i="68"/>
  <c r="D124" i="68"/>
  <c r="D123" i="68"/>
  <c r="D122" i="68"/>
  <c r="D121" i="68"/>
  <c r="D120" i="68"/>
  <c r="D119" i="68"/>
  <c r="H118" i="68"/>
  <c r="F118" i="68" s="1"/>
  <c r="D118" i="68" s="1"/>
  <c r="D117" i="68"/>
  <c r="D116" i="68"/>
  <c r="D115" i="68"/>
  <c r="D114" i="68"/>
  <c r="D113" i="68"/>
  <c r="H112" i="68"/>
  <c r="F112" i="68" s="1"/>
  <c r="D112" i="68" s="1"/>
  <c r="H111" i="68"/>
  <c r="F111" i="68" s="1"/>
  <c r="D111" i="68" s="1"/>
  <c r="H110" i="68"/>
  <c r="F110" i="68" s="1"/>
  <c r="D110" i="68" s="1"/>
  <c r="H109" i="68"/>
  <c r="F109" i="68" s="1"/>
  <c r="D109" i="68" s="1"/>
  <c r="H108" i="68"/>
  <c r="F108" i="68" s="1"/>
  <c r="D108" i="68" s="1"/>
  <c r="H107" i="68"/>
  <c r="F107" i="68" s="1"/>
  <c r="D107" i="68" s="1"/>
  <c r="H106" i="68"/>
  <c r="F106" i="68" s="1"/>
  <c r="D106" i="68" s="1"/>
  <c r="H105" i="68"/>
  <c r="F105" i="68" s="1"/>
  <c r="D105" i="68" s="1"/>
  <c r="H104" i="68"/>
  <c r="F104" i="68" s="1"/>
  <c r="D104" i="68" s="1"/>
  <c r="H103" i="68"/>
  <c r="F103" i="68" s="1"/>
  <c r="D103" i="68" s="1"/>
  <c r="H102" i="68"/>
  <c r="F102" i="68" s="1"/>
  <c r="D102" i="68" s="1"/>
  <c r="H101" i="68"/>
  <c r="F101" i="68" s="1"/>
  <c r="D101" i="68" s="1"/>
  <c r="H100" i="68"/>
  <c r="F100" i="68" s="1"/>
  <c r="D100" i="68" s="1"/>
  <c r="H99" i="68"/>
  <c r="F99" i="68" s="1"/>
  <c r="D99" i="68" s="1"/>
  <c r="H98" i="68"/>
  <c r="F98" i="68" s="1"/>
  <c r="D98" i="68" s="1"/>
  <c r="H97" i="68"/>
  <c r="F97" i="68" s="1"/>
  <c r="D97" i="68" s="1"/>
  <c r="D96" i="68"/>
  <c r="H95" i="68"/>
  <c r="F95" i="68" s="1"/>
  <c r="D95" i="68" s="1"/>
  <c r="H94" i="68"/>
  <c r="F94" i="68" s="1"/>
  <c r="D94" i="68" s="1"/>
  <c r="H93" i="68"/>
  <c r="F93" i="68" s="1"/>
  <c r="D93" i="68" s="1"/>
  <c r="D92" i="68"/>
  <c r="H91" i="68"/>
  <c r="F91" i="68" s="1"/>
  <c r="D91" i="68" s="1"/>
  <c r="H90" i="68"/>
  <c r="F90" i="68" s="1"/>
  <c r="D90" i="68" s="1"/>
  <c r="H89" i="68"/>
  <c r="F89" i="68" s="1"/>
  <c r="D89" i="68" s="1"/>
  <c r="H88" i="68"/>
  <c r="F88" i="68" s="1"/>
  <c r="D88" i="68" s="1"/>
  <c r="H87" i="68"/>
  <c r="F87" i="68" s="1"/>
  <c r="D87" i="68" s="1"/>
  <c r="H86" i="68"/>
  <c r="F86" i="68" s="1"/>
  <c r="D86" i="68" s="1"/>
  <c r="H85" i="68"/>
  <c r="F85" i="68" s="1"/>
  <c r="D85" i="68" s="1"/>
  <c r="H84" i="68"/>
  <c r="F84" i="68" s="1"/>
  <c r="D84" i="68" s="1"/>
  <c r="H83" i="68"/>
  <c r="F83" i="68" s="1"/>
  <c r="D83" i="68" s="1"/>
  <c r="H82" i="68"/>
  <c r="F82" i="68" s="1"/>
  <c r="D82" i="68" s="1"/>
  <c r="H81" i="68"/>
  <c r="F81" i="68" s="1"/>
  <c r="D81" i="68" s="1"/>
  <c r="H80" i="68"/>
  <c r="F80" i="68"/>
  <c r="D80" i="68" s="1"/>
  <c r="H79" i="68"/>
  <c r="F79" i="68" s="1"/>
  <c r="D79" i="68" s="1"/>
  <c r="H78" i="68"/>
  <c r="F78" i="68" s="1"/>
  <c r="D78" i="68" s="1"/>
  <c r="H77" i="68"/>
  <c r="F77" i="68"/>
  <c r="D77" i="68" s="1"/>
  <c r="H76" i="68"/>
  <c r="F76" i="68" s="1"/>
  <c r="D76" i="68" s="1"/>
  <c r="H75" i="68"/>
  <c r="F75" i="68" s="1"/>
  <c r="D75" i="68" s="1"/>
  <c r="H74" i="68"/>
  <c r="F74" i="68" s="1"/>
  <c r="D74" i="68" s="1"/>
  <c r="H73" i="68"/>
  <c r="F73" i="68" s="1"/>
  <c r="D73" i="68" s="1"/>
  <c r="H72" i="68"/>
  <c r="F72" i="68" s="1"/>
  <c r="D72" i="68" s="1"/>
  <c r="H71" i="68"/>
  <c r="F71" i="68" s="1"/>
  <c r="D71" i="68" s="1"/>
  <c r="H70" i="68"/>
  <c r="F70" i="68" s="1"/>
  <c r="D70" i="68" s="1"/>
  <c r="H69" i="68"/>
  <c r="F69" i="68" s="1"/>
  <c r="D69" i="68" s="1"/>
  <c r="H68" i="68"/>
  <c r="F68" i="68" s="1"/>
  <c r="D68" i="68" s="1"/>
  <c r="H67" i="68"/>
  <c r="F67" i="68" s="1"/>
  <c r="D67" i="68" s="1"/>
  <c r="D66" i="68"/>
  <c r="D65" i="68"/>
  <c r="H64" i="68"/>
  <c r="F64" i="68" s="1"/>
  <c r="D64" i="68" s="1"/>
  <c r="H63" i="68"/>
  <c r="F63" i="68" s="1"/>
  <c r="D63" i="68" s="1"/>
  <c r="H62" i="68"/>
  <c r="F62" i="68" s="1"/>
  <c r="D62" i="68" s="1"/>
  <c r="H61" i="68"/>
  <c r="F61" i="68" s="1"/>
  <c r="D61" i="68" s="1"/>
  <c r="H60" i="68"/>
  <c r="F60" i="68" s="1"/>
  <c r="D60" i="68" s="1"/>
  <c r="H59" i="68"/>
  <c r="F59" i="68" s="1"/>
  <c r="D59" i="68" s="1"/>
  <c r="H58" i="68"/>
  <c r="F58" i="68"/>
  <c r="D58" i="68" s="1"/>
  <c r="H57" i="68"/>
  <c r="F57" i="68" s="1"/>
  <c r="D57" i="68" s="1"/>
  <c r="H56" i="68"/>
  <c r="F56" i="68" s="1"/>
  <c r="D56" i="68" s="1"/>
  <c r="H55" i="68"/>
  <c r="F55" i="68" s="1"/>
  <c r="D55" i="68" s="1"/>
  <c r="H54" i="68"/>
  <c r="F54" i="68" s="1"/>
  <c r="D54" i="68" s="1"/>
  <c r="H53" i="68"/>
  <c r="F53" i="68" s="1"/>
  <c r="D53" i="68" s="1"/>
  <c r="H52" i="68"/>
  <c r="F52" i="68" s="1"/>
  <c r="D52" i="68" s="1"/>
  <c r="H51" i="68"/>
  <c r="F51" i="68" s="1"/>
  <c r="D51" i="68" s="1"/>
  <c r="H50" i="68"/>
  <c r="F50" i="68" s="1"/>
  <c r="D50" i="68" s="1"/>
  <c r="H49" i="68"/>
  <c r="F49" i="68" s="1"/>
  <c r="D49" i="68" s="1"/>
  <c r="H48" i="68"/>
  <c r="F48" i="68" s="1"/>
  <c r="D48" i="68" s="1"/>
  <c r="H47" i="68"/>
  <c r="F47" i="68" s="1"/>
  <c r="D47" i="68" s="1"/>
  <c r="H46" i="68"/>
  <c r="F46" i="68" s="1"/>
  <c r="D46" i="68" s="1"/>
  <c r="H45" i="68"/>
  <c r="F45" i="68" s="1"/>
  <c r="D45" i="68" s="1"/>
  <c r="H44" i="68"/>
  <c r="F44" i="68" s="1"/>
  <c r="D44" i="68" s="1"/>
  <c r="H43" i="68"/>
  <c r="F43" i="68" s="1"/>
  <c r="D43" i="68" s="1"/>
  <c r="H42" i="68"/>
  <c r="F42" i="68"/>
  <c r="D42" i="68" s="1"/>
  <c r="H41" i="68"/>
  <c r="F41" i="68" s="1"/>
  <c r="D41" i="68" s="1"/>
  <c r="H40" i="68"/>
  <c r="F40" i="68" s="1"/>
  <c r="D40" i="68" s="1"/>
  <c r="H39" i="68"/>
  <c r="F39" i="68" s="1"/>
  <c r="D39" i="68" s="1"/>
  <c r="H38" i="68"/>
  <c r="F38" i="68" s="1"/>
  <c r="D38" i="68" s="1"/>
  <c r="H37" i="68"/>
  <c r="F37" i="68" s="1"/>
  <c r="D37" i="68" s="1"/>
  <c r="F36" i="68"/>
  <c r="D36" i="68" s="1"/>
  <c r="F35" i="68"/>
  <c r="D35" i="68" s="1"/>
  <c r="H34" i="68"/>
  <c r="F34" i="68"/>
  <c r="D34" i="68" s="1"/>
  <c r="H33" i="68"/>
  <c r="F33" i="68" s="1"/>
  <c r="D33" i="68" s="1"/>
  <c r="H32" i="68"/>
  <c r="F32" i="68" s="1"/>
  <c r="D32" i="68" s="1"/>
  <c r="H31" i="68"/>
  <c r="F31" i="68" s="1"/>
  <c r="D31" i="68" s="1"/>
  <c r="H30" i="68"/>
  <c r="F30" i="68" s="1"/>
  <c r="D30" i="68" s="1"/>
  <c r="H29" i="68"/>
  <c r="F29" i="68" s="1"/>
  <c r="D29" i="68" s="1"/>
  <c r="H28" i="68"/>
  <c r="F28" i="68"/>
  <c r="D28" i="68" s="1"/>
  <c r="H27" i="68"/>
  <c r="F27" i="68" s="1"/>
  <c r="D27" i="68" s="1"/>
  <c r="H26" i="68"/>
  <c r="F26" i="68" s="1"/>
  <c r="D26" i="68" s="1"/>
  <c r="H25" i="68"/>
  <c r="F25" i="68" s="1"/>
  <c r="D25" i="68" s="1"/>
  <c r="H24" i="68"/>
  <c r="F24" i="68" s="1"/>
  <c r="D24" i="68" s="1"/>
  <c r="H23" i="68"/>
  <c r="F23" i="68" s="1"/>
  <c r="D23" i="68" s="1"/>
  <c r="H22" i="68"/>
  <c r="F22" i="68" s="1"/>
  <c r="D22" i="68" s="1"/>
  <c r="H21" i="68"/>
  <c r="F21" i="68"/>
  <c r="D21" i="68" s="1"/>
  <c r="H20" i="68"/>
  <c r="F20" i="68" s="1"/>
  <c r="D20" i="68" s="1"/>
  <c r="H19" i="68"/>
  <c r="F19" i="68" s="1"/>
  <c r="D19" i="68" s="1"/>
  <c r="H18" i="68"/>
  <c r="F18" i="68" s="1"/>
  <c r="D18" i="68" s="1"/>
  <c r="H17" i="68"/>
  <c r="F17" i="68" s="1"/>
  <c r="D17" i="68" s="1"/>
  <c r="H16" i="68"/>
  <c r="F16" i="68" s="1"/>
  <c r="D16" i="68" s="1"/>
  <c r="H15" i="68"/>
  <c r="F15" i="68" s="1"/>
  <c r="D15" i="68" s="1"/>
  <c r="H14" i="68"/>
  <c r="F14" i="68" s="1"/>
  <c r="D14" i="68" s="1"/>
  <c r="H13" i="68"/>
  <c r="F13" i="68" s="1"/>
  <c r="D13" i="68" s="1"/>
  <c r="J12" i="68"/>
  <c r="J10" i="68" s="1"/>
  <c r="I12" i="68"/>
  <c r="I10" i="68" s="1"/>
  <c r="G12" i="68"/>
  <c r="G10" i="68" s="1"/>
  <c r="E12" i="68"/>
  <c r="D11" i="68"/>
  <c r="H12" i="68" l="1"/>
  <c r="H10" i="68" s="1"/>
  <c r="F10" i="68" s="1"/>
  <c r="E10" i="68"/>
  <c r="F12" i="68" l="1"/>
  <c r="D12" i="68" s="1"/>
  <c r="D10" i="68"/>
  <c r="S149" i="67" l="1"/>
  <c r="P149" i="67"/>
  <c r="M149" i="67"/>
  <c r="I149" i="67" s="1"/>
  <c r="E149" i="67"/>
  <c r="S148" i="67"/>
  <c r="P148" i="67"/>
  <c r="M148" i="67"/>
  <c r="I148" i="67" s="1"/>
  <c r="E148" i="67"/>
  <c r="S147" i="67"/>
  <c r="P147" i="67"/>
  <c r="M147" i="67"/>
  <c r="I147" i="67" s="1"/>
  <c r="E147" i="67"/>
  <c r="S146" i="67"/>
  <c r="P146" i="67"/>
  <c r="M146" i="67"/>
  <c r="I146" i="67" s="1"/>
  <c r="E146" i="67"/>
  <c r="S145" i="67"/>
  <c r="P145" i="67"/>
  <c r="M145" i="67"/>
  <c r="I145" i="67" s="1"/>
  <c r="E145" i="67"/>
  <c r="S144" i="67"/>
  <c r="P144" i="67"/>
  <c r="M144" i="67"/>
  <c r="I144" i="67" s="1"/>
  <c r="E144" i="67"/>
  <c r="S143" i="67"/>
  <c r="P143" i="67"/>
  <c r="M143" i="67"/>
  <c r="I143" i="67" s="1"/>
  <c r="D143" i="67" s="1"/>
  <c r="E143" i="67"/>
  <c r="S142" i="67"/>
  <c r="P142" i="67"/>
  <c r="M142" i="67"/>
  <c r="I142" i="67" s="1"/>
  <c r="E142" i="67"/>
  <c r="S141" i="67"/>
  <c r="P141" i="67"/>
  <c r="M141" i="67"/>
  <c r="I141" i="67" s="1"/>
  <c r="E141" i="67"/>
  <c r="S140" i="67"/>
  <c r="P140" i="67"/>
  <c r="M140" i="67"/>
  <c r="I140" i="67" s="1"/>
  <c r="E140" i="67"/>
  <c r="S139" i="67"/>
  <c r="P139" i="67"/>
  <c r="M139" i="67"/>
  <c r="I139" i="67" s="1"/>
  <c r="E139" i="67"/>
  <c r="S138" i="67"/>
  <c r="P138" i="67"/>
  <c r="M138" i="67"/>
  <c r="I138" i="67" s="1"/>
  <c r="E138" i="67"/>
  <c r="S137" i="67"/>
  <c r="P137" i="67"/>
  <c r="M137" i="67"/>
  <c r="I137" i="67" s="1"/>
  <c r="E137" i="67"/>
  <c r="S136" i="67"/>
  <c r="P136" i="67"/>
  <c r="M136" i="67"/>
  <c r="I136" i="67" s="1"/>
  <c r="E136" i="67"/>
  <c r="S135" i="67"/>
  <c r="P135" i="67"/>
  <c r="M135" i="67"/>
  <c r="I135" i="67" s="1"/>
  <c r="E135" i="67"/>
  <c r="S134" i="67"/>
  <c r="P134" i="67"/>
  <c r="M134" i="67"/>
  <c r="I134" i="67" s="1"/>
  <c r="E134" i="67"/>
  <c r="S133" i="67"/>
  <c r="P133" i="67"/>
  <c r="M133" i="67"/>
  <c r="I133" i="67" s="1"/>
  <c r="E133" i="67"/>
  <c r="S132" i="67"/>
  <c r="P132" i="67"/>
  <c r="M132" i="67"/>
  <c r="I132" i="67" s="1"/>
  <c r="E132" i="67"/>
  <c r="S131" i="67"/>
  <c r="P131" i="67"/>
  <c r="M131" i="67"/>
  <c r="I131" i="67" s="1"/>
  <c r="E131" i="67"/>
  <c r="S130" i="67"/>
  <c r="P130" i="67"/>
  <c r="M130" i="67"/>
  <c r="I130" i="67" s="1"/>
  <c r="E130" i="67"/>
  <c r="S129" i="67"/>
  <c r="P129" i="67"/>
  <c r="M129" i="67"/>
  <c r="I129" i="67" s="1"/>
  <c r="E129" i="67"/>
  <c r="S128" i="67"/>
  <c r="P128" i="67"/>
  <c r="M128" i="67"/>
  <c r="I128" i="67" s="1"/>
  <c r="E128" i="67"/>
  <c r="S127" i="67"/>
  <c r="P127" i="67"/>
  <c r="M127" i="67"/>
  <c r="I127" i="67" s="1"/>
  <c r="E127" i="67"/>
  <c r="S126" i="67"/>
  <c r="P126" i="67"/>
  <c r="M126" i="67"/>
  <c r="I126" i="67" s="1"/>
  <c r="E126" i="67"/>
  <c r="S125" i="67"/>
  <c r="P125" i="67"/>
  <c r="M125" i="67"/>
  <c r="I125" i="67" s="1"/>
  <c r="E125" i="67"/>
  <c r="S124" i="67"/>
  <c r="P124" i="67"/>
  <c r="M124" i="67"/>
  <c r="I124" i="67" s="1"/>
  <c r="E124" i="67"/>
  <c r="S123" i="67"/>
  <c r="P123" i="67"/>
  <c r="M123" i="67"/>
  <c r="I123" i="67" s="1"/>
  <c r="E123" i="67"/>
  <c r="S122" i="67"/>
  <c r="P122" i="67"/>
  <c r="M122" i="67"/>
  <c r="I122" i="67" s="1"/>
  <c r="E122" i="67"/>
  <c r="S121" i="67"/>
  <c r="P121" i="67"/>
  <c r="M121" i="67"/>
  <c r="I121" i="67" s="1"/>
  <c r="E121" i="67"/>
  <c r="S120" i="67"/>
  <c r="P120" i="67"/>
  <c r="M120" i="67"/>
  <c r="I120" i="67" s="1"/>
  <c r="E120" i="67"/>
  <c r="S119" i="67"/>
  <c r="P119" i="67"/>
  <c r="M119" i="67"/>
  <c r="I119" i="67" s="1"/>
  <c r="E119" i="67"/>
  <c r="S118" i="67"/>
  <c r="P118" i="67"/>
  <c r="M118" i="67"/>
  <c r="I118" i="67" s="1"/>
  <c r="E118" i="67"/>
  <c r="S117" i="67"/>
  <c r="P117" i="67"/>
  <c r="M117" i="67"/>
  <c r="I117" i="67" s="1"/>
  <c r="E117" i="67"/>
  <c r="S116" i="67"/>
  <c r="P116" i="67"/>
  <c r="M116" i="67"/>
  <c r="I116" i="67" s="1"/>
  <c r="D116" i="67" s="1"/>
  <c r="E116" i="67"/>
  <c r="S115" i="67"/>
  <c r="P115" i="67"/>
  <c r="M115" i="67"/>
  <c r="I115" i="67" s="1"/>
  <c r="E115" i="67"/>
  <c r="S114" i="67"/>
  <c r="P114" i="67"/>
  <c r="M114" i="67"/>
  <c r="I114" i="67" s="1"/>
  <c r="E114" i="67"/>
  <c r="S113" i="67"/>
  <c r="P113" i="67"/>
  <c r="M113" i="67"/>
  <c r="I113" i="67" s="1"/>
  <c r="E113" i="67"/>
  <c r="S112" i="67"/>
  <c r="P112" i="67"/>
  <c r="M112" i="67"/>
  <c r="I112" i="67" s="1"/>
  <c r="E112" i="67"/>
  <c r="S111" i="67"/>
  <c r="P111" i="67"/>
  <c r="M111" i="67"/>
  <c r="I111" i="67" s="1"/>
  <c r="E111" i="67"/>
  <c r="S110" i="67"/>
  <c r="P110" i="67"/>
  <c r="M110" i="67"/>
  <c r="I110" i="67" s="1"/>
  <c r="E110" i="67"/>
  <c r="S109" i="67"/>
  <c r="P109" i="67"/>
  <c r="M109" i="67"/>
  <c r="I109" i="67" s="1"/>
  <c r="E109" i="67"/>
  <c r="S108" i="67"/>
  <c r="P108" i="67"/>
  <c r="M108" i="67"/>
  <c r="I108" i="67" s="1"/>
  <c r="E108" i="67"/>
  <c r="S107" i="67"/>
  <c r="P107" i="67"/>
  <c r="M107" i="67"/>
  <c r="I107" i="67" s="1"/>
  <c r="E107" i="67"/>
  <c r="S106" i="67"/>
  <c r="P106" i="67"/>
  <c r="M106" i="67"/>
  <c r="I106" i="67" s="1"/>
  <c r="E106" i="67"/>
  <c r="S105" i="67"/>
  <c r="P105" i="67"/>
  <c r="M105" i="67"/>
  <c r="I105" i="67" s="1"/>
  <c r="E105" i="67"/>
  <c r="S104" i="67"/>
  <c r="P104" i="67"/>
  <c r="M104" i="67"/>
  <c r="I104" i="67" s="1"/>
  <c r="E104" i="67"/>
  <c r="S103" i="67"/>
  <c r="P103" i="67"/>
  <c r="M103" i="67"/>
  <c r="I103" i="67" s="1"/>
  <c r="E103" i="67"/>
  <c r="S102" i="67"/>
  <c r="P102" i="67"/>
  <c r="M102" i="67"/>
  <c r="I102" i="67" s="1"/>
  <c r="E102" i="67"/>
  <c r="S101" i="67"/>
  <c r="P101" i="67"/>
  <c r="M101" i="67"/>
  <c r="I101" i="67" s="1"/>
  <c r="E101" i="67"/>
  <c r="S100" i="67"/>
  <c r="P100" i="67"/>
  <c r="M100" i="67"/>
  <c r="I100" i="67" s="1"/>
  <c r="E100" i="67"/>
  <c r="S99" i="67"/>
  <c r="P99" i="67"/>
  <c r="M99" i="67"/>
  <c r="I99" i="67" s="1"/>
  <c r="E99" i="67"/>
  <c r="S98" i="67"/>
  <c r="P98" i="67"/>
  <c r="M98" i="67"/>
  <c r="I98" i="67" s="1"/>
  <c r="D98" i="67" s="1"/>
  <c r="E98" i="67"/>
  <c r="S97" i="67"/>
  <c r="P97" i="67"/>
  <c r="M97" i="67"/>
  <c r="I97" i="67" s="1"/>
  <c r="E97" i="67"/>
  <c r="S96" i="67"/>
  <c r="P96" i="67"/>
  <c r="M96" i="67"/>
  <c r="I96" i="67" s="1"/>
  <c r="E96" i="67"/>
  <c r="S95" i="67"/>
  <c r="P95" i="67"/>
  <c r="M95" i="67"/>
  <c r="I95" i="67" s="1"/>
  <c r="E95" i="67"/>
  <c r="S94" i="67"/>
  <c r="P94" i="67"/>
  <c r="M94" i="67"/>
  <c r="I94" i="67" s="1"/>
  <c r="E94" i="67"/>
  <c r="S93" i="67"/>
  <c r="P93" i="67"/>
  <c r="M93" i="67"/>
  <c r="I93" i="67" s="1"/>
  <c r="E93" i="67"/>
  <c r="S92" i="67"/>
  <c r="P92" i="67"/>
  <c r="M92" i="67"/>
  <c r="I92" i="67" s="1"/>
  <c r="E92" i="67"/>
  <c r="S91" i="67"/>
  <c r="P91" i="67"/>
  <c r="M91" i="67"/>
  <c r="I91" i="67" s="1"/>
  <c r="E91" i="67"/>
  <c r="S90" i="67"/>
  <c r="P90" i="67"/>
  <c r="M90" i="67"/>
  <c r="I90" i="67" s="1"/>
  <c r="E90" i="67"/>
  <c r="S89" i="67"/>
  <c r="P89" i="67"/>
  <c r="M89" i="67"/>
  <c r="I89" i="67" s="1"/>
  <c r="E89" i="67"/>
  <c r="S88" i="67"/>
  <c r="P88" i="67"/>
  <c r="M88" i="67"/>
  <c r="I88" i="67" s="1"/>
  <c r="E88" i="67"/>
  <c r="S87" i="67"/>
  <c r="P87" i="67"/>
  <c r="M87" i="67"/>
  <c r="I87" i="67" s="1"/>
  <c r="E87" i="67"/>
  <c r="S86" i="67"/>
  <c r="P86" i="67"/>
  <c r="M86" i="67"/>
  <c r="I86" i="67" s="1"/>
  <c r="E86" i="67"/>
  <c r="S85" i="67"/>
  <c r="P85" i="67"/>
  <c r="M85" i="67"/>
  <c r="I85" i="67" s="1"/>
  <c r="E85" i="67"/>
  <c r="S84" i="67"/>
  <c r="P84" i="67"/>
  <c r="M84" i="67"/>
  <c r="I84" i="67" s="1"/>
  <c r="E84" i="67"/>
  <c r="S83" i="67"/>
  <c r="P83" i="67"/>
  <c r="M83" i="67"/>
  <c r="I83" i="67" s="1"/>
  <c r="E83" i="67"/>
  <c r="S82" i="67"/>
  <c r="P82" i="67"/>
  <c r="M82" i="67"/>
  <c r="I82" i="67" s="1"/>
  <c r="E82" i="67"/>
  <c r="S81" i="67"/>
  <c r="P81" i="67"/>
  <c r="M81" i="67"/>
  <c r="I81" i="67" s="1"/>
  <c r="E81" i="67"/>
  <c r="S80" i="67"/>
  <c r="P80" i="67"/>
  <c r="M80" i="67"/>
  <c r="I80" i="67" s="1"/>
  <c r="E80" i="67"/>
  <c r="S79" i="67"/>
  <c r="P79" i="67"/>
  <c r="M79" i="67"/>
  <c r="I79" i="67" s="1"/>
  <c r="E79" i="67"/>
  <c r="S78" i="67"/>
  <c r="P78" i="67"/>
  <c r="M78" i="67"/>
  <c r="I78" i="67" s="1"/>
  <c r="E78" i="67"/>
  <c r="S77" i="67"/>
  <c r="P77" i="67"/>
  <c r="M77" i="67"/>
  <c r="I77" i="67" s="1"/>
  <c r="E77" i="67"/>
  <c r="S76" i="67"/>
  <c r="P76" i="67"/>
  <c r="M76" i="67"/>
  <c r="I76" i="67" s="1"/>
  <c r="E76" i="67"/>
  <c r="S75" i="67"/>
  <c r="P75" i="67"/>
  <c r="M75" i="67"/>
  <c r="I75" i="67" s="1"/>
  <c r="E75" i="67"/>
  <c r="S74" i="67"/>
  <c r="P74" i="67"/>
  <c r="M74" i="67"/>
  <c r="I74" i="67" s="1"/>
  <c r="E74" i="67"/>
  <c r="S73" i="67"/>
  <c r="P73" i="67"/>
  <c r="M73" i="67"/>
  <c r="I73" i="67" s="1"/>
  <c r="E73" i="67"/>
  <c r="S72" i="67"/>
  <c r="P72" i="67"/>
  <c r="M72" i="67"/>
  <c r="I72" i="67" s="1"/>
  <c r="E72" i="67"/>
  <c r="S71" i="67"/>
  <c r="P71" i="67"/>
  <c r="M71" i="67"/>
  <c r="I71" i="67" s="1"/>
  <c r="E71" i="67"/>
  <c r="S70" i="67"/>
  <c r="P70" i="67"/>
  <c r="M70" i="67"/>
  <c r="I70" i="67" s="1"/>
  <c r="E70" i="67"/>
  <c r="S69" i="67"/>
  <c r="P69" i="67"/>
  <c r="M69" i="67"/>
  <c r="I69" i="67" s="1"/>
  <c r="E69" i="67"/>
  <c r="S68" i="67"/>
  <c r="P68" i="67"/>
  <c r="M68" i="67"/>
  <c r="I68" i="67" s="1"/>
  <c r="E68" i="67"/>
  <c r="S67" i="67"/>
  <c r="P67" i="67"/>
  <c r="M67" i="67"/>
  <c r="I67" i="67" s="1"/>
  <c r="E67" i="67"/>
  <c r="S66" i="67"/>
  <c r="P66" i="67"/>
  <c r="M66" i="67"/>
  <c r="I66" i="67" s="1"/>
  <c r="E66" i="67"/>
  <c r="S65" i="67"/>
  <c r="P65" i="67"/>
  <c r="M65" i="67"/>
  <c r="I65" i="67"/>
  <c r="E65" i="67"/>
  <c r="S64" i="67"/>
  <c r="P64" i="67"/>
  <c r="M64" i="67"/>
  <c r="I64" i="67" s="1"/>
  <c r="E64" i="67"/>
  <c r="S63" i="67"/>
  <c r="P63" i="67"/>
  <c r="M63" i="67"/>
  <c r="I63" i="67" s="1"/>
  <c r="E63" i="67"/>
  <c r="S62" i="67"/>
  <c r="P62" i="67"/>
  <c r="M62" i="67"/>
  <c r="I62" i="67" s="1"/>
  <c r="E62" i="67"/>
  <c r="S61" i="67"/>
  <c r="P61" i="67"/>
  <c r="M61" i="67"/>
  <c r="I61" i="67" s="1"/>
  <c r="E61" i="67"/>
  <c r="S60" i="67"/>
  <c r="P60" i="67"/>
  <c r="M60" i="67"/>
  <c r="I60" i="67" s="1"/>
  <c r="E60" i="67"/>
  <c r="S59" i="67"/>
  <c r="P59" i="67"/>
  <c r="M59" i="67"/>
  <c r="I59" i="67" s="1"/>
  <c r="E59" i="67"/>
  <c r="S58" i="67"/>
  <c r="P58" i="67"/>
  <c r="M58" i="67"/>
  <c r="I58" i="67" s="1"/>
  <c r="E58" i="67"/>
  <c r="S57" i="67"/>
  <c r="P57" i="67"/>
  <c r="M57" i="67"/>
  <c r="I57" i="67" s="1"/>
  <c r="E57" i="67"/>
  <c r="S56" i="67"/>
  <c r="P56" i="67"/>
  <c r="M56" i="67"/>
  <c r="I56" i="67" s="1"/>
  <c r="E56" i="67"/>
  <c r="S55" i="67"/>
  <c r="P55" i="67"/>
  <c r="M55" i="67"/>
  <c r="I55" i="67" s="1"/>
  <c r="E55" i="67"/>
  <c r="S54" i="67"/>
  <c r="P54" i="67"/>
  <c r="M54" i="67"/>
  <c r="I54" i="67" s="1"/>
  <c r="E54" i="67"/>
  <c r="S53" i="67"/>
  <c r="P53" i="67"/>
  <c r="M53" i="67"/>
  <c r="I53" i="67" s="1"/>
  <c r="E53" i="67"/>
  <c r="S52" i="67"/>
  <c r="P52" i="67"/>
  <c r="M52" i="67"/>
  <c r="I52" i="67" s="1"/>
  <c r="E52" i="67"/>
  <c r="S51" i="67"/>
  <c r="P51" i="67"/>
  <c r="M51" i="67"/>
  <c r="I51" i="67" s="1"/>
  <c r="E51" i="67"/>
  <c r="S50" i="67"/>
  <c r="P50" i="67"/>
  <c r="M50" i="67"/>
  <c r="I50" i="67" s="1"/>
  <c r="E50" i="67"/>
  <c r="S49" i="67"/>
  <c r="P49" i="67"/>
  <c r="M49" i="67"/>
  <c r="I49" i="67" s="1"/>
  <c r="E49" i="67"/>
  <c r="S48" i="67"/>
  <c r="P48" i="67"/>
  <c r="M48" i="67"/>
  <c r="I48" i="67" s="1"/>
  <c r="E48" i="67"/>
  <c r="S47" i="67"/>
  <c r="P47" i="67"/>
  <c r="M47" i="67"/>
  <c r="I47" i="67" s="1"/>
  <c r="E47" i="67"/>
  <c r="S46" i="67"/>
  <c r="P46" i="67"/>
  <c r="M46" i="67"/>
  <c r="I46" i="67" s="1"/>
  <c r="E46" i="67"/>
  <c r="S45" i="67"/>
  <c r="P45" i="67"/>
  <c r="M45" i="67"/>
  <c r="I45" i="67" s="1"/>
  <c r="E45" i="67"/>
  <c r="S44" i="67"/>
  <c r="P44" i="67"/>
  <c r="M44" i="67"/>
  <c r="I44" i="67" s="1"/>
  <c r="E44" i="67"/>
  <c r="S43" i="67"/>
  <c r="P43" i="67"/>
  <c r="M43" i="67"/>
  <c r="I43" i="67" s="1"/>
  <c r="E43" i="67"/>
  <c r="S42" i="67"/>
  <c r="P42" i="67"/>
  <c r="M42" i="67"/>
  <c r="I42" i="67" s="1"/>
  <c r="E42" i="67"/>
  <c r="S41" i="67"/>
  <c r="P41" i="67"/>
  <c r="M41" i="67"/>
  <c r="I41" i="67" s="1"/>
  <c r="E41" i="67"/>
  <c r="S40" i="67"/>
  <c r="P40" i="67"/>
  <c r="M40" i="67"/>
  <c r="I40" i="67" s="1"/>
  <c r="E40" i="67"/>
  <c r="S39" i="67"/>
  <c r="P39" i="67"/>
  <c r="M39" i="67"/>
  <c r="I39" i="67" s="1"/>
  <c r="E39" i="67"/>
  <c r="S38" i="67"/>
  <c r="P38" i="67"/>
  <c r="M38" i="67"/>
  <c r="I38" i="67" s="1"/>
  <c r="E38" i="67"/>
  <c r="S37" i="67"/>
  <c r="P37" i="67"/>
  <c r="M37" i="67"/>
  <c r="I37" i="67" s="1"/>
  <c r="E37" i="67"/>
  <c r="S36" i="67"/>
  <c r="P36" i="67"/>
  <c r="M36" i="67"/>
  <c r="I36" i="67" s="1"/>
  <c r="E36" i="67"/>
  <c r="S35" i="67"/>
  <c r="P35" i="67"/>
  <c r="M35" i="67"/>
  <c r="I35" i="67" s="1"/>
  <c r="E35" i="67"/>
  <c r="S34" i="67"/>
  <c r="P34" i="67"/>
  <c r="M34" i="67"/>
  <c r="I34" i="67" s="1"/>
  <c r="E34" i="67"/>
  <c r="S33" i="67"/>
  <c r="P33" i="67"/>
  <c r="M33" i="67"/>
  <c r="I33" i="67" s="1"/>
  <c r="E33" i="67"/>
  <c r="S32" i="67"/>
  <c r="P32" i="67"/>
  <c r="M32" i="67"/>
  <c r="I32" i="67" s="1"/>
  <c r="E32" i="67"/>
  <c r="S31" i="67"/>
  <c r="P31" i="67"/>
  <c r="M31" i="67"/>
  <c r="I31" i="67" s="1"/>
  <c r="E31" i="67"/>
  <c r="S30" i="67"/>
  <c r="P30" i="67"/>
  <c r="M30" i="67"/>
  <c r="I30" i="67" s="1"/>
  <c r="E30" i="67"/>
  <c r="S29" i="67"/>
  <c r="P29" i="67"/>
  <c r="M29" i="67"/>
  <c r="I29" i="67" s="1"/>
  <c r="E29" i="67"/>
  <c r="S28" i="67"/>
  <c r="P28" i="67"/>
  <c r="M28" i="67"/>
  <c r="I28" i="67" s="1"/>
  <c r="E28" i="67"/>
  <c r="S27" i="67"/>
  <c r="P27" i="67"/>
  <c r="M27" i="67"/>
  <c r="I27" i="67" s="1"/>
  <c r="E27" i="67"/>
  <c r="S26" i="67"/>
  <c r="P26" i="67"/>
  <c r="M26" i="67"/>
  <c r="I26" i="67" s="1"/>
  <c r="E26" i="67"/>
  <c r="S25" i="67"/>
  <c r="P25" i="67"/>
  <c r="M25" i="67"/>
  <c r="I25" i="67" s="1"/>
  <c r="E25" i="67"/>
  <c r="S24" i="67"/>
  <c r="P24" i="67"/>
  <c r="M24" i="67"/>
  <c r="I24" i="67" s="1"/>
  <c r="E24" i="67"/>
  <c r="S23" i="67"/>
  <c r="P23" i="67"/>
  <c r="M23" i="67"/>
  <c r="I23" i="67"/>
  <c r="E23" i="67"/>
  <c r="S22" i="67"/>
  <c r="P22" i="67"/>
  <c r="M22" i="67"/>
  <c r="I22" i="67" s="1"/>
  <c r="E22" i="67"/>
  <c r="S21" i="67"/>
  <c r="P21" i="67"/>
  <c r="M21" i="67"/>
  <c r="I21" i="67" s="1"/>
  <c r="E21" i="67"/>
  <c r="S20" i="67"/>
  <c r="P20" i="67"/>
  <c r="M20" i="67"/>
  <c r="I20" i="67" s="1"/>
  <c r="E20" i="67"/>
  <c r="S19" i="67"/>
  <c r="P19" i="67"/>
  <c r="M19" i="67"/>
  <c r="I19" i="67" s="1"/>
  <c r="E19" i="67"/>
  <c r="S18" i="67"/>
  <c r="P18" i="67"/>
  <c r="M18" i="67"/>
  <c r="I18" i="67" s="1"/>
  <c r="E18" i="67"/>
  <c r="S17" i="67"/>
  <c r="P17" i="67"/>
  <c r="M17" i="67"/>
  <c r="I17" i="67" s="1"/>
  <c r="E17" i="67"/>
  <c r="S16" i="67"/>
  <c r="P16" i="67"/>
  <c r="M16" i="67"/>
  <c r="I16" i="67" s="1"/>
  <c r="E16" i="67"/>
  <c r="S15" i="67"/>
  <c r="P15" i="67"/>
  <c r="M15" i="67"/>
  <c r="I15" i="67" s="1"/>
  <c r="E15" i="67"/>
  <c r="S14" i="67"/>
  <c r="P14" i="67"/>
  <c r="M14" i="67"/>
  <c r="I14" i="67" s="1"/>
  <c r="E14" i="67"/>
  <c r="S13" i="67"/>
  <c r="P13" i="67"/>
  <c r="M13" i="67"/>
  <c r="I13" i="67" s="1"/>
  <c r="E13" i="67"/>
  <c r="S12" i="67"/>
  <c r="P12" i="67"/>
  <c r="M12" i="67"/>
  <c r="I12" i="67" s="1"/>
  <c r="E12" i="67"/>
  <c r="W11" i="67"/>
  <c r="W9" i="67" s="1"/>
  <c r="V11" i="67"/>
  <c r="V9" i="67" s="1"/>
  <c r="U11" i="67"/>
  <c r="U9" i="67" s="1"/>
  <c r="T11" i="67"/>
  <c r="R11" i="67"/>
  <c r="R9" i="67" s="1"/>
  <c r="Q11" i="67"/>
  <c r="Q9" i="67" s="1"/>
  <c r="O11" i="67"/>
  <c r="O9" i="67" s="1"/>
  <c r="N11" i="67"/>
  <c r="N9" i="67" s="1"/>
  <c r="L11" i="67"/>
  <c r="L9" i="67" s="1"/>
  <c r="K11" i="67"/>
  <c r="K9" i="67" s="1"/>
  <c r="J11" i="67"/>
  <c r="J9" i="67" s="1"/>
  <c r="H11" i="67"/>
  <c r="H9" i="67" s="1"/>
  <c r="F11" i="67"/>
  <c r="S10" i="67"/>
  <c r="I10" i="67"/>
  <c r="E10" i="67"/>
  <c r="D81" i="67" l="1"/>
  <c r="D134" i="67"/>
  <c r="D146" i="67"/>
  <c r="D113" i="67"/>
  <c r="D107" i="67"/>
  <c r="D149" i="67"/>
  <c r="D65" i="67"/>
  <c r="D39" i="67"/>
  <c r="D110" i="67"/>
  <c r="D40" i="67"/>
  <c r="D69" i="67"/>
  <c r="D19" i="67"/>
  <c r="D24" i="67"/>
  <c r="D38" i="67"/>
  <c r="D92" i="67"/>
  <c r="D95" i="67"/>
  <c r="D101" i="67"/>
  <c r="D104" i="67"/>
  <c r="D31" i="67"/>
  <c r="D119" i="67"/>
  <c r="D122" i="67"/>
  <c r="D125" i="67"/>
  <c r="D128" i="67"/>
  <c r="D131" i="67"/>
  <c r="D137" i="67"/>
  <c r="D140" i="67"/>
  <c r="D23" i="67"/>
  <c r="P11" i="67"/>
  <c r="P9" i="67" s="1"/>
  <c r="D32" i="67"/>
  <c r="D45" i="67"/>
  <c r="D54" i="67"/>
  <c r="D14" i="67"/>
  <c r="D33" i="67"/>
  <c r="D43" i="67"/>
  <c r="D82" i="67"/>
  <c r="D29" i="67"/>
  <c r="D50" i="67"/>
  <c r="D18" i="67"/>
  <c r="D42" i="67"/>
  <c r="D44" i="67"/>
  <c r="D83" i="67"/>
  <c r="D87" i="67"/>
  <c r="D96" i="67"/>
  <c r="D105" i="67"/>
  <c r="D114" i="67"/>
  <c r="D123" i="67"/>
  <c r="D132" i="67"/>
  <c r="D141" i="67"/>
  <c r="M11" i="67"/>
  <c r="M9" i="67" s="1"/>
  <c r="D25" i="67"/>
  <c r="D37" i="67"/>
  <c r="D76" i="67"/>
  <c r="D85" i="67"/>
  <c r="D94" i="67"/>
  <c r="D103" i="67"/>
  <c r="D112" i="67"/>
  <c r="D121" i="67"/>
  <c r="D130" i="67"/>
  <c r="D139" i="67"/>
  <c r="D148" i="67"/>
  <c r="D16" i="67"/>
  <c r="G11" i="67"/>
  <c r="G9" i="67" s="1"/>
  <c r="D27" i="67"/>
  <c r="D48" i="67"/>
  <c r="D58" i="67"/>
  <c r="D64" i="67"/>
  <c r="D70" i="67"/>
  <c r="D77" i="67"/>
  <c r="D52" i="67"/>
  <c r="D59" i="67"/>
  <c r="D71" i="67"/>
  <c r="D53" i="67"/>
  <c r="D86" i="67"/>
  <c r="D90" i="67"/>
  <c r="D99" i="67"/>
  <c r="D108" i="67"/>
  <c r="D117" i="67"/>
  <c r="D126" i="67"/>
  <c r="D135" i="67"/>
  <c r="D144" i="67"/>
  <c r="D57" i="67"/>
  <c r="D63" i="67"/>
  <c r="D10" i="67"/>
  <c r="D13" i="67"/>
  <c r="D34" i="67"/>
  <c r="D46" i="67"/>
  <c r="D88" i="67"/>
  <c r="D97" i="67"/>
  <c r="D106" i="67"/>
  <c r="D115" i="67"/>
  <c r="D124" i="67"/>
  <c r="D133" i="67"/>
  <c r="D142" i="67"/>
  <c r="D17" i="67"/>
  <c r="D26" i="67"/>
  <c r="D36" i="67"/>
  <c r="D41" i="67"/>
  <c r="D47" i="67"/>
  <c r="D55" i="67"/>
  <c r="D79" i="67"/>
  <c r="S11" i="67"/>
  <c r="D21" i="67"/>
  <c r="D49" i="67"/>
  <c r="D80" i="67"/>
  <c r="E11" i="67"/>
  <c r="D35" i="67"/>
  <c r="D61" i="67"/>
  <c r="D67" i="67"/>
  <c r="D73" i="67"/>
  <c r="D78" i="67"/>
  <c r="D84" i="67"/>
  <c r="D89" i="67"/>
  <c r="D93" i="67"/>
  <c r="D102" i="67"/>
  <c r="D111" i="67"/>
  <c r="D120" i="67"/>
  <c r="D129" i="67"/>
  <c r="D138" i="67"/>
  <c r="D147" i="67"/>
  <c r="D20" i="67"/>
  <c r="D22" i="67"/>
  <c r="D30" i="67"/>
  <c r="D51" i="67"/>
  <c r="D56" i="67"/>
  <c r="D60" i="67"/>
  <c r="D62" i="67"/>
  <c r="D66" i="67"/>
  <c r="D68" i="67"/>
  <c r="D72" i="67"/>
  <c r="D74" i="67"/>
  <c r="D91" i="67"/>
  <c r="D100" i="67"/>
  <c r="D109" i="67"/>
  <c r="D118" i="67"/>
  <c r="D127" i="67"/>
  <c r="D136" i="67"/>
  <c r="D145" i="67"/>
  <c r="D12" i="67"/>
  <c r="I11" i="67"/>
  <c r="I9" i="67" s="1"/>
  <c r="D75" i="67"/>
  <c r="D15" i="67"/>
  <c r="D28" i="67"/>
  <c r="F9" i="67"/>
  <c r="T9" i="67"/>
  <c r="S9" i="67" l="1"/>
  <c r="E9" i="67"/>
  <c r="D11" i="67"/>
  <c r="D9" i="67" s="1"/>
  <c r="D8" i="27" l="1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3" i="27"/>
  <c r="F74" i="27"/>
  <c r="F75" i="27"/>
  <c r="F76" i="27"/>
  <c r="F77" i="27"/>
  <c r="F78" i="27"/>
  <c r="F79" i="27"/>
  <c r="F80" i="27"/>
  <c r="F81" i="27"/>
  <c r="F82" i="27"/>
  <c r="F83" i="27"/>
  <c r="F84" i="27"/>
  <c r="F85" i="27"/>
  <c r="F86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9" i="27"/>
  <c r="G6" i="27" s="1"/>
  <c r="F9" i="27" l="1"/>
  <c r="W79" i="3" l="1"/>
  <c r="W76" i="3"/>
  <c r="E85" i="3"/>
  <c r="F85" i="3"/>
  <c r="L85" i="3"/>
  <c r="M85" i="3"/>
  <c r="U85" i="3"/>
  <c r="W85" i="3"/>
  <c r="X85" i="3"/>
  <c r="E87" i="3"/>
  <c r="F87" i="3"/>
  <c r="L87" i="3"/>
  <c r="M87" i="3"/>
  <c r="R87" i="3"/>
  <c r="T87" i="3"/>
  <c r="U87" i="3"/>
  <c r="W87" i="3"/>
  <c r="X87" i="3"/>
  <c r="E35" i="3"/>
  <c r="F35" i="3"/>
  <c r="M35" i="3"/>
  <c r="R35" i="3"/>
  <c r="U35" i="3"/>
  <c r="X35" i="3"/>
  <c r="I136" i="54" l="1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0" i="54"/>
  <c r="I89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I32" i="40" l="1"/>
  <c r="I31" i="40"/>
  <c r="F32" i="40" l="1"/>
  <c r="L139" i="36" l="1"/>
  <c r="J139" i="36"/>
  <c r="L138" i="36"/>
  <c r="J138" i="36"/>
  <c r="H130" i="36"/>
  <c r="D130" i="36" s="1"/>
  <c r="E130" i="36"/>
  <c r="L110" i="36"/>
  <c r="J110" i="36"/>
  <c r="G110" i="36"/>
  <c r="L109" i="36"/>
  <c r="J109" i="36"/>
  <c r="L108" i="36"/>
  <c r="J108" i="36"/>
  <c r="H108" i="36"/>
  <c r="G108" i="36"/>
  <c r="L107" i="36"/>
  <c r="J107" i="36"/>
  <c r="G107" i="36"/>
  <c r="L106" i="36"/>
  <c r="J106" i="36"/>
  <c r="D106" i="36" s="1"/>
  <c r="L105" i="36"/>
  <c r="J105" i="36"/>
  <c r="G105" i="36"/>
  <c r="L104" i="36"/>
  <c r="J104" i="36"/>
  <c r="L103" i="36"/>
  <c r="J103" i="36"/>
  <c r="G103" i="36"/>
  <c r="L102" i="36"/>
  <c r="J102" i="36"/>
  <c r="L101" i="36"/>
  <c r="J101" i="36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N89" i="36"/>
  <c r="L89" i="36"/>
  <c r="J89" i="36"/>
  <c r="O88" i="36"/>
  <c r="G88" i="36" s="1"/>
  <c r="L87" i="36"/>
  <c r="J87" i="36"/>
  <c r="E87" i="36"/>
  <c r="O86" i="36"/>
  <c r="G86" i="36" s="1"/>
  <c r="L86" i="36"/>
  <c r="J86" i="36"/>
  <c r="L85" i="36"/>
  <c r="J85" i="36"/>
  <c r="L84" i="36"/>
  <c r="J84" i="36"/>
  <c r="L83" i="36"/>
  <c r="J83" i="36"/>
  <c r="G83" i="36"/>
  <c r="L75" i="36"/>
  <c r="J75" i="36"/>
  <c r="E75" i="36" s="1"/>
  <c r="L74" i="36"/>
  <c r="J74" i="36"/>
  <c r="L73" i="36"/>
  <c r="J73" i="36"/>
  <c r="G67" i="36"/>
  <c r="D67" i="36"/>
  <c r="G66" i="36"/>
  <c r="D66" i="36"/>
  <c r="L63" i="36"/>
  <c r="D63" i="36" s="1"/>
  <c r="J63" i="36"/>
  <c r="G63" i="36"/>
  <c r="L62" i="36"/>
  <c r="J62" i="36"/>
  <c r="G62" i="36"/>
  <c r="L61" i="36"/>
  <c r="J61" i="36"/>
  <c r="G61" i="36"/>
  <c r="L60" i="36"/>
  <c r="J60" i="36"/>
  <c r="E60" i="36" s="1"/>
  <c r="G60" i="36"/>
  <c r="L59" i="36"/>
  <c r="J59" i="36"/>
  <c r="G59" i="36"/>
  <c r="L58" i="36"/>
  <c r="J58" i="36"/>
  <c r="L57" i="36"/>
  <c r="J57" i="36"/>
  <c r="E57" i="36" s="1"/>
  <c r="G57" i="36"/>
  <c r="L56" i="36"/>
  <c r="J56" i="36"/>
  <c r="E56" i="36" s="1"/>
  <c r="G56" i="36"/>
  <c r="L55" i="36"/>
  <c r="J55" i="36"/>
  <c r="G55" i="36"/>
  <c r="L54" i="36"/>
  <c r="J54" i="36"/>
  <c r="L53" i="36"/>
  <c r="J53" i="36"/>
  <c r="G53" i="36"/>
  <c r="L52" i="36"/>
  <c r="J52" i="36"/>
  <c r="G52" i="36"/>
  <c r="L51" i="36"/>
  <c r="J51" i="36"/>
  <c r="G51" i="36"/>
  <c r="L50" i="36"/>
  <c r="J50" i="36"/>
  <c r="E50" i="36" s="1"/>
  <c r="G50" i="36"/>
  <c r="L49" i="36"/>
  <c r="J49" i="36"/>
  <c r="L48" i="36"/>
  <c r="J48" i="36"/>
  <c r="L47" i="36"/>
  <c r="J47" i="36"/>
  <c r="L46" i="36"/>
  <c r="J46" i="36"/>
  <c r="G46" i="36"/>
  <c r="L45" i="36"/>
  <c r="J45" i="36"/>
  <c r="D45" i="36" s="1"/>
  <c r="G45" i="36"/>
  <c r="L44" i="36"/>
  <c r="J44" i="36"/>
  <c r="E44" i="36" s="1"/>
  <c r="G44" i="36"/>
  <c r="L43" i="36"/>
  <c r="E43" i="36" s="1"/>
  <c r="J43" i="36"/>
  <c r="G43" i="36"/>
  <c r="L42" i="36"/>
  <c r="J42" i="36"/>
  <c r="G42" i="36"/>
  <c r="L41" i="36"/>
  <c r="J41" i="36"/>
  <c r="G41" i="36"/>
  <c r="L40" i="36"/>
  <c r="J40" i="36"/>
  <c r="G40" i="36"/>
  <c r="L39" i="36"/>
  <c r="J39" i="36"/>
  <c r="G39" i="36"/>
  <c r="L36" i="36"/>
  <c r="J36" i="36"/>
  <c r="L33" i="36"/>
  <c r="J33" i="36"/>
  <c r="L32" i="36"/>
  <c r="J32" i="36"/>
  <c r="G32" i="36"/>
  <c r="L31" i="36"/>
  <c r="J31" i="36"/>
  <c r="G31" i="36"/>
  <c r="L30" i="36"/>
  <c r="J30" i="36"/>
  <c r="D30" i="36" s="1"/>
  <c r="G30" i="36"/>
  <c r="E30" i="36"/>
  <c r="L29" i="36"/>
  <c r="J29" i="36"/>
  <c r="L28" i="36"/>
  <c r="J28" i="36"/>
  <c r="G28" i="36"/>
  <c r="L27" i="36"/>
  <c r="J27" i="36"/>
  <c r="E27" i="36" s="1"/>
  <c r="G27" i="36"/>
  <c r="L26" i="36"/>
  <c r="J26" i="36"/>
  <c r="E26" i="36" s="1"/>
  <c r="G26" i="36"/>
  <c r="L25" i="36"/>
  <c r="E25" i="36" s="1"/>
  <c r="J25" i="36"/>
  <c r="L23" i="36"/>
  <c r="J23" i="36"/>
  <c r="G23" i="36"/>
  <c r="L22" i="36"/>
  <c r="J22" i="36"/>
  <c r="L21" i="36"/>
  <c r="J21" i="36"/>
  <c r="L20" i="36"/>
  <c r="J20" i="36"/>
  <c r="L19" i="36"/>
  <c r="J19" i="36"/>
  <c r="G19" i="36"/>
  <c r="L18" i="36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D14" i="36"/>
  <c r="L13" i="36"/>
  <c r="J13" i="36"/>
  <c r="G13" i="36"/>
  <c r="L12" i="36"/>
  <c r="J12" i="36"/>
  <c r="E12" i="36" s="1"/>
  <c r="M11" i="36"/>
  <c r="M9" i="36" s="1"/>
  <c r="K11" i="36"/>
  <c r="K9" i="36" s="1"/>
  <c r="I11" i="36"/>
  <c r="I9" i="36" s="1"/>
  <c r="H11" i="36"/>
  <c r="H9" i="36" s="1"/>
  <c r="F11" i="36"/>
  <c r="F9" i="36" s="1"/>
  <c r="E99" i="36" l="1"/>
  <c r="D101" i="36"/>
  <c r="E40" i="36"/>
  <c r="E103" i="36"/>
  <c r="E21" i="36"/>
  <c r="E97" i="36"/>
  <c r="E92" i="36"/>
  <c r="E14" i="36"/>
  <c r="E53" i="36"/>
  <c r="D56" i="36"/>
  <c r="E62" i="36"/>
  <c r="D75" i="36"/>
  <c r="E84" i="36"/>
  <c r="D87" i="36"/>
  <c r="E106" i="36"/>
  <c r="E51" i="36"/>
  <c r="E100" i="36"/>
  <c r="D61" i="36"/>
  <c r="D25" i="36"/>
  <c r="E52" i="36"/>
  <c r="E58" i="36"/>
  <c r="E101" i="36"/>
  <c r="E107" i="36"/>
  <c r="E16" i="36"/>
  <c r="D32" i="36"/>
  <c r="E61" i="36"/>
  <c r="D108" i="36"/>
  <c r="E33" i="36"/>
  <c r="D43" i="36"/>
  <c r="E45" i="36"/>
  <c r="D51" i="36"/>
  <c r="D53" i="36"/>
  <c r="D92" i="36"/>
  <c r="D21" i="36"/>
  <c r="D58" i="36"/>
  <c r="D18" i="36"/>
  <c r="E32" i="36"/>
  <c r="E63" i="36"/>
  <c r="E93" i="36"/>
  <c r="E48" i="36"/>
  <c r="E41" i="36"/>
  <c r="E86" i="36"/>
  <c r="E89" i="36"/>
  <c r="D102" i="36"/>
  <c r="D85" i="36"/>
  <c r="E17" i="36"/>
  <c r="E19" i="36"/>
  <c r="D33" i="36"/>
  <c r="E39" i="36"/>
  <c r="D84" i="36"/>
  <c r="D97" i="36"/>
  <c r="D100" i="36"/>
  <c r="D103" i="36"/>
  <c r="E105" i="36"/>
  <c r="E98" i="36"/>
  <c r="E13" i="36"/>
  <c r="E18" i="36"/>
  <c r="E23" i="36"/>
  <c r="E31" i="36"/>
  <c r="E108" i="36"/>
  <c r="E110" i="36"/>
  <c r="D42" i="36"/>
  <c r="E20" i="36"/>
  <c r="E22" i="36"/>
  <c r="D41" i="36"/>
  <c r="E47" i="36"/>
  <c r="D54" i="36"/>
  <c r="D73" i="36"/>
  <c r="E104" i="36"/>
  <c r="D83" i="36"/>
  <c r="D15" i="36"/>
  <c r="D27" i="36"/>
  <c r="D36" i="36"/>
  <c r="D48" i="36"/>
  <c r="D98" i="36"/>
  <c r="D138" i="36"/>
  <c r="E109" i="36"/>
  <c r="E49" i="36"/>
  <c r="E59" i="36"/>
  <c r="J11" i="36"/>
  <c r="J9" i="36" s="1"/>
  <c r="D16" i="36"/>
  <c r="O11" i="36"/>
  <c r="O9" i="36" s="1"/>
  <c r="E55" i="36"/>
  <c r="E74" i="36"/>
  <c r="E28" i="36"/>
  <c r="E29" i="36"/>
  <c r="E46" i="36"/>
  <c r="L11" i="36"/>
  <c r="L9" i="36" s="1"/>
  <c r="E102" i="36"/>
  <c r="E139" i="36"/>
  <c r="E15" i="36"/>
  <c r="D20" i="36"/>
  <c r="D23" i="36"/>
  <c r="D29" i="36"/>
  <c r="E36" i="36"/>
  <c r="E42" i="36"/>
  <c r="D47" i="36"/>
  <c r="D50" i="36"/>
  <c r="D55" i="36"/>
  <c r="D60" i="36"/>
  <c r="D74" i="36"/>
  <c r="E83" i="36"/>
  <c r="D86" i="36"/>
  <c r="D105" i="36"/>
  <c r="D110" i="36"/>
  <c r="D139" i="36"/>
  <c r="D13" i="36"/>
  <c r="G36" i="36"/>
  <c r="G11" i="36" s="1"/>
  <c r="G9" i="36" s="1"/>
  <c r="D40" i="36"/>
  <c r="D89" i="36"/>
  <c r="D28" i="36"/>
  <c r="D46" i="36"/>
  <c r="D59" i="36"/>
  <c r="D22" i="36"/>
  <c r="D39" i="36"/>
  <c r="D49" i="36"/>
  <c r="D104" i="36"/>
  <c r="D109" i="36"/>
  <c r="D12" i="36"/>
  <c r="D26" i="36"/>
  <c r="D31" i="36"/>
  <c r="D44" i="36"/>
  <c r="E54" i="36"/>
  <c r="E73" i="36"/>
  <c r="E85" i="36"/>
  <c r="D107" i="36"/>
  <c r="E138" i="36"/>
  <c r="N11" i="36"/>
  <c r="N9" i="36" s="1"/>
  <c r="D19" i="36"/>
  <c r="D17" i="36"/>
  <c r="D52" i="36"/>
  <c r="D57" i="36"/>
  <c r="D62" i="36"/>
  <c r="D88" i="36"/>
  <c r="D93" i="36"/>
  <c r="D99" i="3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E28" i="6"/>
  <c r="D11" i="36" l="1"/>
  <c r="D9" i="36" s="1"/>
  <c r="E11" i="36"/>
  <c r="E9" i="36" s="1"/>
  <c r="J142" i="29"/>
  <c r="J144" i="29" s="1"/>
  <c r="F149" i="66" l="1"/>
  <c r="D149" i="66" s="1"/>
  <c r="F148" i="66"/>
  <c r="D148" i="66" s="1"/>
  <c r="F147" i="66"/>
  <c r="D147" i="66" s="1"/>
  <c r="F146" i="66"/>
  <c r="D146" i="66" s="1"/>
  <c r="F145" i="66"/>
  <c r="D145" i="66" s="1"/>
  <c r="F144" i="66"/>
  <c r="D144" i="66" s="1"/>
  <c r="F143" i="66"/>
  <c r="D143" i="66" s="1"/>
  <c r="F142" i="66"/>
  <c r="D142" i="66" s="1"/>
  <c r="F141" i="66"/>
  <c r="D141" i="66" s="1"/>
  <c r="F140" i="66"/>
  <c r="D140" i="66"/>
  <c r="F139" i="66"/>
  <c r="D139" i="66" s="1"/>
  <c r="F138" i="66"/>
  <c r="D138" i="66" s="1"/>
  <c r="F137" i="66"/>
  <c r="D137" i="66" s="1"/>
  <c r="F136" i="66"/>
  <c r="D136" i="66" s="1"/>
  <c r="F135" i="66"/>
  <c r="D135" i="66" s="1"/>
  <c r="F134" i="66"/>
  <c r="D134" i="66" s="1"/>
  <c r="F133" i="66"/>
  <c r="D133" i="66" s="1"/>
  <c r="F132" i="66"/>
  <c r="D132" i="66"/>
  <c r="F131" i="66"/>
  <c r="D131" i="66" s="1"/>
  <c r="F130" i="66"/>
  <c r="D130" i="66" s="1"/>
  <c r="F129" i="66"/>
  <c r="D129" i="66" s="1"/>
  <c r="F128" i="66"/>
  <c r="D128" i="66" s="1"/>
  <c r="F127" i="66"/>
  <c r="D127" i="66" s="1"/>
  <c r="F126" i="66"/>
  <c r="D126" i="66"/>
  <c r="F125" i="66"/>
  <c r="D125" i="66" s="1"/>
  <c r="F124" i="66"/>
  <c r="D124" i="66" s="1"/>
  <c r="F123" i="66"/>
  <c r="D123" i="66" s="1"/>
  <c r="F122" i="66"/>
  <c r="D122" i="66" s="1"/>
  <c r="F121" i="66"/>
  <c r="D121" i="66" s="1"/>
  <c r="F120" i="66"/>
  <c r="D120" i="66" s="1"/>
  <c r="F119" i="66"/>
  <c r="D119" i="66" s="1"/>
  <c r="F118" i="66"/>
  <c r="D118" i="66" s="1"/>
  <c r="F117" i="66"/>
  <c r="D117" i="66" s="1"/>
  <c r="F116" i="66"/>
  <c r="D116" i="66" s="1"/>
  <c r="F115" i="66"/>
  <c r="D115" i="66" s="1"/>
  <c r="F114" i="66"/>
  <c r="D114" i="66" s="1"/>
  <c r="F113" i="66"/>
  <c r="D113" i="66" s="1"/>
  <c r="F112" i="66"/>
  <c r="D112" i="66"/>
  <c r="F111" i="66"/>
  <c r="D111" i="66" s="1"/>
  <c r="F110" i="66"/>
  <c r="D110" i="66" s="1"/>
  <c r="F109" i="66"/>
  <c r="D109" i="66" s="1"/>
  <c r="F108" i="66"/>
  <c r="D108" i="66" s="1"/>
  <c r="F107" i="66"/>
  <c r="D107" i="66" s="1"/>
  <c r="F106" i="66"/>
  <c r="D106" i="66" s="1"/>
  <c r="F105" i="66"/>
  <c r="D105" i="66" s="1"/>
  <c r="F104" i="66"/>
  <c r="D104" i="66"/>
  <c r="F103" i="66"/>
  <c r="D103" i="66" s="1"/>
  <c r="F102" i="66"/>
  <c r="D102" i="66" s="1"/>
  <c r="F101" i="66"/>
  <c r="D101" i="66" s="1"/>
  <c r="F100" i="66"/>
  <c r="D100" i="66" s="1"/>
  <c r="F99" i="66"/>
  <c r="D99" i="66" s="1"/>
  <c r="F98" i="66"/>
  <c r="D98" i="66" s="1"/>
  <c r="F97" i="66"/>
  <c r="D97" i="66" s="1"/>
  <c r="F96" i="66"/>
  <c r="D96" i="66" s="1"/>
  <c r="F95" i="66"/>
  <c r="D95" i="66" s="1"/>
  <c r="F94" i="66"/>
  <c r="D94" i="66" s="1"/>
  <c r="F93" i="66"/>
  <c r="D93" i="66" s="1"/>
  <c r="F92" i="66"/>
  <c r="D92" i="66"/>
  <c r="F91" i="66"/>
  <c r="D91" i="66" s="1"/>
  <c r="F90" i="66"/>
  <c r="D90" i="66" s="1"/>
  <c r="F89" i="66"/>
  <c r="D89" i="66" s="1"/>
  <c r="F88" i="66"/>
  <c r="D88" i="66" s="1"/>
  <c r="F87" i="66"/>
  <c r="D87" i="66" s="1"/>
  <c r="F86" i="66"/>
  <c r="D86" i="66"/>
  <c r="F85" i="66"/>
  <c r="D85" i="66" s="1"/>
  <c r="F84" i="66"/>
  <c r="D84" i="66" s="1"/>
  <c r="F83" i="66"/>
  <c r="D83" i="66" s="1"/>
  <c r="F82" i="66"/>
  <c r="D82" i="66" s="1"/>
  <c r="F81" i="66"/>
  <c r="D81" i="66" s="1"/>
  <c r="F80" i="66"/>
  <c r="D80" i="66" s="1"/>
  <c r="F79" i="66"/>
  <c r="D79" i="66" s="1"/>
  <c r="F78" i="66"/>
  <c r="D78" i="66" s="1"/>
  <c r="F77" i="66"/>
  <c r="D77" i="66" s="1"/>
  <c r="F76" i="66"/>
  <c r="D76" i="66" s="1"/>
  <c r="F75" i="66"/>
  <c r="D75" i="66" s="1"/>
  <c r="F74" i="66"/>
  <c r="D74" i="66" s="1"/>
  <c r="F73" i="66"/>
  <c r="D73" i="66" s="1"/>
  <c r="F72" i="66"/>
  <c r="D72" i="66" s="1"/>
  <c r="F71" i="66"/>
  <c r="D71" i="66" s="1"/>
  <c r="F70" i="66"/>
  <c r="D70" i="66" s="1"/>
  <c r="F69" i="66"/>
  <c r="D69" i="66" s="1"/>
  <c r="F68" i="66"/>
  <c r="D68" i="66"/>
  <c r="F67" i="66"/>
  <c r="D67" i="66" s="1"/>
  <c r="F66" i="66"/>
  <c r="D66" i="66" s="1"/>
  <c r="F65" i="66"/>
  <c r="D65" i="66" s="1"/>
  <c r="F64" i="66"/>
  <c r="D64" i="66" s="1"/>
  <c r="F63" i="66"/>
  <c r="D63" i="66" s="1"/>
  <c r="F62" i="66"/>
  <c r="D62" i="66" s="1"/>
  <c r="F61" i="66"/>
  <c r="D61" i="66" s="1"/>
  <c r="F60" i="66"/>
  <c r="D60" i="66" s="1"/>
  <c r="F59" i="66"/>
  <c r="D59" i="66"/>
  <c r="F58" i="66"/>
  <c r="D58" i="66" s="1"/>
  <c r="F57" i="66"/>
  <c r="D57" i="66" s="1"/>
  <c r="F56" i="66"/>
  <c r="D56" i="66" s="1"/>
  <c r="F55" i="66"/>
  <c r="D55" i="66" s="1"/>
  <c r="F54" i="66"/>
  <c r="D54" i="66" s="1"/>
  <c r="F53" i="66"/>
  <c r="D53" i="66" s="1"/>
  <c r="F52" i="66"/>
  <c r="D52" i="66" s="1"/>
  <c r="F51" i="66"/>
  <c r="D51" i="66" s="1"/>
  <c r="F50" i="66"/>
  <c r="D50" i="66" s="1"/>
  <c r="F49" i="66"/>
  <c r="D49" i="66" s="1"/>
  <c r="F48" i="66"/>
  <c r="D48" i="66" s="1"/>
  <c r="F47" i="66"/>
  <c r="D47" i="66" s="1"/>
  <c r="F46" i="66"/>
  <c r="D46" i="66" s="1"/>
  <c r="F45" i="66"/>
  <c r="D45" i="66" s="1"/>
  <c r="F44" i="66"/>
  <c r="D44" i="66" s="1"/>
  <c r="F43" i="66"/>
  <c r="D43" i="66" s="1"/>
  <c r="F42" i="66"/>
  <c r="D42" i="66" s="1"/>
  <c r="F41" i="66"/>
  <c r="D41" i="66" s="1"/>
  <c r="F40" i="66"/>
  <c r="D40" i="66"/>
  <c r="F39" i="66"/>
  <c r="D39" i="66" s="1"/>
  <c r="F38" i="66"/>
  <c r="D38" i="66" s="1"/>
  <c r="F37" i="66"/>
  <c r="D37" i="66" s="1"/>
  <c r="F36" i="66"/>
  <c r="D36" i="66" s="1"/>
  <c r="F35" i="66"/>
  <c r="D35" i="66" s="1"/>
  <c r="F34" i="66"/>
  <c r="D34" i="66" s="1"/>
  <c r="F33" i="66"/>
  <c r="D33" i="66" s="1"/>
  <c r="F32" i="66"/>
  <c r="D32" i="66"/>
  <c r="F31" i="66"/>
  <c r="D31" i="66" s="1"/>
  <c r="F30" i="66"/>
  <c r="D30" i="66" s="1"/>
  <c r="F29" i="66"/>
  <c r="D29" i="66" s="1"/>
  <c r="F28" i="66"/>
  <c r="D28" i="66" s="1"/>
  <c r="F27" i="66"/>
  <c r="D27" i="66" s="1"/>
  <c r="F26" i="66"/>
  <c r="D26" i="66" s="1"/>
  <c r="F25" i="66"/>
  <c r="D25" i="66" s="1"/>
  <c r="F24" i="66"/>
  <c r="D24" i="66" s="1"/>
  <c r="F23" i="66"/>
  <c r="D23" i="66" s="1"/>
  <c r="F22" i="66"/>
  <c r="D22" i="66" s="1"/>
  <c r="F21" i="66"/>
  <c r="D21" i="66" s="1"/>
  <c r="F20" i="66"/>
  <c r="D20" i="66" s="1"/>
  <c r="F19" i="66"/>
  <c r="D19" i="66" s="1"/>
  <c r="F18" i="66"/>
  <c r="D18" i="66" s="1"/>
  <c r="F17" i="66"/>
  <c r="D17" i="66" s="1"/>
  <c r="F16" i="66"/>
  <c r="D16" i="66" s="1"/>
  <c r="F15" i="66"/>
  <c r="D15" i="66" s="1"/>
  <c r="F14" i="66"/>
  <c r="D14" i="66" s="1"/>
  <c r="F13" i="66"/>
  <c r="D13" i="66" s="1"/>
  <c r="F12" i="66"/>
  <c r="D12" i="66" s="1"/>
  <c r="J11" i="66"/>
  <c r="I11" i="66"/>
  <c r="H11" i="66"/>
  <c r="G11" i="66"/>
  <c r="E11" i="66"/>
  <c r="F11" i="66" l="1"/>
  <c r="D11" i="66" s="1"/>
  <c r="X134" i="29" l="1"/>
  <c r="G142" i="40" l="1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3" i="40"/>
  <c r="H83" i="40" s="1"/>
  <c r="G82" i="40"/>
  <c r="H82" i="40" s="1"/>
  <c r="H81" i="40"/>
  <c r="G80" i="40"/>
  <c r="H80" i="40" s="1"/>
  <c r="I79" i="40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H32" i="40" s="1"/>
  <c r="G31" i="40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I9" i="40"/>
  <c r="G9" i="40"/>
  <c r="H9" i="40" s="1"/>
  <c r="G8" i="40"/>
  <c r="H8" i="40" s="1"/>
  <c r="E6" i="40"/>
  <c r="D6" i="40"/>
  <c r="F6" i="40" l="1"/>
  <c r="I6" i="40"/>
  <c r="G6" i="40"/>
  <c r="H12" i="40"/>
  <c r="H6" i="40" s="1"/>
  <c r="I79" i="5" l="1"/>
  <c r="G79" i="5"/>
  <c r="O79" i="5"/>
  <c r="P79" i="5"/>
  <c r="Q79" i="5"/>
  <c r="R79" i="5"/>
  <c r="N79" i="5"/>
  <c r="M79" i="5"/>
  <c r="L79" i="5"/>
  <c r="K79" i="5"/>
  <c r="J79" i="5"/>
  <c r="F90" i="23" l="1"/>
  <c r="E56" i="6" l="1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E57" i="6"/>
  <c r="D30" i="6"/>
  <c r="D29" i="6"/>
  <c r="E13" i="55" l="1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4" i="55"/>
  <c r="E55" i="55"/>
  <c r="E56" i="55"/>
  <c r="E57" i="55"/>
  <c r="E58" i="55"/>
  <c r="E59" i="55"/>
  <c r="E60" i="55"/>
  <c r="E61" i="55"/>
  <c r="E62" i="55"/>
  <c r="E63" i="55"/>
  <c r="E64" i="55"/>
  <c r="E65" i="55"/>
  <c r="E66" i="55"/>
  <c r="E67" i="55"/>
  <c r="E68" i="55"/>
  <c r="E69" i="55"/>
  <c r="E70" i="55"/>
  <c r="E71" i="55"/>
  <c r="E72" i="55"/>
  <c r="E73" i="55"/>
  <c r="E74" i="55"/>
  <c r="E75" i="55"/>
  <c r="E76" i="55"/>
  <c r="E77" i="55"/>
  <c r="E78" i="55"/>
  <c r="E79" i="55"/>
  <c r="E80" i="55"/>
  <c r="E81" i="55"/>
  <c r="E82" i="55"/>
  <c r="E83" i="55"/>
  <c r="E84" i="55"/>
  <c r="E85" i="55"/>
  <c r="E86" i="55"/>
  <c r="E87" i="55"/>
  <c r="E88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103" i="55"/>
  <c r="E104" i="55"/>
  <c r="E105" i="55"/>
  <c r="E106" i="55"/>
  <c r="E107" i="55"/>
  <c r="E108" i="55"/>
  <c r="E109" i="55"/>
  <c r="E110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F11" i="55" l="1"/>
  <c r="F8" i="55" s="1"/>
  <c r="G11" i="55"/>
  <c r="G8" i="55" s="1"/>
  <c r="H11" i="55"/>
  <c r="H8" i="55" s="1"/>
  <c r="L11" i="55"/>
  <c r="L8" i="55" s="1"/>
  <c r="I90" i="55"/>
  <c r="I149" i="55"/>
  <c r="I148" i="55"/>
  <c r="I147" i="55"/>
  <c r="D147" i="55" s="1"/>
  <c r="I146" i="55"/>
  <c r="D146" i="55" s="1"/>
  <c r="I145" i="55"/>
  <c r="I144" i="55"/>
  <c r="I143" i="55"/>
  <c r="I142" i="55"/>
  <c r="D142" i="55" s="1"/>
  <c r="I141" i="55"/>
  <c r="I140" i="55"/>
  <c r="I139" i="55"/>
  <c r="I138" i="55"/>
  <c r="D138" i="55" s="1"/>
  <c r="I137" i="55"/>
  <c r="D137" i="55" s="1"/>
  <c r="I136" i="55"/>
  <c r="I135" i="55"/>
  <c r="D135" i="55" s="1"/>
  <c r="I134" i="55"/>
  <c r="D134" i="55" s="1"/>
  <c r="I133" i="55"/>
  <c r="D133" i="55" s="1"/>
  <c r="I132" i="55"/>
  <c r="I131" i="55"/>
  <c r="I130" i="55"/>
  <c r="D130" i="55" s="1"/>
  <c r="I129" i="55"/>
  <c r="I128" i="55"/>
  <c r="I127" i="55"/>
  <c r="I126" i="55"/>
  <c r="D126" i="55" s="1"/>
  <c r="I125" i="55"/>
  <c r="I124" i="55"/>
  <c r="I123" i="55"/>
  <c r="D123" i="55" s="1"/>
  <c r="I122" i="55"/>
  <c r="D122" i="55" s="1"/>
  <c r="I121" i="55"/>
  <c r="D121" i="55" s="1"/>
  <c r="I120" i="55"/>
  <c r="I119" i="55"/>
  <c r="I118" i="55"/>
  <c r="I117" i="55"/>
  <c r="D117" i="55" s="1"/>
  <c r="I116" i="55"/>
  <c r="I115" i="55"/>
  <c r="D115" i="55" s="1"/>
  <c r="I114" i="55"/>
  <c r="D114" i="55" s="1"/>
  <c r="I113" i="55"/>
  <c r="I112" i="55"/>
  <c r="I111" i="55"/>
  <c r="I110" i="55"/>
  <c r="D110" i="55" s="1"/>
  <c r="I109" i="55"/>
  <c r="D109" i="55" s="1"/>
  <c r="I108" i="55"/>
  <c r="I107" i="55"/>
  <c r="I106" i="55"/>
  <c r="D106" i="55" s="1"/>
  <c r="I105" i="55"/>
  <c r="D105" i="55" s="1"/>
  <c r="I104" i="55"/>
  <c r="I103" i="55"/>
  <c r="D103" i="55" s="1"/>
  <c r="I102" i="55"/>
  <c r="D102" i="55" s="1"/>
  <c r="I101" i="55"/>
  <c r="K100" i="55"/>
  <c r="J100" i="55"/>
  <c r="I99" i="55"/>
  <c r="I98" i="55"/>
  <c r="I97" i="55"/>
  <c r="I96" i="55"/>
  <c r="I95" i="55"/>
  <c r="D95" i="55" s="1"/>
  <c r="I94" i="55"/>
  <c r="D94" i="55" s="1"/>
  <c r="I93" i="55"/>
  <c r="I89" i="55"/>
  <c r="E11" i="55"/>
  <c r="I88" i="55"/>
  <c r="I87" i="55"/>
  <c r="D87" i="55" s="1"/>
  <c r="I86" i="55"/>
  <c r="I85" i="55"/>
  <c r="D85" i="55" s="1"/>
  <c r="I84" i="55"/>
  <c r="I83" i="55"/>
  <c r="D83" i="55" s="1"/>
  <c r="I82" i="55"/>
  <c r="I81" i="55"/>
  <c r="D81" i="55" s="1"/>
  <c r="I80" i="55"/>
  <c r="D80" i="55" s="1"/>
  <c r="I79" i="55"/>
  <c r="I78" i="55"/>
  <c r="D78" i="55" s="1"/>
  <c r="I77" i="55"/>
  <c r="I76" i="55"/>
  <c r="D76" i="55" s="1"/>
  <c r="I75" i="55"/>
  <c r="D75" i="55" s="1"/>
  <c r="I74" i="55"/>
  <c r="D74" i="55" s="1"/>
  <c r="I73" i="55"/>
  <c r="D73" i="55" s="1"/>
  <c r="I72" i="55"/>
  <c r="I71" i="55"/>
  <c r="D71" i="55" s="1"/>
  <c r="I70" i="55"/>
  <c r="I69" i="55"/>
  <c r="D69" i="55"/>
  <c r="I68" i="55"/>
  <c r="D68" i="55" s="1"/>
  <c r="I67" i="55"/>
  <c r="I66" i="55"/>
  <c r="D66" i="55" s="1"/>
  <c r="I65" i="55"/>
  <c r="I64" i="55"/>
  <c r="D64" i="55" s="1"/>
  <c r="I63" i="55"/>
  <c r="I62" i="55"/>
  <c r="D62" i="55" s="1"/>
  <c r="I61" i="55"/>
  <c r="I60" i="55"/>
  <c r="D60" i="55" s="1"/>
  <c r="I59" i="55"/>
  <c r="D59" i="55" s="1"/>
  <c r="I58" i="55"/>
  <c r="I57" i="55"/>
  <c r="D57" i="55" s="1"/>
  <c r="I56" i="55"/>
  <c r="D56" i="55" s="1"/>
  <c r="K55" i="55"/>
  <c r="J55" i="55"/>
  <c r="I54" i="55"/>
  <c r="D54" i="55" s="1"/>
  <c r="I53" i="55"/>
  <c r="I52" i="55"/>
  <c r="D52" i="55"/>
  <c r="I51" i="55"/>
  <c r="I50" i="55"/>
  <c r="I49" i="55"/>
  <c r="I48" i="55"/>
  <c r="D48" i="55" s="1"/>
  <c r="I47" i="55"/>
  <c r="D47" i="55" s="1"/>
  <c r="I46" i="55"/>
  <c r="I45" i="55"/>
  <c r="I44" i="55"/>
  <c r="I43" i="55"/>
  <c r="I42" i="55"/>
  <c r="I41" i="55"/>
  <c r="I40" i="55"/>
  <c r="I39" i="55"/>
  <c r="D39" i="55" s="1"/>
  <c r="I38" i="55"/>
  <c r="I37" i="55"/>
  <c r="I36" i="55"/>
  <c r="I35" i="55"/>
  <c r="I34" i="55"/>
  <c r="I33" i="55"/>
  <c r="D33" i="55" s="1"/>
  <c r="I32" i="55"/>
  <c r="I31" i="55"/>
  <c r="D31" i="55" s="1"/>
  <c r="I30" i="55"/>
  <c r="I29" i="55"/>
  <c r="I28" i="55"/>
  <c r="D28" i="55" s="1"/>
  <c r="I27" i="55"/>
  <c r="I26" i="55"/>
  <c r="I25" i="55"/>
  <c r="I24" i="55"/>
  <c r="D24" i="55" s="1"/>
  <c r="I23" i="55"/>
  <c r="I22" i="55"/>
  <c r="D22" i="55" s="1"/>
  <c r="I21" i="55"/>
  <c r="K20" i="55"/>
  <c r="J20" i="55"/>
  <c r="I19" i="55"/>
  <c r="I18" i="55"/>
  <c r="I17" i="55"/>
  <c r="I16" i="55"/>
  <c r="D16" i="55" s="1"/>
  <c r="I15" i="55"/>
  <c r="D15" i="55" s="1"/>
  <c r="K14" i="55"/>
  <c r="J14" i="55"/>
  <c r="I13" i="55"/>
  <c r="D13" i="55" s="1"/>
  <c r="I12" i="55"/>
  <c r="J11" i="55" l="1"/>
  <c r="D131" i="55"/>
  <c r="D17" i="55"/>
  <c r="D34" i="55"/>
  <c r="D98" i="55"/>
  <c r="D149" i="55"/>
  <c r="D99" i="55"/>
  <c r="D90" i="55"/>
  <c r="D30" i="55"/>
  <c r="D36" i="55"/>
  <c r="D140" i="55"/>
  <c r="D141" i="55"/>
  <c r="K11" i="55"/>
  <c r="K8" i="55" s="1"/>
  <c r="I20" i="55"/>
  <c r="D20" i="55" s="1"/>
  <c r="D26" i="55"/>
  <c r="D118" i="55"/>
  <c r="D124" i="55"/>
  <c r="D44" i="55"/>
  <c r="D32" i="55"/>
  <c r="D50" i="55"/>
  <c r="D72" i="55"/>
  <c r="D108" i="55"/>
  <c r="D119" i="55"/>
  <c r="I55" i="55"/>
  <c r="D55" i="55" s="1"/>
  <c r="I100" i="55"/>
  <c r="D100" i="55" s="1"/>
  <c r="D107" i="55"/>
  <c r="D125" i="55"/>
  <c r="D139" i="55"/>
  <c r="D38" i="55"/>
  <c r="D42" i="55"/>
  <c r="D45" i="55"/>
  <c r="D63" i="55"/>
  <c r="D67" i="55"/>
  <c r="D84" i="55"/>
  <c r="D88" i="55"/>
  <c r="D111" i="55"/>
  <c r="D129" i="55"/>
  <c r="D143" i="55"/>
  <c r="D46" i="55"/>
  <c r="J8" i="55"/>
  <c r="D18" i="55"/>
  <c r="D21" i="55"/>
  <c r="D25" i="55"/>
  <c r="D40" i="55"/>
  <c r="D61" i="55"/>
  <c r="D79" i="55"/>
  <c r="D86" i="55"/>
  <c r="D93" i="55"/>
  <c r="D96" i="55"/>
  <c r="D113" i="55"/>
  <c r="D127" i="55"/>
  <c r="D145" i="55"/>
  <c r="D41" i="55"/>
  <c r="D12" i="55"/>
  <c r="D27" i="55"/>
  <c r="D37" i="55"/>
  <c r="D43" i="55"/>
  <c r="D53" i="55"/>
  <c r="D58" i="55"/>
  <c r="D77" i="55"/>
  <c r="D82" i="55"/>
  <c r="D104" i="55"/>
  <c r="D120" i="55"/>
  <c r="D136" i="55"/>
  <c r="D23" i="55"/>
  <c r="D49" i="55"/>
  <c r="D116" i="55"/>
  <c r="D132" i="55"/>
  <c r="D148" i="55"/>
  <c r="D19" i="55"/>
  <c r="D29" i="55"/>
  <c r="D101" i="55"/>
  <c r="E8" i="55"/>
  <c r="I14" i="55"/>
  <c r="D35" i="55"/>
  <c r="D51" i="55"/>
  <c r="D65" i="55"/>
  <c r="D70" i="55"/>
  <c r="D89" i="55"/>
  <c r="D97" i="55"/>
  <c r="D112" i="55"/>
  <c r="D128" i="55"/>
  <c r="D144" i="55"/>
  <c r="D14" i="55" l="1"/>
  <c r="I11" i="55"/>
  <c r="I8" i="55" s="1"/>
  <c r="D8" i="55" s="1"/>
  <c r="D54" i="6"/>
  <c r="D11" i="55" l="1"/>
  <c r="H37" i="4"/>
  <c r="H73" i="3" l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8" i="27"/>
  <c r="E8" i="54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L143" i="52"/>
  <c r="L146" i="52" s="1"/>
  <c r="K143" i="52"/>
  <c r="K146" i="52" s="1"/>
  <c r="J143" i="52"/>
  <c r="J146" i="52" s="1"/>
  <c r="I143" i="52"/>
  <c r="I146" i="52" s="1"/>
  <c r="G143" i="52"/>
  <c r="G146" i="52" s="1"/>
  <c r="F143" i="52"/>
  <c r="F146" i="52" s="1"/>
  <c r="E143" i="52" l="1"/>
  <c r="E146" i="52" s="1"/>
  <c r="D143" i="52"/>
  <c r="D146" i="52" s="1"/>
  <c r="H143" i="52"/>
  <c r="H146" i="52" s="1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K8" i="3" l="1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X141" i="29"/>
  <c r="X140" i="29"/>
  <c r="X139" i="29"/>
  <c r="X137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6" i="29"/>
  <c r="X93" i="29"/>
  <c r="X90" i="29"/>
  <c r="X86" i="29"/>
  <c r="X84" i="29"/>
  <c r="X80" i="29"/>
  <c r="X75" i="29"/>
  <c r="X72" i="29"/>
  <c r="X69" i="29"/>
  <c r="T142" i="29"/>
  <c r="T144" i="29" s="1"/>
  <c r="X66" i="29"/>
  <c r="X65" i="29"/>
  <c r="O142" i="29"/>
  <c r="O144" i="29" s="1"/>
  <c r="L142" i="29"/>
  <c r="L144" i="29" s="1"/>
  <c r="H142" i="29"/>
  <c r="H144" i="29" s="1"/>
  <c r="X62" i="29"/>
  <c r="X60" i="29"/>
  <c r="X57" i="29"/>
  <c r="X55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4" i="29" l="1"/>
  <c r="V143" i="29"/>
  <c r="X143" i="29" s="1"/>
  <c r="S142" i="29"/>
  <c r="S144" i="29" s="1"/>
  <c r="X81" i="29"/>
  <c r="X79" i="29" s="1"/>
  <c r="X92" i="29"/>
  <c r="X91" i="29" s="1"/>
  <c r="X116" i="29"/>
  <c r="X115" i="29" s="1"/>
  <c r="X59" i="29"/>
  <c r="U142" i="29"/>
  <c r="U144" i="29" s="1"/>
  <c r="X138" i="29"/>
  <c r="X63" i="29"/>
  <c r="M142" i="29"/>
  <c r="M144" i="29" s="1"/>
  <c r="X123" i="29"/>
  <c r="X136" i="29"/>
  <c r="X135" i="29" s="1"/>
  <c r="I142" i="29"/>
  <c r="I144" i="29" s="1"/>
  <c r="Q142" i="29"/>
  <c r="Q144" i="29" s="1"/>
  <c r="X74" i="29"/>
  <c r="X73" i="29" s="1"/>
  <c r="X101" i="29"/>
  <c r="X100" i="29" s="1"/>
  <c r="X58" i="29"/>
  <c r="X131" i="29"/>
  <c r="X130" i="29" s="1"/>
  <c r="K142" i="29"/>
  <c r="K144" i="29" s="1"/>
  <c r="X83" i="29"/>
  <c r="X82" i="29" s="1"/>
  <c r="X119" i="29"/>
  <c r="X118" i="29" s="1"/>
  <c r="R142" i="29"/>
  <c r="R144" i="29" s="1"/>
  <c r="X77" i="29"/>
  <c r="G142" i="29"/>
  <c r="G144" i="29" s="1"/>
  <c r="X122" i="29"/>
  <c r="X126" i="29"/>
  <c r="X124" i="29" s="1"/>
  <c r="P142" i="29"/>
  <c r="P144" i="29" s="1"/>
  <c r="X56" i="29"/>
  <c r="X61" i="29"/>
  <c r="E142" i="29"/>
  <c r="E144" i="29" s="1"/>
  <c r="X78" i="29"/>
  <c r="H9" i="27"/>
  <c r="H6" i="27" s="1"/>
  <c r="E9" i="27"/>
  <c r="E6" i="27" s="1"/>
  <c r="D9" i="27"/>
  <c r="D6" i="27" s="1"/>
  <c r="X71" i="29" l="1"/>
  <c r="X70" i="29" s="1"/>
  <c r="X110" i="29"/>
  <c r="X109" i="29" s="1"/>
  <c r="X95" i="29"/>
  <c r="X94" i="29" s="1"/>
  <c r="X89" i="29"/>
  <c r="X88" i="29" s="1"/>
  <c r="X113" i="29"/>
  <c r="X112" i="29" s="1"/>
  <c r="X87" i="29"/>
  <c r="X85" i="29" s="1"/>
  <c r="X98" i="29"/>
  <c r="X97" i="29" s="1"/>
  <c r="X105" i="29"/>
  <c r="X103" i="29" s="1"/>
  <c r="X107" i="29"/>
  <c r="X106" i="29" s="1"/>
  <c r="X76" i="29"/>
  <c r="X128" i="29"/>
  <c r="X127" i="29" s="1"/>
  <c r="X68" i="29"/>
  <c r="X67" i="29" s="1"/>
  <c r="X121" i="29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67" i="26"/>
  <c r="G75" i="26"/>
  <c r="G79" i="26"/>
  <c r="G87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3" i="26"/>
  <c r="G34" i="26"/>
  <c r="G35" i="26"/>
  <c r="G36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8" i="26"/>
  <c r="G69" i="26"/>
  <c r="G70" i="26"/>
  <c r="G71" i="26"/>
  <c r="G72" i="26"/>
  <c r="G73" i="26"/>
  <c r="G74" i="26"/>
  <c r="G76" i="26"/>
  <c r="G77" i="26"/>
  <c r="G78" i="26"/>
  <c r="G80" i="26"/>
  <c r="G81" i="26"/>
  <c r="G82" i="26"/>
  <c r="G83" i="26"/>
  <c r="G84" i="26"/>
  <c r="G85" i="26"/>
  <c r="G86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80" i="26"/>
  <c r="K65" i="26"/>
  <c r="K52" i="26"/>
  <c r="K39" i="26"/>
  <c r="K26" i="26"/>
  <c r="K13" i="26"/>
  <c r="K128" i="26"/>
  <c r="K87" i="26"/>
  <c r="K93" i="26"/>
  <c r="K122" i="26"/>
  <c r="K37" i="26"/>
  <c r="K105" i="26"/>
  <c r="K90" i="26"/>
  <c r="K76" i="26"/>
  <c r="K62" i="26"/>
  <c r="K49" i="26"/>
  <c r="K36" i="26"/>
  <c r="K23" i="26"/>
  <c r="K143" i="26"/>
  <c r="K124" i="26"/>
  <c r="K67" i="26"/>
  <c r="K79" i="26"/>
  <c r="K106" i="26"/>
  <c r="K121" i="26"/>
  <c r="K120" i="26"/>
  <c r="K104" i="26"/>
  <c r="K89" i="26"/>
  <c r="K74" i="26"/>
  <c r="K61" i="26"/>
  <c r="K48" i="26"/>
  <c r="K35" i="26"/>
  <c r="K22" i="26"/>
  <c r="K142" i="26"/>
  <c r="K123" i="26"/>
  <c r="K55" i="26"/>
  <c r="K107" i="26"/>
  <c r="K75" i="26"/>
  <c r="K118" i="26"/>
  <c r="K102" i="26"/>
  <c r="K88" i="26"/>
  <c r="K73" i="26"/>
  <c r="K60" i="26"/>
  <c r="K47" i="26"/>
  <c r="K34" i="26"/>
  <c r="K21" i="26"/>
  <c r="K140" i="26"/>
  <c r="K119" i="26"/>
  <c r="K43" i="26"/>
  <c r="K38" i="26"/>
  <c r="K63" i="26"/>
  <c r="K145" i="26"/>
  <c r="K117" i="26"/>
  <c r="K101" i="26"/>
  <c r="K86" i="26"/>
  <c r="K72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5" i="26"/>
  <c r="K71" i="26"/>
  <c r="K58" i="26"/>
  <c r="K45" i="26"/>
  <c r="K32" i="26"/>
  <c r="K18" i="26"/>
  <c r="K138" i="26"/>
  <c r="K112" i="26"/>
  <c r="K19" i="26"/>
  <c r="K78" i="26"/>
  <c r="K125" i="26"/>
  <c r="K134" i="26"/>
  <c r="K114" i="26"/>
  <c r="K98" i="26"/>
  <c r="K84" i="26"/>
  <c r="K70" i="26"/>
  <c r="K57" i="26"/>
  <c r="K44" i="26"/>
  <c r="K30" i="26"/>
  <c r="K17" i="26"/>
  <c r="K137" i="26"/>
  <c r="K111" i="26"/>
  <c r="K12" i="26"/>
  <c r="K77" i="26"/>
  <c r="K133" i="26"/>
  <c r="K113" i="26"/>
  <c r="K97" i="26"/>
  <c r="K83" i="26"/>
  <c r="K69" i="26"/>
  <c r="K56" i="26"/>
  <c r="K42" i="26"/>
  <c r="K29" i="26"/>
  <c r="K16" i="26"/>
  <c r="K136" i="26"/>
  <c r="K103" i="26"/>
  <c r="K64" i="26"/>
  <c r="K144" i="26"/>
  <c r="K132" i="26"/>
  <c r="K110" i="26"/>
  <c r="K96" i="26"/>
  <c r="K82" i="26"/>
  <c r="K68" i="26"/>
  <c r="K54" i="26"/>
  <c r="K41" i="26"/>
  <c r="K28" i="26"/>
  <c r="K15" i="26"/>
  <c r="K135" i="26"/>
  <c r="K99" i="26"/>
  <c r="K127" i="26"/>
  <c r="K92" i="26"/>
  <c r="K130" i="26"/>
  <c r="K109" i="26"/>
  <c r="K95" i="26"/>
  <c r="K81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Q10" i="26" l="1"/>
  <c r="Q7" i="26" s="1"/>
  <c r="F9" i="23"/>
  <c r="F6" i="23" s="1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53" i="6" l="1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Q8" i="6"/>
  <c r="Q55" i="6" s="1"/>
  <c r="P8" i="6"/>
  <c r="P55" i="6" s="1"/>
  <c r="O8" i="6"/>
  <c r="O55" i="6" s="1"/>
  <c r="N8" i="6"/>
  <c r="M8" i="6"/>
  <c r="L8" i="6"/>
  <c r="K8" i="6"/>
  <c r="J8" i="6"/>
  <c r="I8" i="6"/>
  <c r="I55" i="6" s="1"/>
  <c r="H8" i="6"/>
  <c r="H55" i="6" s="1"/>
  <c r="G8" i="6"/>
  <c r="G55" i="6" s="1"/>
  <c r="F8" i="6"/>
  <c r="E8" i="6"/>
  <c r="R55" i="6" l="1"/>
  <c r="J55" i="6"/>
  <c r="F55" i="6"/>
  <c r="N55" i="6"/>
  <c r="L55" i="6"/>
  <c r="T55" i="6"/>
  <c r="E55" i="6"/>
  <c r="M55" i="6"/>
  <c r="D57" i="6"/>
  <c r="D56" i="6"/>
  <c r="K55" i="6"/>
  <c r="S55" i="6"/>
  <c r="D18" i="6"/>
  <c r="D11" i="6"/>
  <c r="D21" i="6"/>
  <c r="D8" i="6"/>
  <c r="D55" i="6" l="1"/>
  <c r="H39" i="5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10" i="3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87" i="3" l="1"/>
  <c r="D103" i="3"/>
  <c r="D129" i="3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N10" i="3"/>
  <c r="N8" i="3" s="1"/>
  <c r="W10" i="3"/>
  <c r="W8" i="3" s="1"/>
  <c r="R10" i="3"/>
  <c r="R8" i="3" s="1"/>
  <c r="S11" i="3" l="1"/>
  <c r="S10" i="3" s="1"/>
  <c r="S8" i="3" s="1"/>
  <c r="D11" i="3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H10" i="26"/>
  <c r="H7" i="26" s="1"/>
  <c r="G148" i="26"/>
  <c r="G146" i="26"/>
  <c r="G10" i="26"/>
  <c r="G7" i="26" s="1"/>
  <c r="K146" i="26" l="1"/>
  <c r="K148" i="26"/>
  <c r="K147" i="26"/>
  <c r="L10" i="26"/>
  <c r="L7" i="26" s="1"/>
  <c r="K10" i="26" l="1"/>
  <c r="K7" i="26" s="1"/>
</calcChain>
</file>

<file path=xl/sharedStrings.xml><?xml version="1.0" encoding="utf-8"?>
<sst xmlns="http://schemas.openxmlformats.org/spreadsheetml/2006/main" count="7349" uniqueCount="784">
  <si>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</si>
  <si>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</si>
  <si>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</si>
  <si>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</si>
  <si>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</si>
  <si>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</si>
  <si>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</si>
  <si>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</si>
  <si>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</si>
  <si>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</si>
  <si>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</si>
  <si>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</si>
  <si>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</si>
  <si>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</si>
  <si>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</si>
  <si>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</si>
  <si>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</si>
  <si>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</si>
  <si>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</si>
  <si>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</si>
  <si>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</si>
  <si>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</si>
  <si>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</si>
  <si>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</si>
  <si>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</si>
  <si>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</si>
  <si>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</si>
  <si>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</si>
  <si>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</si>
  <si>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</si>
  <si>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</si>
  <si>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</si>
  <si>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</si>
  <si>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</si>
  <si>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</si>
  <si>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</si>
  <si>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</si>
  <si>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</si>
  <si>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</si>
  <si>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</si>
  <si>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</si>
  <si>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</si>
  <si>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</si>
  <si>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</si>
  <si>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</si>
  <si>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</si>
  <si>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</si>
  <si>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</si>
  <si>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</si>
  <si>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</si>
  <si>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</si>
  <si>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</si>
  <si>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</si>
  <si>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</si>
  <si>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</si>
  <si>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</si>
  <si>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</si>
  <si>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</si>
  <si>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</si>
  <si>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</si>
  <si>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</si>
  <si>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</si>
  <si>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</si>
  <si>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</si>
  <si>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</si>
  <si>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</si>
  <si>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</si>
  <si>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</si>
  <si>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</si>
  <si>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</si>
  <si>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</si>
  <si>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</si>
  <si>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</si>
  <si>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</si>
  <si>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</si>
  <si>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</si>
  <si>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</si>
  <si>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</si>
  <si>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</si>
  <si>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</si>
  <si>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</si>
  <si>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</si>
  <si>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</si>
  <si>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</si>
  <si>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</si>
  <si>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</si>
  <si>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</si>
  <si>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</si>
  <si>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</si>
  <si>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</si>
  <si>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</si>
  <si>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</si>
  <si>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</si>
  <si>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</si>
  <si>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</si>
  <si>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</si>
  <si>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</si>
  <si>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</si>
  <si>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</si>
  <si>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</si>
  <si>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</si>
  <si>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</si>
  <si>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</si>
  <si>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</si>
  <si>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</si>
  <si>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</si>
  <si>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</si>
  <si>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</si>
  <si>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</si>
  <si>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</si>
  <si>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</si>
  <si>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</si>
  <si>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</si>
  <si>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</si>
  <si>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</si>
  <si>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</si>
  <si>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</si>
  <si>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</si>
  <si>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</si>
  <si>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</si>
  <si>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</si>
  <si>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</si>
  <si>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</si>
  <si>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</si>
  <si>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</si>
  <si>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</si>
  <si>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</si>
  <si>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</si>
  <si>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</si>
  <si>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</si>
  <si>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</si>
  <si>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</si>
  <si>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</si>
  <si>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</si>
  <si>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</si>
  <si>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</si>
  <si>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</si>
  <si>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</si>
  <si>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</si>
  <si>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</si>
  <si>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</si>
  <si>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</si>
  <si>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</si>
  <si>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</si>
  <si>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</si>
  <si>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</si>
  <si>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</si>
  <si>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</si>
  <si>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</si>
  <si>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</si>
  <si>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</si>
  <si>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</si>
  <si>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</si>
  <si>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</si>
  <si>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</si>
  <si>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</si>
  <si>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</si>
  <si>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</si>
  <si>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</si>
  <si>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</si>
  <si>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</si>
  <si>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</si>
  <si>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</si>
  <si>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</si>
  <si>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</si>
  <si>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</si>
  <si>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</si>
  <si>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</si>
  <si>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</si>
  <si>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</si>
  <si>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</si>
  <si>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</si>
  <si>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</si>
  <si>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</si>
  <si>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</si>
  <si>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</si>
  <si>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</si>
  <si>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</si>
  <si>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</si>
  <si>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</si>
  <si>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</si>
  <si>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</si>
  <si>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</si>
  <si>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</si>
  <si>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</si>
  <si>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</si>
  <si>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</si>
  <si>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</si>
  <si>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</si>
  <si>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</si>
  <si>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</si>
  <si>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</si>
  <si>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</si>
  <si>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</si>
  <si>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</si>
  <si>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</si>
  <si>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</si>
  <si>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</si>
  <si>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</si>
  <si>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</si>
  <si>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</si>
  <si>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</si>
  <si>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</si>
  <si>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</si>
  <si>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</si>
  <si>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</si>
  <si>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</si>
  <si>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</si>
  <si>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</si>
  <si>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</si>
  <si>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</si>
  <si>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</si>
  <si>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</si>
  <si>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</si>
  <si>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</si>
  <si>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</si>
  <si>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</si>
  <si>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</si>
  <si>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</si>
  <si>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</si>
  <si>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</si>
  <si>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</si>
  <si>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</si>
  <si>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</si>
  <si>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</si>
  <si>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</si>
  <si>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</si>
  <si>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</si>
  <si>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</si>
  <si>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</si>
  <si>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</si>
  <si>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</si>
  <si>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</si>
  <si>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</si>
  <si>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</si>
  <si>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</si>
  <si>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</si>
  <si>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</si>
  <si>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</si>
  <si>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</si>
  <si>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</si>
  <si>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</si>
  <si>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</si>
  <si>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</si>
  <si>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</si>
  <si>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</si>
  <si>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</si>
  <si>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</si>
  <si>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</si>
  <si>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</si>
  <si>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</si>
  <si>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</si>
  <si>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</si>
  <si>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</si>
  <si>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</si>
  <si>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</si>
  <si>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</si>
  <si>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</si>
  <si>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</si>
  <si>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</si>
  <si>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</si>
  <si>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</si>
  <si>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</si>
  <si>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</si>
  <si>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</si>
  <si>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</si>
  <si>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</si>
  <si>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</si>
  <si>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</si>
  <si>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</si>
  <si>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</si>
  <si>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</si>
  <si>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</si>
  <si>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</si>
  <si>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</si>
  <si>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</si>
  <si>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</si>
  <si>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</si>
  <si>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</si>
  <si>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</si>
  <si>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</si>
  <si>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</si>
  <si>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</si>
  <si>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</si>
  <si>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</si>
  <si>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</si>
  <si>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</si>
  <si>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</si>
  <si>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</si>
  <si>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</si>
  <si>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</si>
  <si>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</si>
  <si>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</si>
  <si>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</si>
  <si>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</si>
  <si>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</si>
  <si>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</si>
  <si>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</si>
  <si>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</si>
  <si>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</si>
  <si>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</si>
  <si>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</si>
  <si>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</si>
  <si>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</si>
  <si>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</si>
  <si>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</si>
  <si>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</si>
  <si>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</si>
  <si>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</si>
  <si>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</si>
  <si>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</si>
  <si>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</si>
  <si>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</si>
  <si>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</si>
  <si>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</si>
  <si>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</si>
  <si>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</si>
  <si>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</si>
  <si>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</si>
  <si>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</si>
  <si>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</si>
  <si>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</si>
  <si>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</si>
  <si>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</si>
  <si>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</si>
  <si>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</si>
  <si>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</si>
  <si>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</si>
  <si>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</si>
  <si>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</si>
  <si>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</si>
  <si>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</si>
  <si>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</si>
  <si>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</si>
  <si>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</si>
  <si>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</si>
  <si>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</si>
  <si>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</si>
  <si>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</si>
  <si>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</si>
  <si>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</si>
  <si>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</si>
  <si>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</si>
  <si>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</si>
  <si>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</si>
  <si>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</si>
  <si>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</si>
  <si>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</si>
  <si>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</si>
  <si>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</si>
  <si>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</si>
  <si>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</si>
  <si>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</si>
  <si>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</si>
  <si>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</si>
  <si>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</si>
  <si>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</si>
  <si>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</si>
  <si>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</si>
  <si>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</si>
  <si>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</si>
  <si>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</si>
  <si>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</si>
  <si>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</si>
  <si>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</si>
  <si>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</si>
  <si>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</si>
  <si>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</si>
  <si>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</si>
  <si>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</si>
  <si>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</si>
  <si>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</si>
  <si>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</si>
  <si>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</si>
  <si>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</si>
  <si>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</si>
  <si>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</si>
  <si>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</si>
  <si>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</si>
  <si>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</si>
  <si>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</si>
  <si>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</si>
  <si>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</si>
  <si>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</si>
  <si>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</si>
  <si>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</si>
  <si>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</si>
  <si>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</si>
  <si>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</si>
  <si>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</si>
  <si>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</si>
  <si>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</si>
  <si>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</si>
  <si>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</si>
  <si>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</si>
  <si>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</si>
  <si>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</si>
  <si>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</si>
  <si>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</si>
  <si>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</si>
  <si>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</si>
  <si>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</si>
  <si>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</si>
  <si>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</si>
  <si>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</si>
  <si>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</si>
  <si>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</si>
  <si>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</si>
  <si>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</si>
  <si>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</si>
  <si>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</si>
  <si>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</si>
  <si>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</si>
  <si>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</si>
  <si>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</si>
  <si>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</si>
  <si>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</si>
  <si>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</si>
  <si>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</si>
  <si>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</si>
  <si>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</si>
  <si>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</si>
  <si>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</si>
  <si>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</si>
  <si>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</si>
  <si>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</si>
  <si>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</si>
  <si>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</si>
  <si>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</si>
  <si>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</si>
  <si>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</si>
  <si>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</si>
  <si>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</si>
  <si>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</si>
  <si>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</si>
  <si>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</si>
  <si>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</si>
  <si>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</si>
  <si>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</si>
  <si>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</si>
  <si>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</si>
  <si>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</si>
  <si>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</si>
  <si>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</si>
  <si>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</si>
  <si>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</si>
  <si>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</si>
  <si>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</si>
  <si>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</si>
  <si>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</si>
  <si>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</si>
  <si>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</si>
  <si>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</si>
  <si>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</si>
  <si>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</si>
  <si>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</si>
  <si>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</si>
  <si>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</si>
  <si>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</si>
  <si>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</si>
  <si>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</si>
  <si>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</si>
  <si>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</si>
  <si>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</si>
  <si>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</si>
  <si>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</si>
  <si>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</si>
  <si>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</si>
  <si>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</si>
  <si>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</si>
  <si>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</si>
  <si>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</si>
  <si>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</si>
  <si>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</si>
  <si>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</si>
  <si>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</si>
  <si>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</si>
  <si>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</si>
  <si>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</si>
  <si>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</si>
  <si>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</si>
  <si>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</si>
  <si>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</si>
  <si>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</si>
  <si>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</si>
  <si>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</si>
  <si>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</si>
  <si>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</si>
  <si>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</si>
  <si>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</si>
  <si>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</si>
  <si>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</si>
  <si>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</si>
  <si>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</si>
  <si>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</si>
  <si>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</si>
  <si>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</si>
  <si>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</si>
  <si>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</si>
  <si>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</si>
  <si>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</si>
  <si>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</si>
  <si>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</si>
  <si>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</si>
  <si>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</si>
  <si>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</si>
  <si>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</si>
  <si>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</si>
  <si>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</si>
  <si>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</si>
  <si>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</si>
  <si>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</si>
  <si>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</si>
  <si>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</si>
  <si>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</si>
  <si>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</si>
  <si>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</si>
  <si>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</si>
  <si>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</si>
  <si>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</si>
  <si>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</si>
  <si>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</si>
  <si>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</si>
  <si>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</si>
  <si>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</si>
  <si>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</si>
  <si>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</si>
  <si>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</si>
  <si>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</si>
  <si>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</si>
  <si>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</si>
  <si>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</si>
  <si>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</si>
  <si>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</si>
  <si>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</si>
  <si>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</si>
  <si>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</si>
  <si>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</si>
  <si>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</si>
  <si>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</si>
  <si>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</si>
  <si>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</si>
  <si>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</si>
  <si>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</si>
  <si>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</si>
  <si>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</si>
  <si>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</si>
  <si>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</si>
  <si>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</si>
  <si>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</si>
  <si>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</si>
  <si>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</si>
  <si>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</si>
  <si>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</si>
  <si>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</si>
  <si>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</si>
  <si>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</si>
  <si>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</si>
  <si>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</si>
  <si>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</si>
  <si>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</si>
  <si>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</si>
  <si>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</si>
  <si>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</si>
  <si>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</si>
  <si>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</si>
  <si>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</si>
  <si>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</si>
  <si>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</si>
  <si>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</si>
  <si>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</si>
  <si>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</si>
  <si>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</si>
  <si>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</si>
  <si>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</si>
  <si>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</si>
  <si>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</si>
  <si>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</si>
  <si>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</si>
  <si>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</si>
  <si>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</si>
  <si>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</si>
  <si>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</si>
  <si>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</si>
  <si>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</si>
  <si>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</si>
  <si>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</si>
  <si>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</si>
  <si>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</si>
  <si>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</si>
  <si>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</si>
  <si>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</si>
  <si>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</si>
  <si>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</si>
  <si>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</si>
  <si>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</si>
  <si>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</si>
  <si>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</si>
  <si>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</si>
  <si>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</si>
  <si>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</si>
  <si>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</si>
  <si>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</si>
  <si>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</si>
  <si>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</si>
  <si>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</si>
  <si>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</si>
  <si>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</si>
  <si>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</si>
  <si>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</si>
  <si>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</si>
  <si>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</si>
  <si>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</si>
  <si>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</si>
  <si>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</si>
  <si>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</si>
  <si>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</si>
  <si>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</si>
  <si>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</si>
  <si>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</si>
  <si>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</si>
  <si>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</si>
  <si>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</si>
  <si>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</si>
  <si>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</si>
  <si>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</si>
  <si>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</si>
  <si>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</si>
  <si>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</si>
  <si>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</si>
  <si>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</si>
  <si>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</si>
  <si>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</si>
  <si>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</si>
  <si>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</si>
  <si>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</si>
  <si>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</si>
  <si>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</si>
  <si>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</si>
  <si>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</si>
  <si>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</si>
  <si>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</si>
  <si>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</si>
  <si>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</si>
  <si>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</si>
  <si>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</si>
  <si>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</si>
  <si>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</si>
  <si>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</si>
  <si>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</si>
  <si>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</si>
  <si>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</si>
  <si>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</si>
  <si>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</si>
  <si>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</si>
  <si>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</si>
  <si>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</si>
  <si>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</si>
  <si>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</si>
  <si>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</si>
  <si>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</si>
  <si>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</si>
  <si>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</si>
  <si>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</si>
  <si>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</si>
  <si>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</si>
  <si>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</si>
  <si>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</si>
  <si>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</si>
  <si>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</si>
  <si>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</si>
  <si>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</si>
  <si>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</si>
  <si>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</si>
  <si>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</si>
  <si>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</si>
  <si>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</si>
  <si>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</si>
  <si>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</si>
  <si>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</si>
  <si>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</si>
  <si>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</si>
  <si>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</si>
  <si>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</si>
  <si>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</si>
  <si>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</si>
  <si>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</si>
  <si>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</si>
  <si>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</si>
  <si>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</si>
  <si>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</si>
  <si>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</si>
  <si>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</si>
  <si>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</si>
  <si>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</si>
  <si>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</si>
  <si>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</si>
  <si>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</si>
  <si>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</si>
  <si>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</si>
  <si>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</si>
  <si>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</si>
  <si>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</si>
  <si>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</si>
  <si>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</si>
  <si>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</si>
  <si>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</si>
  <si>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</si>
  <si>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</si>
  <si>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</si>
  <si>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</si>
  <si>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</si>
  <si>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</si>
  <si>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</si>
  <si>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</si>
  <si>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</si>
  <si>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</si>
  <si>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</si>
  <si>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</si>
  <si>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</si>
  <si>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</si>
  <si>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</si>
  <si>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</si>
  <si>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</si>
  <si>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</si>
  <si>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</si>
  <si>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</si>
  <si>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</si>
  <si>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</si>
  <si>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</si>
  <si>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</si>
  <si>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</si>
  <si>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</si>
  <si>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</si>
  <si>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</si>
  <si>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</si>
  <si>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</si>
  <si>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</si>
  <si>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</si>
  <si>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</si>
  <si>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</si>
  <si>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</si>
  <si>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</si>
  <si>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</si>
  <si>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</si>
  <si>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</si>
  <si>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</si>
  <si>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</si>
  <si>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</si>
  <si>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</si>
  <si>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</si>
  <si>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</si>
  <si>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</si>
  <si>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</si>
  <si>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</si>
  <si>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</si>
  <si>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</si>
  <si>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</si>
  <si>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</si>
  <si>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</si>
  <si>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</si>
  <si>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</si>
  <si>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t>ГБУЗ  ЦСМК и МК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</si>
  <si>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</si>
  <si>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</si>
  <si>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</si>
  <si>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</si>
  <si>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</si>
  <si>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</si>
  <si>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Динамическое наблюдение пациентов с факторами риска развития хронических неинфекционных заболеваний 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</si>
  <si>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</si>
  <si>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</si>
  <si>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</si>
  <si>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</si>
  <si>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 xml:space="preserve"> 2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</si>
  <si>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</si>
  <si>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</si>
  <si>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</si>
  <si>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 xml:space="preserve">   от 26.05.2026 № 6-26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</si>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</sst>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7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48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4" fontId="7" fillId="0" borderId="0" xfId="24" applyNumberFormat="1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3" fontId="40" fillId="0" borderId="1" xfId="30" applyNumberFormat="1" applyFont="1" applyFill="1" applyBorder="1" applyAlignment="1">
      <alignment horizontal="center" vertic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13" fillId="0" borderId="0" xfId="18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3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0" fontId="53" fillId="2" borderId="1" xfId="36" applyFont="1" applyFill="1" applyBorder="1" applyAlignment="1">
      <alignment horizontal="center" vertical="center"/>
    </xf>
    <xf numFmtId="3" fontId="53" fillId="2" borderId="1" xfId="36" applyNumberFormat="1" applyFont="1" applyFill="1" applyBorder="1" applyAlignment="1">
      <alignment horizontal="center" vertical="center"/>
    </xf>
    <xf numFmtId="0" fontId="53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3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3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3" fillId="2" borderId="1" xfId="37" applyFont="1" applyFill="1" applyBorder="1" applyAlignment="1">
      <alignment horizontal="left" vertical="center" wrapText="1"/>
    </xf>
    <xf numFmtId="0" fontId="53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5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6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3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8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59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0" fillId="0" borderId="0" xfId="42" applyFont="1" applyFill="1" applyAlignment="1">
      <alignment vertical="center"/>
    </xf>
    <xf numFmtId="0" fontId="61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3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23" xfId="2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0" borderId="1" xfId="6" applyFont="1" applyFill="1" applyBorder="1" applyAlignment="1">
      <alignment horizontal="center" vertical="center"/>
    </xf>
    <xf numFmtId="3" fontId="13" fillId="0" borderId="19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3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19" xfId="6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3" xfId="2" applyNumberFormat="1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left" vertical="center" wrapText="1"/>
    </xf>
    <xf numFmtId="0" fontId="13" fillId="0" borderId="23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3" xfId="23" applyFont="1" applyFill="1" applyBorder="1" applyAlignment="1">
      <alignment horizontal="left" vertical="center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3" fillId="10" borderId="1" xfId="0" applyNumberFormat="1" applyFont="1" applyFill="1" applyBorder="1" applyAlignment="1">
      <alignment horizontal="center" vertical="center" wrapText="1"/>
    </xf>
    <xf numFmtId="0" fontId="53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5" fillId="0" borderId="0" xfId="0" applyFont="1"/>
    <xf numFmtId="3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3" fillId="0" borderId="0" xfId="0" applyNumberFormat="1" applyFont="1" applyFill="1" applyAlignment="1">
      <alignment horizontal="center"/>
    </xf>
    <xf numFmtId="3" fontId="53" fillId="0" borderId="24" xfId="0" applyNumberFormat="1" applyFont="1" applyFill="1" applyBorder="1" applyAlignment="1">
      <alignment horizontal="center"/>
    </xf>
    <xf numFmtId="3" fontId="53" fillId="0" borderId="13" xfId="0" applyNumberFormat="1" applyFont="1" applyFill="1" applyBorder="1" applyAlignment="1">
      <alignment horizontal="center"/>
    </xf>
    <xf numFmtId="3" fontId="53" fillId="0" borderId="14" xfId="0" applyNumberFormat="1" applyFont="1" applyFill="1" applyBorder="1" applyAlignment="1">
      <alignment horizontal="center"/>
    </xf>
    <xf numFmtId="3" fontId="53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3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3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3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3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21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53" fillId="0" borderId="23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3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3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27" xfId="0" quotePrefix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3" fontId="13" fillId="0" borderId="45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/>
    </xf>
    <xf numFmtId="3" fontId="53" fillId="0" borderId="13" xfId="0" applyNumberFormat="1" applyFont="1" applyFill="1" applyBorder="1" applyAlignment="1">
      <alignment horizontal="center" vertical="center"/>
    </xf>
    <xf numFmtId="3" fontId="53" fillId="0" borderId="24" xfId="0" applyNumberFormat="1" applyFont="1" applyFill="1" applyBorder="1" applyAlignment="1">
      <alignment horizontal="center" vertical="center"/>
    </xf>
    <xf numFmtId="3" fontId="53" fillId="0" borderId="25" xfId="0" applyNumberFormat="1" applyFont="1" applyFill="1" applyBorder="1" applyAlignment="1">
      <alignment horizontal="center" vertical="center"/>
    </xf>
    <xf numFmtId="3" fontId="53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3" fillId="0" borderId="19" xfId="0" applyNumberFormat="1" applyFont="1" applyFill="1" applyBorder="1" applyAlignment="1">
      <alignment horizontal="center" vertical="center"/>
    </xf>
    <xf numFmtId="3" fontId="53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3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3" fillId="0" borderId="23" xfId="0" applyNumberFormat="1" applyFont="1" applyFill="1" applyBorder="1" applyAlignment="1">
      <alignment horizontal="center" vertical="center"/>
    </xf>
    <xf numFmtId="3" fontId="53" fillId="0" borderId="7" xfId="0" applyNumberFormat="1" applyFont="1" applyFill="1" applyBorder="1" applyAlignment="1">
      <alignment horizontal="center" vertical="center"/>
    </xf>
    <xf numFmtId="4" fontId="53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3" fillId="0" borderId="19" xfId="0" applyNumberFormat="1" applyFont="1" applyFill="1" applyBorder="1" applyAlignment="1">
      <alignment horizontal="center" vertical="center"/>
    </xf>
    <xf numFmtId="0" fontId="53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3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3" fillId="0" borderId="6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70" fillId="2" borderId="0" xfId="0" applyFont="1" applyFill="1" applyBorder="1" applyAlignment="1">
      <alignment horizontal="center" vertical="center"/>
    </xf>
    <xf numFmtId="3" fontId="66" fillId="0" borderId="0" xfId="0" applyNumberFormat="1" applyFont="1" applyFill="1" applyAlignment="1">
      <alignment horizontal="center" vertical="center"/>
    </xf>
    <xf numFmtId="3" fontId="66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1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3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3" fontId="16" fillId="2" borderId="1" xfId="1" applyNumberFormat="1" applyFont="1" applyFill="1" applyBorder="1" applyAlignment="1">
      <alignment horizontal="left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3" fontId="16" fillId="2" borderId="5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3" fontId="34" fillId="0" borderId="1" xfId="15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/>
    </xf>
    <xf numFmtId="0" fontId="25" fillId="2" borderId="1" xfId="13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2" fillId="11" borderId="1" xfId="2" applyFont="1" applyFill="1" applyBorder="1" applyAlignment="1">
      <alignment horizontal="left" vertical="center" wrapText="1"/>
    </xf>
    <xf numFmtId="3" fontId="7" fillId="11" borderId="1" xfId="3" applyNumberFormat="1" applyFont="1" applyFill="1" applyBorder="1" applyAlignment="1">
      <alignment horizontal="right" vertic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49" fontId="13" fillId="0" borderId="1" xfId="44" applyNumberFormat="1" applyFont="1" applyFill="1" applyBorder="1" applyAlignment="1">
      <alignment horizontal="center" vertical="center"/>
    </xf>
    <xf numFmtId="0" fontId="2" fillId="11" borderId="1" xfId="3" applyFont="1" applyFill="1" applyBorder="1" applyAlignment="1">
      <alignment horizontal="right" vertical="center"/>
    </xf>
    <xf numFmtId="3" fontId="2" fillId="11" borderId="1" xfId="18" applyNumberFormat="1" applyFont="1" applyFill="1" applyBorder="1" applyAlignment="1">
      <alignment horizontal="right" vertical="center"/>
    </xf>
    <xf numFmtId="3" fontId="7" fillId="11" borderId="1" xfId="18" applyNumberFormat="1" applyFont="1" applyFill="1" applyBorder="1" applyAlignment="1">
      <alignment horizontal="right" vertical="center"/>
    </xf>
    <xf numFmtId="3" fontId="2" fillId="2" borderId="1" xfId="3" applyNumberFormat="1" applyFont="1" applyFill="1" applyBorder="1" applyAlignment="1">
      <alignment horizontal="left" vertical="center" wrapText="1"/>
    </xf>
    <xf numFmtId="0" fontId="72" fillId="0" borderId="0" xfId="43" applyFont="1" applyFill="1"/>
    <xf numFmtId="0" fontId="43" fillId="0" borderId="0" xfId="43" applyFont="1" applyFill="1"/>
    <xf numFmtId="0" fontId="43" fillId="0" borderId="1" xfId="43" applyFont="1" applyFill="1" applyBorder="1" applyAlignment="1">
      <alignment horizontal="center" vertical="center" wrapText="1"/>
    </xf>
    <xf numFmtId="0" fontId="43" fillId="0" borderId="0" xfId="43" applyFont="1" applyFill="1" applyAlignment="1">
      <alignment vertical="center"/>
    </xf>
    <xf numFmtId="0" fontId="43" fillId="0" borderId="26" xfId="43" applyFont="1" applyFill="1" applyBorder="1" applyAlignment="1">
      <alignment horizontal="center" vertical="center" wrapText="1"/>
    </xf>
    <xf numFmtId="0" fontId="43" fillId="0" borderId="27" xfId="43" applyFont="1" applyFill="1" applyBorder="1" applyAlignment="1">
      <alignment horizontal="center" vertical="center" wrapText="1"/>
    </xf>
    <xf numFmtId="0" fontId="43" fillId="0" borderId="29" xfId="43" applyFont="1" applyFill="1" applyBorder="1" applyAlignment="1">
      <alignment horizontal="center" vertical="center" wrapText="1"/>
    </xf>
    <xf numFmtId="3" fontId="43" fillId="0" borderId="41" xfId="43" applyNumberFormat="1" applyFont="1" applyFill="1" applyBorder="1" applyAlignment="1">
      <alignment horizontal="center" vertical="center"/>
    </xf>
    <xf numFmtId="0" fontId="43" fillId="0" borderId="42" xfId="43" applyFont="1" applyFill="1" applyBorder="1" applyAlignment="1">
      <alignment horizontal="center" vertical="center" wrapText="1"/>
    </xf>
    <xf numFmtId="0" fontId="43" fillId="0" borderId="28" xfId="43" applyFont="1" applyFill="1" applyBorder="1" applyAlignment="1">
      <alignment horizontal="center" vertical="center" wrapText="1"/>
    </xf>
    <xf numFmtId="0" fontId="43" fillId="0" borderId="43" xfId="43" applyFont="1" applyFill="1" applyBorder="1" applyAlignment="1">
      <alignment horizontal="center" vertical="center" wrapText="1"/>
    </xf>
    <xf numFmtId="3" fontId="43" fillId="0" borderId="44" xfId="43" applyNumberFormat="1" applyFont="1" applyFill="1" applyBorder="1" applyAlignment="1">
      <alignment horizontal="center" vertical="center"/>
    </xf>
    <xf numFmtId="3" fontId="53" fillId="0" borderId="4" xfId="43" applyNumberFormat="1" applyFont="1" applyFill="1" applyBorder="1" applyAlignment="1">
      <alignment horizontal="center" vertical="center"/>
    </xf>
    <xf numFmtId="3" fontId="53" fillId="0" borderId="6" xfId="43" applyNumberFormat="1" applyFont="1" applyFill="1" applyBorder="1" applyAlignment="1">
      <alignment horizontal="center" vertical="center"/>
    </xf>
    <xf numFmtId="3" fontId="53" fillId="0" borderId="13" xfId="43" applyNumberFormat="1" applyFont="1" applyFill="1" applyBorder="1" applyAlignment="1">
      <alignment horizontal="center" vertical="center"/>
    </xf>
    <xf numFmtId="3" fontId="53" fillId="0" borderId="24" xfId="43" applyNumberFormat="1" applyFont="1" applyFill="1" applyBorder="1" applyAlignment="1">
      <alignment horizontal="center" vertical="center"/>
    </xf>
    <xf numFmtId="3" fontId="53" fillId="0" borderId="25" xfId="43" applyNumberFormat="1" applyFont="1" applyFill="1" applyBorder="1" applyAlignment="1">
      <alignment horizontal="center" vertical="center"/>
    </xf>
    <xf numFmtId="0" fontId="53" fillId="0" borderId="0" xfId="43" applyFont="1" applyFill="1"/>
    <xf numFmtId="3" fontId="53" fillId="0" borderId="19" xfId="43" applyNumberFormat="1" applyFont="1" applyFill="1" applyBorder="1" applyAlignment="1">
      <alignment horizontal="center" vertical="center"/>
    </xf>
    <xf numFmtId="3" fontId="53" fillId="0" borderId="9" xfId="43" applyNumberFormat="1" applyFont="1" applyFill="1" applyBorder="1" applyAlignment="1">
      <alignment horizontal="center" vertical="center"/>
    </xf>
    <xf numFmtId="3" fontId="53" fillId="0" borderId="8" xfId="43" applyNumberFormat="1" applyFont="1" applyFill="1" applyBorder="1" applyAlignment="1">
      <alignment horizontal="center" vertical="center"/>
    </xf>
    <xf numFmtId="3" fontId="53" fillId="0" borderId="21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 wrapText="1"/>
    </xf>
    <xf numFmtId="0" fontId="13" fillId="0" borderId="23" xfId="6" applyFont="1" applyFill="1" applyBorder="1" applyAlignment="1">
      <alignment horizontal="left" vertical="center" wrapText="1"/>
    </xf>
    <xf numFmtId="0" fontId="53" fillId="0" borderId="23" xfId="14" applyFont="1" applyFill="1" applyBorder="1" applyAlignment="1">
      <alignment horizontal="left" vertical="center" wrapText="1"/>
    </xf>
    <xf numFmtId="3" fontId="53" fillId="0" borderId="1" xfId="43" applyNumberFormat="1" applyFont="1" applyFill="1" applyBorder="1" applyAlignment="1">
      <alignment horizontal="center" vertical="center"/>
    </xf>
    <xf numFmtId="3" fontId="53" fillId="0" borderId="7" xfId="43" applyNumberFormat="1" applyFont="1" applyFill="1" applyBorder="1" applyAlignment="1">
      <alignment horizontal="center" vertical="center"/>
    </xf>
    <xf numFmtId="3" fontId="53" fillId="0" borderId="23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/>
    </xf>
    <xf numFmtId="49" fontId="13" fillId="0" borderId="23" xfId="2" applyNumberFormat="1" applyFont="1" applyFill="1" applyBorder="1" applyAlignment="1">
      <alignment horizontal="left" vertical="center" wrapText="1"/>
    </xf>
    <xf numFmtId="3" fontId="13" fillId="0" borderId="40" xfId="6" applyNumberFormat="1" applyFont="1" applyFill="1" applyBorder="1" applyAlignment="1">
      <alignment horizontal="left" vertical="center" wrapText="1"/>
    </xf>
    <xf numFmtId="3" fontId="13" fillId="0" borderId="45" xfId="43" applyNumberFormat="1" applyFont="1" applyFill="1" applyBorder="1" applyAlignment="1">
      <alignment horizontal="center" vertical="center"/>
    </xf>
    <xf numFmtId="3" fontId="13" fillId="0" borderId="27" xfId="43" applyNumberFormat="1" applyFont="1" applyFill="1" applyBorder="1" applyAlignment="1">
      <alignment horizontal="center" vertical="center"/>
    </xf>
    <xf numFmtId="3" fontId="13" fillId="0" borderId="28" xfId="43" applyNumberFormat="1" applyFont="1" applyFill="1" applyBorder="1" applyAlignment="1">
      <alignment horizontal="center" vertical="center"/>
    </xf>
    <xf numFmtId="3" fontId="13" fillId="0" borderId="26" xfId="43" applyNumberFormat="1" applyFont="1" applyFill="1" applyBorder="1" applyAlignment="1">
      <alignment horizontal="center" vertical="center"/>
    </xf>
    <xf numFmtId="3" fontId="13" fillId="0" borderId="29" xfId="43" applyNumberFormat="1" applyFont="1" applyFill="1" applyBorder="1" applyAlignment="1">
      <alignment horizontal="center" vertical="center"/>
    </xf>
    <xf numFmtId="4" fontId="13" fillId="0" borderId="1" xfId="0" quotePrefix="1" applyNumberFormat="1" applyFont="1" applyFill="1" applyBorder="1" applyAlignment="1">
      <alignment horizontal="center" vertical="center"/>
    </xf>
    <xf numFmtId="4" fontId="13" fillId="0" borderId="23" xfId="0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quotePrefix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 wrapText="1"/>
    </xf>
    <xf numFmtId="3" fontId="2" fillId="0" borderId="53" xfId="0" applyNumberFormat="1" applyFont="1" applyFill="1" applyBorder="1" applyAlignment="1">
      <alignment horizontal="center" vertical="center" wrapText="1"/>
    </xf>
    <xf numFmtId="3" fontId="53" fillId="0" borderId="56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13" fillId="0" borderId="57" xfId="0" applyNumberFormat="1" applyFont="1" applyFill="1" applyBorder="1" applyAlignment="1">
      <alignment horizontal="center" vertical="center"/>
    </xf>
    <xf numFmtId="3" fontId="53" fillId="0" borderId="28" xfId="0" applyNumberFormat="1" applyFont="1" applyFill="1" applyBorder="1" applyAlignment="1">
      <alignment horizontal="center" vertical="center"/>
    </xf>
    <xf numFmtId="3" fontId="13" fillId="0" borderId="5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vertical="center" wrapText="1"/>
    </xf>
    <xf numFmtId="3" fontId="43" fillId="2" borderId="7" xfId="36" applyNumberFormat="1" applyFont="1" applyFill="1" applyBorder="1" applyAlignment="1">
      <alignment horizontal="center" vertical="center" wrapText="1"/>
    </xf>
    <xf numFmtId="3" fontId="73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3" fontId="7" fillId="0" borderId="1" xfId="9" applyNumberFormat="1" applyFont="1" applyFill="1" applyBorder="1" applyAlignment="1">
      <alignment horizontal="center" vertical="center" wrapText="1"/>
    </xf>
    <xf numFmtId="3" fontId="7" fillId="0" borderId="1" xfId="9" applyNumberFormat="1" applyFont="1" applyBorder="1" applyAlignment="1">
      <alignment horizontal="center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3" fillId="0" borderId="0" xfId="12" applyFont="1" applyFill="1" applyBorder="1" applyProtection="1"/>
    <xf numFmtId="0" fontId="23" fillId="0" borderId="0" xfId="12" applyFont="1" applyFill="1" applyBorder="1" applyAlignment="1" applyProtection="1">
      <alignment horizontal="right"/>
    </xf>
    <xf numFmtId="3" fontId="23" fillId="0" borderId="0" xfId="12" applyNumberFormat="1" applyFont="1" applyFill="1" applyBorder="1" applyProtection="1"/>
    <xf numFmtId="3" fontId="23" fillId="2" borderId="0" xfId="12" applyNumberFormat="1" applyFont="1" applyFill="1" applyBorder="1" applyProtection="1"/>
    <xf numFmtId="3" fontId="13" fillId="0" borderId="0" xfId="43" applyNumberFormat="1" applyFont="1" applyFill="1" applyAlignment="1">
      <alignment horizontal="center"/>
    </xf>
    <xf numFmtId="0" fontId="2" fillId="11" borderId="1" xfId="3" applyFont="1" applyFill="1" applyBorder="1" applyAlignment="1">
      <alignment horizontal="center" vertical="center"/>
    </xf>
    <xf numFmtId="49" fontId="2" fillId="11" borderId="1" xfId="2" applyNumberFormat="1" applyFont="1" applyFill="1" applyBorder="1" applyAlignment="1">
      <alignment horizontal="center" vertical="center" wrapText="1"/>
    </xf>
    <xf numFmtId="3" fontId="5" fillId="11" borderId="0" xfId="3" applyNumberFormat="1" applyFont="1" applyFill="1" applyBorder="1" applyAlignment="1">
      <alignment horizontal="right" vertical="center"/>
    </xf>
    <xf numFmtId="3" fontId="5" fillId="11" borderId="0" xfId="3" applyNumberFormat="1" applyFont="1" applyFill="1" applyAlignment="1">
      <alignment horizontal="right" vertical="center"/>
    </xf>
    <xf numFmtId="0" fontId="2" fillId="11" borderId="0" xfId="3" applyFont="1" applyFill="1" applyAlignment="1">
      <alignment horizontal="right" vertical="center"/>
    </xf>
    <xf numFmtId="49" fontId="2" fillId="11" borderId="1" xfId="2" applyNumberFormat="1" applyFont="1" applyFill="1" applyBorder="1" applyAlignment="1">
      <alignment horizontal="center" vertical="center"/>
    </xf>
    <xf numFmtId="0" fontId="2" fillId="11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3" fontId="39" fillId="0" borderId="23" xfId="43" applyNumberFormat="1" applyFont="1" applyFill="1" applyBorder="1" applyAlignment="1">
      <alignment horizontal="center" vertical="center"/>
    </xf>
    <xf numFmtId="3" fontId="39" fillId="0" borderId="9" xfId="43" applyNumberFormat="1" applyFont="1" applyFill="1" applyBorder="1" applyAlignment="1">
      <alignment horizontal="center" vertical="center"/>
    </xf>
    <xf numFmtId="3" fontId="13" fillId="0" borderId="0" xfId="43" applyNumberFormat="1" applyFont="1" applyFill="1"/>
    <xf numFmtId="0" fontId="53" fillId="2" borderId="5" xfId="36" applyFont="1" applyFill="1" applyBorder="1" applyAlignment="1">
      <alignment horizontal="center" vertical="center" wrapText="1"/>
    </xf>
    <xf numFmtId="0" fontId="53" fillId="2" borderId="2" xfId="36" applyFont="1" applyFill="1" applyBorder="1" applyAlignment="1">
      <alignment horizontal="center" vertical="center" wrapText="1"/>
    </xf>
    <xf numFmtId="0" fontId="53" fillId="2" borderId="6" xfId="36" applyFont="1" applyFill="1" applyBorder="1" applyAlignment="1">
      <alignment horizontal="center" vertical="center" wrapText="1"/>
    </xf>
    <xf numFmtId="0" fontId="53" fillId="2" borderId="7" xfId="36" applyFont="1" applyFill="1" applyBorder="1" applyAlignment="1">
      <alignment horizontal="left" vertical="center" wrapText="1"/>
    </xf>
    <xf numFmtId="0" fontId="53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75" fillId="2" borderId="5" xfId="36" applyNumberFormat="1" applyFont="1" applyFill="1" applyBorder="1" applyAlignment="1">
      <alignment horizontal="center" vertical="center" wrapText="1"/>
    </xf>
    <xf numFmtId="3" fontId="75" fillId="2" borderId="6" xfId="36" applyNumberFormat="1" applyFont="1" applyFill="1" applyBorder="1" applyAlignment="1">
      <alignment horizontal="center" vertical="center" wrapText="1"/>
    </xf>
    <xf numFmtId="0" fontId="53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3" fontId="39" fillId="0" borderId="5" xfId="46" applyNumberFormat="1" applyFont="1" applyFill="1" applyBorder="1" applyAlignment="1">
      <alignment horizontal="center" vertical="center" wrapText="1"/>
    </xf>
    <xf numFmtId="3" fontId="39" fillId="0" borderId="2" xfId="46" applyNumberFormat="1" applyFont="1" applyFill="1" applyBorder="1" applyAlignment="1">
      <alignment horizontal="center" vertical="center" wrapText="1"/>
    </xf>
    <xf numFmtId="3" fontId="39" fillId="0" borderId="6" xfId="46" applyNumberFormat="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14" fillId="0" borderId="0" xfId="35" applyFont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53" fillId="6" borderId="6" xfId="6" applyFont="1" applyFill="1" applyBorder="1" applyAlignment="1">
      <alignment horizontal="center" vertical="center"/>
    </xf>
    <xf numFmtId="0" fontId="53" fillId="6" borderId="13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3" fillId="0" borderId="0" xfId="43" applyFont="1" applyFill="1" applyBorder="1" applyAlignment="1">
      <alignment horizontal="center" vertical="center" wrapText="1"/>
    </xf>
    <xf numFmtId="0" fontId="43" fillId="0" borderId="32" xfId="43" applyFont="1" applyFill="1" applyBorder="1" applyAlignment="1">
      <alignment horizontal="center" vertical="center" wrapText="1"/>
    </xf>
    <xf numFmtId="0" fontId="43" fillId="0" borderId="31" xfId="43" applyFont="1" applyFill="1" applyBorder="1" applyAlignment="1">
      <alignment horizontal="center" vertical="center" wrapText="1"/>
    </xf>
    <xf numFmtId="0" fontId="43" fillId="0" borderId="24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43" fillId="0" borderId="33" xfId="43" applyFont="1" applyFill="1" applyBorder="1" applyAlignment="1">
      <alignment horizontal="center" vertical="center" wrapText="1"/>
    </xf>
    <xf numFmtId="0" fontId="43" fillId="0" borderId="37" xfId="43" applyFont="1" applyFill="1" applyBorder="1" applyAlignment="1">
      <alignment horizontal="center" vertical="center" wrapText="1"/>
    </xf>
    <xf numFmtId="0" fontId="43" fillId="0" borderId="25" xfId="43" applyFont="1" applyFill="1" applyBorder="1" applyAlignment="1">
      <alignment horizontal="center" vertical="center" wrapText="1"/>
    </xf>
    <xf numFmtId="0" fontId="43" fillId="0" borderId="34" xfId="43" applyFont="1" applyFill="1" applyBorder="1" applyAlignment="1">
      <alignment horizontal="center" vertical="center" wrapText="1"/>
    </xf>
    <xf numFmtId="0" fontId="43" fillId="0" borderId="35" xfId="43" applyFont="1" applyFill="1" applyBorder="1" applyAlignment="1">
      <alignment horizontal="center" vertical="center" wrapText="1"/>
    </xf>
    <xf numFmtId="0" fontId="43" fillId="0" borderId="36" xfId="43" applyFont="1" applyFill="1" applyBorder="1" applyAlignment="1">
      <alignment horizontal="center" vertical="center" wrapText="1"/>
    </xf>
    <xf numFmtId="0" fontId="43" fillId="0" borderId="38" xfId="43" applyFont="1" applyFill="1" applyBorder="1" applyAlignment="1">
      <alignment horizontal="center" vertical="center" wrapText="1"/>
    </xf>
    <xf numFmtId="0" fontId="43" fillId="0" borderId="4" xfId="43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39" xfId="43" applyFont="1" applyFill="1" applyBorder="1" applyAlignment="1">
      <alignment horizontal="center" vertical="center"/>
    </xf>
    <xf numFmtId="0" fontId="43" fillId="0" borderId="35" xfId="43" applyFont="1" applyFill="1" applyBorder="1" applyAlignment="1">
      <alignment horizontal="center" vertical="center"/>
    </xf>
    <xf numFmtId="0" fontId="43" fillId="0" borderId="36" xfId="43" applyFont="1" applyFill="1" applyBorder="1" applyAlignment="1">
      <alignment horizontal="center" vertical="center"/>
    </xf>
    <xf numFmtId="0" fontId="43" fillId="0" borderId="5" xfId="43" applyFont="1" applyFill="1" applyBorder="1" applyAlignment="1">
      <alignment horizontal="center" vertical="center" wrapText="1"/>
    </xf>
    <xf numFmtId="0" fontId="43" fillId="0" borderId="7" xfId="43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13" xfId="43" applyFont="1" applyFill="1" applyBorder="1" applyAlignment="1">
      <alignment horizontal="center" vertical="center" wrapText="1"/>
    </xf>
    <xf numFmtId="0" fontId="43" fillId="0" borderId="17" xfId="43" applyFont="1" applyFill="1" applyBorder="1" applyAlignment="1">
      <alignment horizontal="center" vertical="center" wrapText="1"/>
    </xf>
    <xf numFmtId="0" fontId="43" fillId="0" borderId="18" xfId="43" applyFont="1" applyFill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43" fillId="0" borderId="22" xfId="43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43" fillId="0" borderId="40" xfId="43" applyFont="1" applyFill="1" applyBorder="1" applyAlignment="1">
      <alignment horizontal="center" vertical="center" wrapText="1"/>
    </xf>
    <xf numFmtId="0" fontId="64" fillId="0" borderId="25" xfId="0" applyFont="1" applyFill="1" applyBorder="1" applyAlignment="1">
      <alignment horizontal="center" vertical="center" wrapText="1"/>
    </xf>
    <xf numFmtId="0" fontId="13" fillId="0" borderId="19" xfId="6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4" fontId="53" fillId="0" borderId="20" xfId="6" applyNumberFormat="1" applyFont="1" applyFill="1" applyBorder="1" applyAlignment="1">
      <alignment horizontal="center" vertical="center" wrapText="1"/>
    </xf>
    <xf numFmtId="4" fontId="53" fillId="0" borderId="8" xfId="6" applyNumberFormat="1" applyFont="1" applyFill="1" applyBorder="1" applyAlignment="1">
      <alignment horizontal="center" vertical="center" wrapText="1"/>
    </xf>
    <xf numFmtId="4" fontId="53" fillId="0" borderId="21" xfId="6" applyNumberFormat="1" applyFont="1" applyFill="1" applyBorder="1" applyAlignment="1">
      <alignment horizontal="center" vertical="center" wrapText="1"/>
    </xf>
    <xf numFmtId="0" fontId="53" fillId="0" borderId="24" xfId="6" applyFont="1" applyFill="1" applyBorder="1" applyAlignment="1">
      <alignment horizontal="center" vertical="center"/>
    </xf>
    <xf numFmtId="0" fontId="53" fillId="0" borderId="6" xfId="6" applyFont="1" applyFill="1" applyBorder="1" applyAlignment="1">
      <alignment horizontal="center" vertical="center"/>
    </xf>
    <xf numFmtId="0" fontId="53" fillId="0" borderId="25" xfId="6" applyFont="1" applyFill="1" applyBorder="1" applyAlignment="1">
      <alignment horizontal="center" vertical="center"/>
    </xf>
    <xf numFmtId="0" fontId="43" fillId="0" borderId="10" xfId="43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53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2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5" xfId="0" applyNumberFormat="1" applyFont="1" applyFill="1" applyBorder="1" applyAlignment="1">
      <alignment horizontal="center" vertical="center" wrapText="1"/>
    </xf>
    <xf numFmtId="3" fontId="62" fillId="2" borderId="6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53" fillId="0" borderId="7" xfId="0" applyFont="1" applyBorder="1" applyAlignment="1">
      <alignment vertical="center" wrapText="1"/>
    </xf>
    <xf numFmtId="0" fontId="64" fillId="0" borderId="8" xfId="0" applyFont="1" applyBorder="1" applyAlignment="1">
      <alignment vertical="center" wrapText="1"/>
    </xf>
    <xf numFmtId="0" fontId="64" fillId="0" borderId="9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3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3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3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3" fontId="2" fillId="0" borderId="54" xfId="0" applyNumberFormat="1" applyFont="1" applyFill="1" applyBorder="1" applyAlignment="1">
      <alignment horizontal="center" vertical="center" wrapText="1"/>
    </xf>
    <xf numFmtId="3" fontId="2" fillId="0" borderId="55" xfId="0" applyNumberFormat="1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4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0" xfId="44" applyNumberFormat="1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left" vertical="center"/>
    </xf>
    <xf numFmtId="0" fontId="53" fillId="0" borderId="30" xfId="0" applyFont="1" applyFill="1" applyBorder="1" applyAlignment="1">
      <alignment horizontal="left" vertical="center"/>
    </xf>
    <xf numFmtId="0" fontId="53" fillId="0" borderId="46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8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1" xfId="45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3 2" xfId="47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3 2" xfId="46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</sheetNames>
    <sheetDataSet>
      <sheetData sheetId="0"/>
      <sheetData sheetId="1"/>
      <sheetData sheetId="2"/>
      <sheetData sheetId="3">
        <row r="9">
          <cell r="S9">
            <v>1428</v>
          </cell>
        </row>
        <row r="11">
          <cell r="F11">
            <v>0</v>
          </cell>
          <cell r="G11">
            <v>0</v>
          </cell>
          <cell r="M11">
            <v>1025</v>
          </cell>
          <cell r="N11">
            <v>439</v>
          </cell>
        </row>
        <row r="12">
          <cell r="F12">
            <v>0</v>
          </cell>
          <cell r="G12">
            <v>0</v>
          </cell>
          <cell r="M12">
            <v>1025</v>
          </cell>
          <cell r="N12">
            <v>439</v>
          </cell>
        </row>
        <row r="13">
          <cell r="F13">
            <v>0</v>
          </cell>
          <cell r="G13">
            <v>0</v>
          </cell>
          <cell r="M13">
            <v>1025</v>
          </cell>
          <cell r="N13">
            <v>439</v>
          </cell>
        </row>
        <row r="14">
          <cell r="F14">
            <v>0</v>
          </cell>
          <cell r="G14">
            <v>0</v>
          </cell>
          <cell r="M14">
            <v>0</v>
          </cell>
          <cell r="N14">
            <v>0</v>
          </cell>
        </row>
        <row r="15">
          <cell r="F15">
            <v>0</v>
          </cell>
          <cell r="G15">
            <v>0</v>
          </cell>
          <cell r="M15">
            <v>0</v>
          </cell>
          <cell r="N15">
            <v>0</v>
          </cell>
        </row>
        <row r="16">
          <cell r="F16">
            <v>0</v>
          </cell>
          <cell r="G16">
            <v>0</v>
          </cell>
          <cell r="M16">
            <v>2050</v>
          </cell>
          <cell r="N16">
            <v>878</v>
          </cell>
        </row>
        <row r="17">
          <cell r="F17">
            <v>0</v>
          </cell>
          <cell r="G17">
            <v>0</v>
          </cell>
          <cell r="M17">
            <v>1025</v>
          </cell>
          <cell r="N17">
            <v>439</v>
          </cell>
        </row>
        <row r="18">
          <cell r="F18">
            <v>0</v>
          </cell>
          <cell r="G18">
            <v>0</v>
          </cell>
          <cell r="M18">
            <v>0</v>
          </cell>
          <cell r="N18">
            <v>0</v>
          </cell>
        </row>
        <row r="19">
          <cell r="F19">
            <v>0</v>
          </cell>
          <cell r="G19">
            <v>0</v>
          </cell>
          <cell r="M19">
            <v>1025</v>
          </cell>
          <cell r="N19">
            <v>439</v>
          </cell>
        </row>
        <row r="20">
          <cell r="F20">
            <v>0</v>
          </cell>
          <cell r="G20">
            <v>0</v>
          </cell>
          <cell r="M20">
            <v>0</v>
          </cell>
          <cell r="N20">
            <v>0</v>
          </cell>
        </row>
        <row r="21">
          <cell r="F21">
            <v>0</v>
          </cell>
          <cell r="G21">
            <v>0</v>
          </cell>
          <cell r="M21">
            <v>0</v>
          </cell>
          <cell r="N21">
            <v>0</v>
          </cell>
        </row>
        <row r="22">
          <cell r="F22">
            <v>0</v>
          </cell>
          <cell r="G22">
            <v>0</v>
          </cell>
          <cell r="M22">
            <v>1025</v>
          </cell>
          <cell r="N22">
            <v>439</v>
          </cell>
        </row>
        <row r="23">
          <cell r="F23">
            <v>0</v>
          </cell>
          <cell r="G23">
            <v>0</v>
          </cell>
          <cell r="M23">
            <v>0</v>
          </cell>
          <cell r="N23">
            <v>0</v>
          </cell>
        </row>
        <row r="24">
          <cell r="F24">
            <v>0</v>
          </cell>
          <cell r="G24">
            <v>0</v>
          </cell>
          <cell r="M24">
            <v>0</v>
          </cell>
          <cell r="N24">
            <v>0</v>
          </cell>
        </row>
        <row r="25">
          <cell r="F25">
            <v>0</v>
          </cell>
          <cell r="G25">
            <v>0</v>
          </cell>
          <cell r="M25">
            <v>1025</v>
          </cell>
          <cell r="N25">
            <v>439</v>
          </cell>
        </row>
        <row r="26">
          <cell r="F26">
            <v>0</v>
          </cell>
          <cell r="G26">
            <v>0</v>
          </cell>
          <cell r="M26">
            <v>0</v>
          </cell>
          <cell r="N26">
            <v>0</v>
          </cell>
        </row>
        <row r="27">
          <cell r="F27">
            <v>0</v>
          </cell>
          <cell r="G27">
            <v>0</v>
          </cell>
          <cell r="M27">
            <v>1025</v>
          </cell>
          <cell r="N27">
            <v>439</v>
          </cell>
        </row>
        <row r="28">
          <cell r="F28">
            <v>0</v>
          </cell>
          <cell r="G28">
            <v>0</v>
          </cell>
          <cell r="M28">
            <v>0</v>
          </cell>
          <cell r="N28">
            <v>0</v>
          </cell>
        </row>
        <row r="29">
          <cell r="F29">
            <v>0</v>
          </cell>
          <cell r="G29">
            <v>0</v>
          </cell>
          <cell r="M29">
            <v>0</v>
          </cell>
          <cell r="N29">
            <v>0</v>
          </cell>
        </row>
        <row r="30">
          <cell r="F30">
            <v>0</v>
          </cell>
          <cell r="G30">
            <v>0</v>
          </cell>
          <cell r="M30">
            <v>1025</v>
          </cell>
          <cell r="N30">
            <v>439</v>
          </cell>
        </row>
        <row r="31">
          <cell r="F31">
            <v>0</v>
          </cell>
          <cell r="G31">
            <v>0</v>
          </cell>
          <cell r="M31">
            <v>1025</v>
          </cell>
          <cell r="N31">
            <v>439</v>
          </cell>
        </row>
        <row r="32">
          <cell r="F32">
            <v>0</v>
          </cell>
          <cell r="G32">
            <v>0</v>
          </cell>
          <cell r="M32">
            <v>0</v>
          </cell>
          <cell r="N32">
            <v>0</v>
          </cell>
        </row>
        <row r="33">
          <cell r="F33">
            <v>0</v>
          </cell>
          <cell r="G33">
            <v>0</v>
          </cell>
          <cell r="M33">
            <v>0</v>
          </cell>
          <cell r="N33">
            <v>0</v>
          </cell>
        </row>
        <row r="34">
          <cell r="F34">
            <v>0</v>
          </cell>
          <cell r="G34">
            <v>0</v>
          </cell>
          <cell r="M34">
            <v>0</v>
          </cell>
          <cell r="N34">
            <v>0</v>
          </cell>
        </row>
        <row r="35">
          <cell r="F35">
            <v>0</v>
          </cell>
          <cell r="G35">
            <v>0</v>
          </cell>
          <cell r="M35">
            <v>2050</v>
          </cell>
          <cell r="N35">
            <v>878</v>
          </cell>
          <cell r="S35">
            <v>6772</v>
          </cell>
        </row>
        <row r="36">
          <cell r="F36">
            <v>0</v>
          </cell>
          <cell r="G36">
            <v>0</v>
          </cell>
          <cell r="M36">
            <v>0</v>
          </cell>
          <cell r="N36">
            <v>0</v>
          </cell>
        </row>
        <row r="37">
          <cell r="F37">
            <v>0</v>
          </cell>
          <cell r="G37">
            <v>0</v>
          </cell>
          <cell r="M37">
            <v>0</v>
          </cell>
          <cell r="N37">
            <v>0</v>
          </cell>
        </row>
        <row r="38">
          <cell r="F38">
            <v>0</v>
          </cell>
          <cell r="G38">
            <v>0</v>
          </cell>
          <cell r="M38">
            <v>1025</v>
          </cell>
          <cell r="N38">
            <v>439</v>
          </cell>
        </row>
        <row r="39">
          <cell r="F39">
            <v>0</v>
          </cell>
          <cell r="G39">
            <v>0</v>
          </cell>
          <cell r="M39">
            <v>1025</v>
          </cell>
          <cell r="N39">
            <v>439</v>
          </cell>
        </row>
        <row r="40">
          <cell r="F40">
            <v>0</v>
          </cell>
          <cell r="G40">
            <v>0</v>
          </cell>
          <cell r="M40">
            <v>0</v>
          </cell>
          <cell r="N40">
            <v>0</v>
          </cell>
        </row>
        <row r="41">
          <cell r="F41">
            <v>0</v>
          </cell>
          <cell r="G41">
            <v>0</v>
          </cell>
          <cell r="M41">
            <v>1025</v>
          </cell>
          <cell r="N41">
            <v>439</v>
          </cell>
        </row>
        <row r="42">
          <cell r="F42">
            <v>0</v>
          </cell>
          <cell r="G42">
            <v>0</v>
          </cell>
          <cell r="M42">
            <v>0</v>
          </cell>
          <cell r="N42">
            <v>0</v>
          </cell>
        </row>
        <row r="43">
          <cell r="F43">
            <v>0</v>
          </cell>
          <cell r="G43">
            <v>0</v>
          </cell>
          <cell r="M43">
            <v>1025</v>
          </cell>
          <cell r="N43">
            <v>439</v>
          </cell>
        </row>
        <row r="44">
          <cell r="F44">
            <v>0</v>
          </cell>
          <cell r="G44">
            <v>0</v>
          </cell>
          <cell r="M44">
            <v>0</v>
          </cell>
          <cell r="N44">
            <v>0</v>
          </cell>
        </row>
        <row r="45">
          <cell r="F45">
            <v>0</v>
          </cell>
          <cell r="G45">
            <v>0</v>
          </cell>
          <cell r="M45">
            <v>0</v>
          </cell>
          <cell r="N45">
            <v>0</v>
          </cell>
        </row>
        <row r="46">
          <cell r="F46">
            <v>0</v>
          </cell>
          <cell r="G46">
            <v>0</v>
          </cell>
          <cell r="M46">
            <v>1025</v>
          </cell>
          <cell r="N46">
            <v>439</v>
          </cell>
        </row>
        <row r="47">
          <cell r="F47">
            <v>0</v>
          </cell>
          <cell r="G47">
            <v>0</v>
          </cell>
          <cell r="M47">
            <v>0</v>
          </cell>
          <cell r="N47">
            <v>0</v>
          </cell>
        </row>
        <row r="48">
          <cell r="F48">
            <v>0</v>
          </cell>
          <cell r="G48">
            <v>0</v>
          </cell>
          <cell r="M48">
            <v>0</v>
          </cell>
          <cell r="N48">
            <v>0</v>
          </cell>
        </row>
        <row r="49">
          <cell r="F49">
            <v>0</v>
          </cell>
          <cell r="G49">
            <v>0</v>
          </cell>
          <cell r="M49">
            <v>2050</v>
          </cell>
          <cell r="N49">
            <v>878</v>
          </cell>
        </row>
        <row r="50">
          <cell r="F50">
            <v>0</v>
          </cell>
          <cell r="G50">
            <v>0</v>
          </cell>
          <cell r="M50">
            <v>0</v>
          </cell>
          <cell r="N50">
            <v>0</v>
          </cell>
        </row>
        <row r="51">
          <cell r="F51">
            <v>0</v>
          </cell>
          <cell r="G51">
            <v>0</v>
          </cell>
          <cell r="M51">
            <v>1025</v>
          </cell>
          <cell r="N51">
            <v>439</v>
          </cell>
        </row>
        <row r="52">
          <cell r="F52">
            <v>0</v>
          </cell>
          <cell r="G52">
            <v>0</v>
          </cell>
          <cell r="M52">
            <v>0</v>
          </cell>
          <cell r="N52">
            <v>0</v>
          </cell>
        </row>
        <row r="53">
          <cell r="F53">
            <v>0</v>
          </cell>
          <cell r="G53">
            <v>0</v>
          </cell>
          <cell r="M53">
            <v>1025</v>
          </cell>
          <cell r="N53">
            <v>439</v>
          </cell>
        </row>
        <row r="54">
          <cell r="F54">
            <v>0</v>
          </cell>
          <cell r="G54">
            <v>0</v>
          </cell>
          <cell r="M54">
            <v>1025</v>
          </cell>
          <cell r="N54">
            <v>439</v>
          </cell>
        </row>
        <row r="55">
          <cell r="F55">
            <v>0</v>
          </cell>
          <cell r="G55">
            <v>0</v>
          </cell>
          <cell r="M55">
            <v>1025</v>
          </cell>
          <cell r="N55">
            <v>439</v>
          </cell>
        </row>
        <row r="56">
          <cell r="F56">
            <v>0</v>
          </cell>
          <cell r="G56">
            <v>0</v>
          </cell>
          <cell r="M56">
            <v>0</v>
          </cell>
          <cell r="N56">
            <v>0</v>
          </cell>
        </row>
        <row r="57">
          <cell r="F57">
            <v>0</v>
          </cell>
          <cell r="G57">
            <v>0</v>
          </cell>
          <cell r="M57">
            <v>1025</v>
          </cell>
          <cell r="N57">
            <v>439</v>
          </cell>
        </row>
        <row r="58">
          <cell r="F58">
            <v>0</v>
          </cell>
          <cell r="G58">
            <v>0</v>
          </cell>
          <cell r="M58">
            <v>0</v>
          </cell>
          <cell r="N58">
            <v>0</v>
          </cell>
        </row>
        <row r="59">
          <cell r="F59">
            <v>0</v>
          </cell>
          <cell r="G59">
            <v>0</v>
          </cell>
          <cell r="M59">
            <v>1025</v>
          </cell>
          <cell r="N59">
            <v>439</v>
          </cell>
        </row>
        <row r="60">
          <cell r="F60">
            <v>0</v>
          </cell>
          <cell r="G60">
            <v>0</v>
          </cell>
          <cell r="M60">
            <v>0</v>
          </cell>
          <cell r="N60">
            <v>0</v>
          </cell>
        </row>
        <row r="61">
          <cell r="F61">
            <v>0</v>
          </cell>
          <cell r="G61">
            <v>0</v>
          </cell>
          <cell r="M61">
            <v>1025</v>
          </cell>
          <cell r="N61">
            <v>439</v>
          </cell>
        </row>
        <row r="62">
          <cell r="F62">
            <v>0</v>
          </cell>
          <cell r="G62">
            <v>0</v>
          </cell>
          <cell r="M62">
            <v>0</v>
          </cell>
          <cell r="N62">
            <v>0</v>
          </cell>
        </row>
        <row r="63">
          <cell r="F63">
            <v>0</v>
          </cell>
          <cell r="G63">
            <v>0</v>
          </cell>
          <cell r="M63">
            <v>0</v>
          </cell>
          <cell r="N63">
            <v>0</v>
          </cell>
        </row>
        <row r="64">
          <cell r="F64">
            <v>0</v>
          </cell>
          <cell r="G64">
            <v>0</v>
          </cell>
          <cell r="M64">
            <v>0</v>
          </cell>
          <cell r="N64">
            <v>0</v>
          </cell>
        </row>
        <row r="65">
          <cell r="F65">
            <v>0</v>
          </cell>
          <cell r="G65">
            <v>0</v>
          </cell>
          <cell r="M65">
            <v>0</v>
          </cell>
          <cell r="N65">
            <v>0</v>
          </cell>
        </row>
        <row r="66">
          <cell r="F66">
            <v>0</v>
          </cell>
          <cell r="G66">
            <v>0</v>
          </cell>
          <cell r="M66">
            <v>0</v>
          </cell>
          <cell r="N66">
            <v>0</v>
          </cell>
        </row>
        <row r="67">
          <cell r="F67">
            <v>0</v>
          </cell>
          <cell r="G67">
            <v>0</v>
          </cell>
          <cell r="M67">
            <v>0</v>
          </cell>
          <cell r="N67">
            <v>0</v>
          </cell>
        </row>
        <row r="68">
          <cell r="F68">
            <v>0</v>
          </cell>
          <cell r="G68">
            <v>0</v>
          </cell>
          <cell r="M68">
            <v>0</v>
          </cell>
          <cell r="N68">
            <v>0</v>
          </cell>
        </row>
        <row r="69">
          <cell r="F69">
            <v>0</v>
          </cell>
          <cell r="G69">
            <v>0</v>
          </cell>
          <cell r="M69">
            <v>0</v>
          </cell>
          <cell r="N69">
            <v>0</v>
          </cell>
        </row>
        <row r="70">
          <cell r="F70">
            <v>0</v>
          </cell>
          <cell r="G70">
            <v>0</v>
          </cell>
          <cell r="M70">
            <v>0</v>
          </cell>
          <cell r="N70">
            <v>0</v>
          </cell>
        </row>
        <row r="71">
          <cell r="F71">
            <v>0</v>
          </cell>
          <cell r="G71">
            <v>0</v>
          </cell>
          <cell r="M71">
            <v>0</v>
          </cell>
          <cell r="N71">
            <v>0</v>
          </cell>
        </row>
        <row r="72">
          <cell r="F72">
            <v>0</v>
          </cell>
          <cell r="G72">
            <v>0</v>
          </cell>
          <cell r="M72">
            <v>1025</v>
          </cell>
          <cell r="N72">
            <v>439</v>
          </cell>
        </row>
        <row r="73">
          <cell r="F73">
            <v>0</v>
          </cell>
          <cell r="G73">
            <v>0</v>
          </cell>
          <cell r="M73">
            <v>1025</v>
          </cell>
          <cell r="N73">
            <v>439</v>
          </cell>
        </row>
        <row r="74">
          <cell r="F74">
            <v>1200</v>
          </cell>
          <cell r="G74">
            <v>0</v>
          </cell>
          <cell r="M74">
            <v>1025</v>
          </cell>
          <cell r="N74">
            <v>439</v>
          </cell>
        </row>
        <row r="75">
          <cell r="F75">
            <v>0</v>
          </cell>
          <cell r="G75">
            <v>0</v>
          </cell>
          <cell r="M75">
            <v>0</v>
          </cell>
          <cell r="N75">
            <v>0</v>
          </cell>
        </row>
        <row r="76">
          <cell r="F76">
            <v>0</v>
          </cell>
          <cell r="G76">
            <v>0</v>
          </cell>
          <cell r="M76">
            <v>0</v>
          </cell>
          <cell r="N76">
            <v>0</v>
          </cell>
        </row>
        <row r="77">
          <cell r="F77">
            <v>0</v>
          </cell>
          <cell r="G77">
            <v>0</v>
          </cell>
          <cell r="M77">
            <v>0</v>
          </cell>
          <cell r="N77">
            <v>0</v>
          </cell>
        </row>
        <row r="78">
          <cell r="F78">
            <v>0</v>
          </cell>
          <cell r="G78">
            <v>0</v>
          </cell>
          <cell r="M78">
            <v>0</v>
          </cell>
          <cell r="N78">
            <v>0</v>
          </cell>
        </row>
        <row r="79">
          <cell r="F79">
            <v>0</v>
          </cell>
          <cell r="G79">
            <v>0</v>
          </cell>
          <cell r="M79">
            <v>0</v>
          </cell>
          <cell r="N79">
            <v>0</v>
          </cell>
        </row>
        <row r="80">
          <cell r="F80">
            <v>0</v>
          </cell>
          <cell r="G80">
            <v>0</v>
          </cell>
          <cell r="M80">
            <v>0</v>
          </cell>
          <cell r="N80">
            <v>0</v>
          </cell>
        </row>
        <row r="81">
          <cell r="F81">
            <v>0</v>
          </cell>
          <cell r="G81">
            <v>0</v>
          </cell>
          <cell r="M81">
            <v>0</v>
          </cell>
          <cell r="N81">
            <v>0</v>
          </cell>
        </row>
        <row r="82">
          <cell r="F82">
            <v>0</v>
          </cell>
          <cell r="G82">
            <v>0</v>
          </cell>
          <cell r="M82">
            <v>1025</v>
          </cell>
          <cell r="N82">
            <v>439</v>
          </cell>
        </row>
        <row r="83">
          <cell r="F83">
            <v>0</v>
          </cell>
          <cell r="G83">
            <v>0</v>
          </cell>
          <cell r="M83">
            <v>3075</v>
          </cell>
          <cell r="N83">
            <v>1317</v>
          </cell>
        </row>
        <row r="84">
          <cell r="F84">
            <v>0</v>
          </cell>
          <cell r="G84">
            <v>0</v>
          </cell>
          <cell r="M84">
            <v>1025</v>
          </cell>
          <cell r="N84">
            <v>439</v>
          </cell>
        </row>
        <row r="85">
          <cell r="F85">
            <v>0</v>
          </cell>
          <cell r="G85">
            <v>0</v>
          </cell>
          <cell r="M85">
            <v>1025</v>
          </cell>
          <cell r="N85">
            <v>439</v>
          </cell>
        </row>
        <row r="86">
          <cell r="F86">
            <v>0</v>
          </cell>
          <cell r="G86">
            <v>0</v>
          </cell>
          <cell r="M86">
            <v>2050</v>
          </cell>
          <cell r="N86">
            <v>878</v>
          </cell>
          <cell r="S86">
            <v>4392</v>
          </cell>
        </row>
        <row r="87">
          <cell r="F87">
            <v>0</v>
          </cell>
          <cell r="G87">
            <v>0</v>
          </cell>
          <cell r="M87">
            <v>0</v>
          </cell>
          <cell r="N87">
            <v>0</v>
          </cell>
        </row>
        <row r="88">
          <cell r="F88">
            <v>0</v>
          </cell>
          <cell r="G88">
            <v>0</v>
          </cell>
          <cell r="M88">
            <v>1025</v>
          </cell>
          <cell r="N88">
            <v>439</v>
          </cell>
        </row>
        <row r="89">
          <cell r="F89">
            <v>0</v>
          </cell>
          <cell r="G89">
            <v>27321</v>
          </cell>
          <cell r="M89">
            <v>0</v>
          </cell>
          <cell r="N89">
            <v>0</v>
          </cell>
        </row>
        <row r="90">
          <cell r="F90">
            <v>0</v>
          </cell>
          <cell r="G90">
            <v>0</v>
          </cell>
          <cell r="M90">
            <v>0</v>
          </cell>
          <cell r="N90">
            <v>0</v>
          </cell>
        </row>
        <row r="91">
          <cell r="F91">
            <v>5490</v>
          </cell>
          <cell r="G91">
            <v>0</v>
          </cell>
          <cell r="M91">
            <v>0</v>
          </cell>
          <cell r="N91">
            <v>0</v>
          </cell>
        </row>
        <row r="92">
          <cell r="F92">
            <v>0</v>
          </cell>
          <cell r="G92">
            <v>0</v>
          </cell>
          <cell r="M92">
            <v>0</v>
          </cell>
          <cell r="N92">
            <v>0</v>
          </cell>
        </row>
        <row r="93">
          <cell r="F93">
            <v>5490</v>
          </cell>
          <cell r="G93">
            <v>0</v>
          </cell>
          <cell r="M93">
            <v>0</v>
          </cell>
          <cell r="N93">
            <v>0</v>
          </cell>
        </row>
        <row r="94">
          <cell r="F94">
            <v>0</v>
          </cell>
          <cell r="G94">
            <v>0</v>
          </cell>
          <cell r="M94">
            <v>0</v>
          </cell>
          <cell r="N94">
            <v>0</v>
          </cell>
        </row>
        <row r="95">
          <cell r="F95">
            <v>1000</v>
          </cell>
          <cell r="G95">
            <v>9547</v>
          </cell>
          <cell r="M95">
            <v>0</v>
          </cell>
          <cell r="N95">
            <v>0</v>
          </cell>
        </row>
        <row r="96">
          <cell r="F96">
            <v>0</v>
          </cell>
          <cell r="G96">
            <v>0</v>
          </cell>
          <cell r="M96">
            <v>0</v>
          </cell>
          <cell r="N96">
            <v>0</v>
          </cell>
        </row>
        <row r="97">
          <cell r="F97">
            <v>0</v>
          </cell>
          <cell r="G97">
            <v>0</v>
          </cell>
          <cell r="M97">
            <v>1025</v>
          </cell>
          <cell r="N97">
            <v>439</v>
          </cell>
        </row>
        <row r="98">
          <cell r="F98">
            <v>0</v>
          </cell>
          <cell r="G98">
            <v>0</v>
          </cell>
          <cell r="M98">
            <v>0</v>
          </cell>
          <cell r="N98">
            <v>0</v>
          </cell>
        </row>
        <row r="99">
          <cell r="F99">
            <v>0</v>
          </cell>
          <cell r="G99">
            <v>0</v>
          </cell>
          <cell r="M99">
            <v>0</v>
          </cell>
          <cell r="N99">
            <v>0</v>
          </cell>
        </row>
        <row r="100">
          <cell r="F100">
            <v>0</v>
          </cell>
          <cell r="G100">
            <v>0</v>
          </cell>
          <cell r="M100">
            <v>0</v>
          </cell>
          <cell r="N100">
            <v>0</v>
          </cell>
        </row>
        <row r="101">
          <cell r="F101">
            <v>0</v>
          </cell>
          <cell r="G101">
            <v>0</v>
          </cell>
          <cell r="M101">
            <v>1025</v>
          </cell>
          <cell r="N101">
            <v>439</v>
          </cell>
        </row>
        <row r="102">
          <cell r="F102">
            <v>0</v>
          </cell>
          <cell r="G102">
            <v>0</v>
          </cell>
          <cell r="M102">
            <v>0</v>
          </cell>
          <cell r="N102">
            <v>0</v>
          </cell>
        </row>
        <row r="103">
          <cell r="F103">
            <v>0</v>
          </cell>
          <cell r="G103">
            <v>0</v>
          </cell>
          <cell r="M103">
            <v>1025</v>
          </cell>
          <cell r="N103">
            <v>439</v>
          </cell>
        </row>
        <row r="104">
          <cell r="F104">
            <v>0</v>
          </cell>
          <cell r="G104">
            <v>0</v>
          </cell>
          <cell r="M104">
            <v>0</v>
          </cell>
          <cell r="N104">
            <v>0</v>
          </cell>
        </row>
        <row r="105">
          <cell r="F105">
            <v>0</v>
          </cell>
          <cell r="G105">
            <v>0</v>
          </cell>
          <cell r="M105">
            <v>0</v>
          </cell>
          <cell r="N105">
            <v>0</v>
          </cell>
        </row>
        <row r="106">
          <cell r="F106">
            <v>0</v>
          </cell>
          <cell r="G106">
            <v>0</v>
          </cell>
          <cell r="M106">
            <v>0</v>
          </cell>
          <cell r="N106">
            <v>0</v>
          </cell>
        </row>
        <row r="107">
          <cell r="F107">
            <v>0</v>
          </cell>
          <cell r="G107">
            <v>0</v>
          </cell>
          <cell r="M107">
            <v>1025</v>
          </cell>
          <cell r="N107">
            <v>439</v>
          </cell>
        </row>
        <row r="108">
          <cell r="F108">
            <v>0</v>
          </cell>
          <cell r="G108">
            <v>0</v>
          </cell>
          <cell r="M108">
            <v>0</v>
          </cell>
          <cell r="N108">
            <v>0</v>
          </cell>
        </row>
        <row r="109">
          <cell r="F109">
            <v>0</v>
          </cell>
          <cell r="G109">
            <v>0</v>
          </cell>
          <cell r="M109">
            <v>0</v>
          </cell>
          <cell r="N109">
            <v>0</v>
          </cell>
        </row>
        <row r="110">
          <cell r="F110">
            <v>0</v>
          </cell>
          <cell r="G110">
            <v>8388</v>
          </cell>
          <cell r="M110">
            <v>0</v>
          </cell>
          <cell r="N110">
            <v>0</v>
          </cell>
        </row>
        <row r="111">
          <cell r="F111">
            <v>0</v>
          </cell>
          <cell r="G111">
            <v>0</v>
          </cell>
          <cell r="M111">
            <v>0</v>
          </cell>
          <cell r="N111">
            <v>0</v>
          </cell>
        </row>
        <row r="112">
          <cell r="F112">
            <v>0</v>
          </cell>
          <cell r="G112">
            <v>0</v>
          </cell>
          <cell r="M112">
            <v>0</v>
          </cell>
          <cell r="N112">
            <v>0</v>
          </cell>
        </row>
        <row r="113">
          <cell r="F113">
            <v>0</v>
          </cell>
          <cell r="G113">
            <v>0</v>
          </cell>
          <cell r="M113">
            <v>0</v>
          </cell>
          <cell r="N113">
            <v>0</v>
          </cell>
        </row>
        <row r="114">
          <cell r="F114">
            <v>0</v>
          </cell>
          <cell r="G114">
            <v>0</v>
          </cell>
          <cell r="M114">
            <v>0</v>
          </cell>
          <cell r="N114">
            <v>0</v>
          </cell>
        </row>
        <row r="115">
          <cell r="F115">
            <v>0</v>
          </cell>
          <cell r="G115">
            <v>0</v>
          </cell>
          <cell r="M115">
            <v>0</v>
          </cell>
          <cell r="N115">
            <v>0</v>
          </cell>
        </row>
        <row r="116">
          <cell r="F116">
            <v>0</v>
          </cell>
          <cell r="G116">
            <v>35460</v>
          </cell>
          <cell r="M116">
            <v>0</v>
          </cell>
          <cell r="N116">
            <v>0</v>
          </cell>
        </row>
        <row r="117">
          <cell r="F117">
            <v>0</v>
          </cell>
          <cell r="G117">
            <v>0</v>
          </cell>
          <cell r="M117">
            <v>0</v>
          </cell>
          <cell r="N117">
            <v>0</v>
          </cell>
        </row>
        <row r="118">
          <cell r="F118">
            <v>0</v>
          </cell>
          <cell r="G118">
            <v>0</v>
          </cell>
          <cell r="M118">
            <v>0</v>
          </cell>
          <cell r="N118">
            <v>0</v>
          </cell>
        </row>
        <row r="119">
          <cell r="F119">
            <v>0</v>
          </cell>
          <cell r="G119">
            <v>0</v>
          </cell>
          <cell r="M119">
            <v>0</v>
          </cell>
          <cell r="N119">
            <v>0</v>
          </cell>
        </row>
        <row r="120">
          <cell r="F120">
            <v>0</v>
          </cell>
          <cell r="G120">
            <v>0</v>
          </cell>
          <cell r="M120">
            <v>0</v>
          </cell>
          <cell r="N120">
            <v>0</v>
          </cell>
        </row>
        <row r="121">
          <cell r="F121">
            <v>0</v>
          </cell>
          <cell r="G121">
            <v>0</v>
          </cell>
          <cell r="M121">
            <v>0</v>
          </cell>
          <cell r="N121">
            <v>0</v>
          </cell>
        </row>
        <row r="122">
          <cell r="F122">
            <v>0</v>
          </cell>
          <cell r="G122">
            <v>0</v>
          </cell>
          <cell r="M122">
            <v>0</v>
          </cell>
          <cell r="N122">
            <v>0</v>
          </cell>
        </row>
        <row r="123">
          <cell r="F123">
            <v>0</v>
          </cell>
          <cell r="G123">
            <v>0</v>
          </cell>
          <cell r="M123">
            <v>0</v>
          </cell>
          <cell r="N123">
            <v>0</v>
          </cell>
        </row>
        <row r="124">
          <cell r="F124">
            <v>0</v>
          </cell>
          <cell r="G124">
            <v>0</v>
          </cell>
          <cell r="M124">
            <v>0</v>
          </cell>
          <cell r="N124">
            <v>0</v>
          </cell>
        </row>
        <row r="125">
          <cell r="F125">
            <v>0</v>
          </cell>
          <cell r="G125">
            <v>0</v>
          </cell>
          <cell r="M125">
            <v>0</v>
          </cell>
          <cell r="N125">
            <v>0</v>
          </cell>
        </row>
        <row r="126">
          <cell r="F126">
            <v>0</v>
          </cell>
          <cell r="G126">
            <v>9720</v>
          </cell>
          <cell r="M126">
            <v>0</v>
          </cell>
          <cell r="N126">
            <v>0</v>
          </cell>
        </row>
        <row r="127">
          <cell r="F127">
            <v>0</v>
          </cell>
          <cell r="G127">
            <v>0</v>
          </cell>
          <cell r="M127">
            <v>0</v>
          </cell>
          <cell r="N127">
            <v>0</v>
          </cell>
        </row>
        <row r="128">
          <cell r="F128">
            <v>0</v>
          </cell>
          <cell r="G128">
            <v>0</v>
          </cell>
          <cell r="M128">
            <v>0</v>
          </cell>
          <cell r="N128">
            <v>0</v>
          </cell>
          <cell r="S128">
            <v>10000</v>
          </cell>
        </row>
        <row r="129">
          <cell r="F129">
            <v>0</v>
          </cell>
          <cell r="G129">
            <v>0</v>
          </cell>
          <cell r="M129">
            <v>0</v>
          </cell>
          <cell r="N129">
            <v>0</v>
          </cell>
        </row>
        <row r="130">
          <cell r="F130">
            <v>0</v>
          </cell>
          <cell r="G130">
            <v>0</v>
          </cell>
          <cell r="M130">
            <v>0</v>
          </cell>
          <cell r="N130">
            <v>0</v>
          </cell>
          <cell r="R130">
            <v>330</v>
          </cell>
        </row>
        <row r="131">
          <cell r="F131">
            <v>0</v>
          </cell>
          <cell r="G131">
            <v>0</v>
          </cell>
          <cell r="M131">
            <v>0</v>
          </cell>
          <cell r="N131">
            <v>0</v>
          </cell>
        </row>
        <row r="132">
          <cell r="F132">
            <v>0</v>
          </cell>
          <cell r="G132">
            <v>10366</v>
          </cell>
          <cell r="M132">
            <v>0</v>
          </cell>
          <cell r="N132">
            <v>0</v>
          </cell>
        </row>
        <row r="133">
          <cell r="F133">
            <v>0</v>
          </cell>
          <cell r="G133">
            <v>47180</v>
          </cell>
          <cell r="M133">
            <v>0</v>
          </cell>
          <cell r="N133">
            <v>0</v>
          </cell>
        </row>
        <row r="134">
          <cell r="F134">
            <v>0</v>
          </cell>
          <cell r="G134">
            <v>0</v>
          </cell>
          <cell r="M134">
            <v>0</v>
          </cell>
          <cell r="N134">
            <v>0</v>
          </cell>
        </row>
        <row r="135">
          <cell r="F135">
            <v>0</v>
          </cell>
          <cell r="G135">
            <v>0</v>
          </cell>
          <cell r="M135">
            <v>0</v>
          </cell>
          <cell r="N135">
            <v>0</v>
          </cell>
        </row>
        <row r="136">
          <cell r="F136">
            <v>0</v>
          </cell>
          <cell r="G136">
            <v>0</v>
          </cell>
          <cell r="M136">
            <v>3075</v>
          </cell>
          <cell r="N136">
            <v>1317</v>
          </cell>
        </row>
        <row r="137">
          <cell r="F137">
            <v>0</v>
          </cell>
          <cell r="G137">
            <v>0</v>
          </cell>
          <cell r="M137">
            <v>1025</v>
          </cell>
          <cell r="N137">
            <v>439</v>
          </cell>
        </row>
        <row r="138">
          <cell r="F138">
            <v>0</v>
          </cell>
          <cell r="G138">
            <v>0</v>
          </cell>
          <cell r="M138">
            <v>1025</v>
          </cell>
          <cell r="N138">
            <v>439</v>
          </cell>
        </row>
        <row r="139">
          <cell r="F139">
            <v>0</v>
          </cell>
          <cell r="G139">
            <v>0</v>
          </cell>
          <cell r="M139">
            <v>0</v>
          </cell>
          <cell r="N139">
            <v>0</v>
          </cell>
        </row>
        <row r="140">
          <cell r="F140">
            <v>0</v>
          </cell>
          <cell r="G140">
            <v>0</v>
          </cell>
          <cell r="M140">
            <v>0</v>
          </cell>
          <cell r="N140">
            <v>0</v>
          </cell>
        </row>
        <row r="141">
          <cell r="F141">
            <v>0</v>
          </cell>
          <cell r="G141">
            <v>0</v>
          </cell>
          <cell r="M141">
            <v>0</v>
          </cell>
          <cell r="N141">
            <v>0</v>
          </cell>
        </row>
        <row r="142">
          <cell r="F142">
            <v>0</v>
          </cell>
          <cell r="G142">
            <v>0</v>
          </cell>
          <cell r="M142">
            <v>0</v>
          </cell>
          <cell r="N142">
            <v>0</v>
          </cell>
        </row>
        <row r="143">
          <cell r="F143">
            <v>0</v>
          </cell>
          <cell r="G143">
            <v>0</v>
          </cell>
          <cell r="M143">
            <v>0</v>
          </cell>
          <cell r="N143">
            <v>0</v>
          </cell>
        </row>
        <row r="144">
          <cell r="F144">
            <v>0</v>
          </cell>
          <cell r="G144">
            <v>0</v>
          </cell>
          <cell r="M144">
            <v>0</v>
          </cell>
          <cell r="N144">
            <v>0</v>
          </cell>
        </row>
        <row r="145">
          <cell r="F145">
            <v>0</v>
          </cell>
          <cell r="G145">
            <v>0</v>
          </cell>
          <cell r="M145">
            <v>0</v>
          </cell>
          <cell r="N145">
            <v>0</v>
          </cell>
        </row>
        <row r="146">
          <cell r="F146">
            <v>0</v>
          </cell>
          <cell r="G146">
            <v>0</v>
          </cell>
          <cell r="M146">
            <v>0</v>
          </cell>
          <cell r="N146">
            <v>0</v>
          </cell>
        </row>
        <row r="147">
          <cell r="F147">
            <v>0</v>
          </cell>
          <cell r="G147">
            <v>0</v>
          </cell>
          <cell r="M147">
            <v>0</v>
          </cell>
          <cell r="N147">
            <v>0</v>
          </cell>
        </row>
        <row r="148">
          <cell r="F148">
            <v>0</v>
          </cell>
          <cell r="G148">
            <v>0</v>
          </cell>
          <cell r="M148">
            <v>0</v>
          </cell>
          <cell r="N148">
            <v>0</v>
          </cell>
        </row>
      </sheetData>
      <sheetData sheetId="4"/>
      <sheetData sheetId="5">
        <row r="16">
          <cell r="M16">
            <v>-1025</v>
          </cell>
          <cell r="N16">
            <v>-439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</sheetNames>
    <sheetDataSet>
      <sheetData sheetId="0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10">
          <cell r="F10">
            <v>0</v>
          </cell>
          <cell r="G10">
            <v>0</v>
          </cell>
        </row>
        <row r="11">
          <cell r="F11">
            <v>0</v>
          </cell>
          <cell r="G11">
            <v>0</v>
          </cell>
        </row>
        <row r="12">
          <cell r="F12">
            <v>0</v>
          </cell>
          <cell r="G12">
            <v>0</v>
          </cell>
        </row>
        <row r="13">
          <cell r="F13">
            <v>0</v>
          </cell>
          <cell r="G13">
            <v>0</v>
          </cell>
        </row>
        <row r="14">
          <cell r="F14">
            <v>0</v>
          </cell>
          <cell r="G14">
            <v>0</v>
          </cell>
        </row>
        <row r="15">
          <cell r="F15">
            <v>0</v>
          </cell>
          <cell r="G15">
            <v>0</v>
          </cell>
        </row>
        <row r="16">
          <cell r="F16">
            <v>0</v>
          </cell>
          <cell r="G16">
            <v>0</v>
          </cell>
        </row>
        <row r="17">
          <cell r="F17">
            <v>0</v>
          </cell>
          <cell r="G17">
            <v>0</v>
          </cell>
        </row>
        <row r="18">
          <cell r="F18">
            <v>0</v>
          </cell>
          <cell r="G18">
            <v>0</v>
          </cell>
        </row>
        <row r="19">
          <cell r="F19">
            <v>0</v>
          </cell>
          <cell r="G19">
            <v>0</v>
          </cell>
        </row>
        <row r="20">
          <cell r="F20">
            <v>0</v>
          </cell>
          <cell r="G20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0</v>
          </cell>
          <cell r="G22">
            <v>0</v>
          </cell>
        </row>
        <row r="23">
          <cell r="F23">
            <v>0</v>
          </cell>
          <cell r="G23">
            <v>0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8">
          <cell r="F28">
            <v>0</v>
          </cell>
          <cell r="G28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3">
          <cell r="F33">
            <v>0</v>
          </cell>
          <cell r="G33">
            <v>0</v>
          </cell>
        </row>
        <row r="34">
          <cell r="F34">
            <v>0</v>
          </cell>
          <cell r="G34">
            <v>0</v>
          </cell>
        </row>
        <row r="35">
          <cell r="F35">
            <v>0</v>
          </cell>
          <cell r="G35">
            <v>0</v>
          </cell>
        </row>
        <row r="36">
          <cell r="F36">
            <v>0</v>
          </cell>
          <cell r="G36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  <row r="39">
          <cell r="F39">
            <v>0</v>
          </cell>
          <cell r="G39">
            <v>0</v>
          </cell>
        </row>
        <row r="40">
          <cell r="F40">
            <v>0</v>
          </cell>
          <cell r="G40">
            <v>0</v>
          </cell>
        </row>
        <row r="41">
          <cell r="F41">
            <v>0</v>
          </cell>
          <cell r="G41">
            <v>0</v>
          </cell>
        </row>
        <row r="42">
          <cell r="F42">
            <v>0</v>
          </cell>
          <cell r="G42">
            <v>0</v>
          </cell>
        </row>
        <row r="43">
          <cell r="F43">
            <v>0</v>
          </cell>
          <cell r="G43">
            <v>0</v>
          </cell>
        </row>
        <row r="44">
          <cell r="F44">
            <v>0</v>
          </cell>
          <cell r="G44">
            <v>0</v>
          </cell>
        </row>
        <row r="45">
          <cell r="F45">
            <v>0</v>
          </cell>
          <cell r="G45">
            <v>0</v>
          </cell>
        </row>
        <row r="46">
          <cell r="F46">
            <v>0</v>
          </cell>
          <cell r="G46">
            <v>0</v>
          </cell>
        </row>
        <row r="47">
          <cell r="F47">
            <v>0</v>
          </cell>
          <cell r="G47">
            <v>0</v>
          </cell>
        </row>
        <row r="48">
          <cell r="F48">
            <v>0</v>
          </cell>
          <cell r="G48">
            <v>0</v>
          </cell>
        </row>
        <row r="49">
          <cell r="F49">
            <v>0</v>
          </cell>
          <cell r="G49">
            <v>0</v>
          </cell>
        </row>
        <row r="50">
          <cell r="F50">
            <v>0</v>
          </cell>
          <cell r="G50">
            <v>0</v>
          </cell>
        </row>
        <row r="51">
          <cell r="F51">
            <v>0</v>
          </cell>
          <cell r="G51">
            <v>0</v>
          </cell>
        </row>
        <row r="52">
          <cell r="F52">
            <v>0</v>
          </cell>
          <cell r="G52">
            <v>0</v>
          </cell>
        </row>
        <row r="53">
          <cell r="F53">
            <v>0</v>
          </cell>
          <cell r="G53">
            <v>0</v>
          </cell>
        </row>
        <row r="54">
          <cell r="F54">
            <v>0</v>
          </cell>
          <cell r="G54">
            <v>0</v>
          </cell>
        </row>
        <row r="55">
          <cell r="F55">
            <v>0</v>
          </cell>
          <cell r="G55">
            <v>0</v>
          </cell>
        </row>
        <row r="56">
          <cell r="F56">
            <v>0</v>
          </cell>
          <cell r="G56">
            <v>0</v>
          </cell>
        </row>
        <row r="57">
          <cell r="F57">
            <v>0</v>
          </cell>
          <cell r="G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</row>
        <row r="60">
          <cell r="F60">
            <v>0</v>
          </cell>
          <cell r="G60">
            <v>0</v>
          </cell>
        </row>
        <row r="61">
          <cell r="F61">
            <v>0</v>
          </cell>
          <cell r="G61">
            <v>0</v>
          </cell>
        </row>
        <row r="62">
          <cell r="F62">
            <v>0</v>
          </cell>
          <cell r="G62">
            <v>0</v>
          </cell>
        </row>
        <row r="63">
          <cell r="F63">
            <v>0</v>
          </cell>
          <cell r="G63">
            <v>0</v>
          </cell>
        </row>
        <row r="64">
          <cell r="F64">
            <v>0</v>
          </cell>
          <cell r="G64">
            <v>0</v>
          </cell>
        </row>
        <row r="65">
          <cell r="F65">
            <v>0</v>
          </cell>
          <cell r="G65">
            <v>0</v>
          </cell>
        </row>
        <row r="66">
          <cell r="F66">
            <v>0</v>
          </cell>
          <cell r="G66">
            <v>0</v>
          </cell>
        </row>
        <row r="67">
          <cell r="F67">
            <v>0</v>
          </cell>
          <cell r="G67">
            <v>0</v>
          </cell>
        </row>
        <row r="68">
          <cell r="F68">
            <v>0</v>
          </cell>
          <cell r="G68">
            <v>0</v>
          </cell>
        </row>
        <row r="69">
          <cell r="F69">
            <v>0</v>
          </cell>
          <cell r="G69">
            <v>0</v>
          </cell>
        </row>
        <row r="70">
          <cell r="F70">
            <v>0</v>
          </cell>
          <cell r="G70">
            <v>0</v>
          </cell>
        </row>
        <row r="71">
          <cell r="F71">
            <v>0</v>
          </cell>
          <cell r="G71">
            <v>0</v>
          </cell>
        </row>
        <row r="72">
          <cell r="F72">
            <v>0</v>
          </cell>
          <cell r="G72">
            <v>0</v>
          </cell>
        </row>
        <row r="73">
          <cell r="F73">
            <v>0</v>
          </cell>
          <cell r="G73">
            <v>0</v>
          </cell>
        </row>
        <row r="74">
          <cell r="F74">
            <v>0</v>
          </cell>
          <cell r="G74">
            <v>0</v>
          </cell>
        </row>
        <row r="75">
          <cell r="F75">
            <v>0</v>
          </cell>
          <cell r="G75">
            <v>0</v>
          </cell>
        </row>
        <row r="76">
          <cell r="F76">
            <v>0</v>
          </cell>
          <cell r="G76">
            <v>0</v>
          </cell>
        </row>
        <row r="77">
          <cell r="F77">
            <v>0</v>
          </cell>
          <cell r="G77">
            <v>0</v>
          </cell>
        </row>
        <row r="78">
          <cell r="F78">
            <v>0</v>
          </cell>
          <cell r="G78">
            <v>0</v>
          </cell>
        </row>
        <row r="79">
          <cell r="F79">
            <v>0</v>
          </cell>
          <cell r="G79">
            <v>0</v>
          </cell>
        </row>
        <row r="80">
          <cell r="F80">
            <v>0</v>
          </cell>
          <cell r="G80">
            <v>0</v>
          </cell>
        </row>
        <row r="81">
          <cell r="F81">
            <v>0</v>
          </cell>
          <cell r="G81">
            <v>0</v>
          </cell>
        </row>
        <row r="82">
          <cell r="F82">
            <v>0</v>
          </cell>
          <cell r="G82">
            <v>0</v>
          </cell>
        </row>
        <row r="83">
          <cell r="F83">
            <v>0</v>
          </cell>
          <cell r="G83">
            <v>0</v>
          </cell>
        </row>
        <row r="84">
          <cell r="F84">
            <v>0</v>
          </cell>
          <cell r="G84">
            <v>0</v>
          </cell>
        </row>
        <row r="85">
          <cell r="F85">
            <v>0</v>
          </cell>
          <cell r="G85">
            <v>0</v>
          </cell>
        </row>
        <row r="86">
          <cell r="F86">
            <v>0</v>
          </cell>
          <cell r="G86">
            <v>0</v>
          </cell>
        </row>
        <row r="87">
          <cell r="F87">
            <v>0</v>
          </cell>
          <cell r="G87">
            <v>0</v>
          </cell>
        </row>
        <row r="88">
          <cell r="F88">
            <v>2300</v>
          </cell>
          <cell r="G88">
            <v>30448</v>
          </cell>
        </row>
        <row r="89">
          <cell r="F89">
            <v>0</v>
          </cell>
          <cell r="G89">
            <v>0</v>
          </cell>
        </row>
        <row r="90">
          <cell r="F90">
            <v>0</v>
          </cell>
          <cell r="G90">
            <v>0</v>
          </cell>
        </row>
        <row r="91">
          <cell r="F91">
            <v>0</v>
          </cell>
          <cell r="G91">
            <v>0</v>
          </cell>
        </row>
        <row r="92">
          <cell r="F92">
            <v>0</v>
          </cell>
          <cell r="G92">
            <v>0</v>
          </cell>
        </row>
        <row r="93">
          <cell r="F93">
            <v>0</v>
          </cell>
          <cell r="G93">
            <v>0</v>
          </cell>
        </row>
        <row r="94">
          <cell r="F94">
            <v>0</v>
          </cell>
          <cell r="G94">
            <v>0</v>
          </cell>
        </row>
        <row r="95">
          <cell r="F95">
            <v>0</v>
          </cell>
          <cell r="G95">
            <v>0</v>
          </cell>
        </row>
        <row r="96">
          <cell r="F96">
            <v>0</v>
          </cell>
          <cell r="G96">
            <v>0</v>
          </cell>
        </row>
        <row r="97">
          <cell r="F97">
            <v>0</v>
          </cell>
          <cell r="G97">
            <v>0</v>
          </cell>
        </row>
        <row r="98">
          <cell r="F98">
            <v>0</v>
          </cell>
          <cell r="G98">
            <v>0</v>
          </cell>
        </row>
        <row r="99">
          <cell r="F99">
            <v>0</v>
          </cell>
          <cell r="G99">
            <v>0</v>
          </cell>
        </row>
        <row r="100">
          <cell r="F100">
            <v>0</v>
          </cell>
          <cell r="G100">
            <v>0</v>
          </cell>
        </row>
        <row r="101">
          <cell r="F101">
            <v>0</v>
          </cell>
          <cell r="G101">
            <v>0</v>
          </cell>
        </row>
        <row r="102">
          <cell r="F102">
            <v>0</v>
          </cell>
          <cell r="G102">
            <v>0</v>
          </cell>
        </row>
        <row r="103">
          <cell r="F103">
            <v>0</v>
          </cell>
          <cell r="G103">
            <v>0</v>
          </cell>
        </row>
        <row r="104">
          <cell r="F104">
            <v>0</v>
          </cell>
          <cell r="G104">
            <v>0</v>
          </cell>
        </row>
        <row r="105">
          <cell r="F105">
            <v>0</v>
          </cell>
          <cell r="G105">
            <v>0</v>
          </cell>
        </row>
        <row r="106">
          <cell r="F106">
            <v>0</v>
          </cell>
          <cell r="G106">
            <v>0</v>
          </cell>
        </row>
        <row r="107">
          <cell r="F107">
            <v>0</v>
          </cell>
          <cell r="G107">
            <v>0</v>
          </cell>
        </row>
        <row r="108">
          <cell r="F108">
            <v>0</v>
          </cell>
          <cell r="G108">
            <v>0</v>
          </cell>
        </row>
        <row r="109">
          <cell r="F109">
            <v>0</v>
          </cell>
          <cell r="G109">
            <v>0</v>
          </cell>
        </row>
        <row r="110">
          <cell r="F110">
            <v>0</v>
          </cell>
          <cell r="G110">
            <v>0</v>
          </cell>
        </row>
        <row r="111">
          <cell r="F111">
            <v>0</v>
          </cell>
          <cell r="G111">
            <v>0</v>
          </cell>
        </row>
        <row r="112">
          <cell r="F112">
            <v>0</v>
          </cell>
          <cell r="G112">
            <v>0</v>
          </cell>
        </row>
        <row r="113">
          <cell r="F113">
            <v>0</v>
          </cell>
          <cell r="G113">
            <v>0</v>
          </cell>
        </row>
        <row r="114">
          <cell r="F114">
            <v>0</v>
          </cell>
          <cell r="G114">
            <v>0</v>
          </cell>
        </row>
        <row r="115">
          <cell r="F115">
            <v>0</v>
          </cell>
          <cell r="G115">
            <v>0</v>
          </cell>
        </row>
        <row r="116">
          <cell r="F116">
            <v>0</v>
          </cell>
          <cell r="G116">
            <v>0</v>
          </cell>
        </row>
        <row r="117">
          <cell r="F117">
            <v>0</v>
          </cell>
          <cell r="G117">
            <v>0</v>
          </cell>
        </row>
        <row r="118">
          <cell r="F118">
            <v>0</v>
          </cell>
          <cell r="G118">
            <v>0</v>
          </cell>
        </row>
        <row r="119">
          <cell r="F119">
            <v>0</v>
          </cell>
          <cell r="G119">
            <v>0</v>
          </cell>
        </row>
        <row r="120">
          <cell r="F120">
            <v>0</v>
          </cell>
          <cell r="G120">
            <v>0</v>
          </cell>
        </row>
        <row r="121">
          <cell r="F121">
            <v>0</v>
          </cell>
          <cell r="G121">
            <v>0</v>
          </cell>
        </row>
        <row r="122">
          <cell r="F122">
            <v>0</v>
          </cell>
          <cell r="G122">
            <v>0</v>
          </cell>
        </row>
        <row r="123">
          <cell r="F123">
            <v>0</v>
          </cell>
          <cell r="G123">
            <v>0</v>
          </cell>
        </row>
        <row r="124">
          <cell r="F124">
            <v>0</v>
          </cell>
          <cell r="G124">
            <v>0</v>
          </cell>
        </row>
        <row r="125">
          <cell r="F125">
            <v>0</v>
          </cell>
          <cell r="G125">
            <v>0</v>
          </cell>
        </row>
        <row r="126">
          <cell r="F126">
            <v>0</v>
          </cell>
          <cell r="G126">
            <v>0</v>
          </cell>
        </row>
        <row r="127">
          <cell r="F127">
            <v>0</v>
          </cell>
          <cell r="G127">
            <v>0</v>
          </cell>
        </row>
        <row r="128">
          <cell r="F128">
            <v>0</v>
          </cell>
          <cell r="G128">
            <v>0</v>
          </cell>
        </row>
        <row r="129">
          <cell r="F129">
            <v>0</v>
          </cell>
          <cell r="G129">
            <v>0</v>
          </cell>
        </row>
        <row r="130">
          <cell r="F130">
            <v>0</v>
          </cell>
          <cell r="G130">
            <v>0</v>
          </cell>
        </row>
        <row r="131">
          <cell r="F131">
            <v>0</v>
          </cell>
          <cell r="G131">
            <v>11800</v>
          </cell>
        </row>
        <row r="132">
          <cell r="F132">
            <v>0</v>
          </cell>
          <cell r="G132">
            <v>23130</v>
          </cell>
        </row>
        <row r="133">
          <cell r="F133">
            <v>0</v>
          </cell>
          <cell r="G133">
            <v>0</v>
          </cell>
        </row>
        <row r="134">
          <cell r="F134">
            <v>0</v>
          </cell>
          <cell r="G134">
            <v>0</v>
          </cell>
        </row>
        <row r="135">
          <cell r="F135">
            <v>0</v>
          </cell>
          <cell r="G135">
            <v>0</v>
          </cell>
        </row>
        <row r="136">
          <cell r="F136">
            <v>0</v>
          </cell>
          <cell r="G136">
            <v>0</v>
          </cell>
        </row>
        <row r="137">
          <cell r="F137">
            <v>0</v>
          </cell>
          <cell r="G137">
            <v>0</v>
          </cell>
        </row>
        <row r="138">
          <cell r="F138">
            <v>0</v>
          </cell>
          <cell r="G138">
            <v>0</v>
          </cell>
        </row>
        <row r="139">
          <cell r="F139">
            <v>0</v>
          </cell>
          <cell r="G139">
            <v>0</v>
          </cell>
        </row>
        <row r="140">
          <cell r="F140">
            <v>0</v>
          </cell>
          <cell r="G140">
            <v>0</v>
          </cell>
        </row>
        <row r="141">
          <cell r="F141">
            <v>0</v>
          </cell>
          <cell r="G141">
            <v>0</v>
          </cell>
        </row>
        <row r="142">
          <cell r="F142">
            <v>0</v>
          </cell>
          <cell r="G142">
            <v>0</v>
          </cell>
        </row>
        <row r="143">
          <cell r="F143">
            <v>0</v>
          </cell>
          <cell r="G143">
            <v>0</v>
          </cell>
        </row>
        <row r="144">
          <cell r="F144">
            <v>0</v>
          </cell>
          <cell r="G144">
            <v>0</v>
          </cell>
        </row>
        <row r="145">
          <cell r="F145">
            <v>0</v>
          </cell>
          <cell r="G145">
            <v>0</v>
          </cell>
        </row>
        <row r="146">
          <cell r="F146">
            <v>0</v>
          </cell>
          <cell r="G146">
            <v>0</v>
          </cell>
        </row>
        <row r="147">
          <cell r="F147">
            <v>0</v>
          </cell>
          <cell r="G147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</sheetNames>
    <sheetDataSet>
      <sheetData sheetId="0"/>
      <sheetData sheetId="1">
        <row r="8">
          <cell r="E8">
            <v>0</v>
          </cell>
          <cell r="F8">
            <v>0</v>
          </cell>
          <cell r="G8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1500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53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100</v>
          </cell>
        </row>
        <row r="27">
          <cell r="E27">
            <v>0</v>
          </cell>
        </row>
        <row r="28">
          <cell r="E28">
            <v>37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5479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6500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324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350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1765</v>
          </cell>
        </row>
        <row r="49">
          <cell r="E49">
            <v>188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480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1000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550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466</v>
          </cell>
        </row>
        <row r="108">
          <cell r="E108">
            <v>1400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80" zoomScaleNormal="80" workbookViewId="0">
      <pane xSplit="4" ySplit="8" topLeftCell="E132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C138" sqref="C138"/>
    </sheetView>
  </sheetViews>
  <sheetFormatPr defaultRowHeight="12.75" x14ac:dyDescent="0.2"/>
  <cols>
    <col min="1" max="1" width="6.28515625" style="273" customWidth="1"/>
    <col min="2" max="2" width="10.28515625" style="273" customWidth="1"/>
    <col min="3" max="3" width="35.7109375" style="273" customWidth="1"/>
    <col min="4" max="4" width="9.140625" style="273" customWidth="1"/>
    <col min="5" max="5" width="11.5703125" style="273" customWidth="1"/>
    <col min="6" max="6" width="10.42578125" style="273" customWidth="1"/>
    <col min="7" max="7" width="8.5703125" style="273" customWidth="1"/>
    <col min="8" max="8" width="8.140625" style="273" customWidth="1"/>
    <col min="9" max="9" width="8.85546875" style="273" customWidth="1"/>
    <col min="10" max="10" width="14.28515625" style="273" customWidth="1"/>
    <col min="11" max="11" width="12.42578125" style="273" customWidth="1"/>
    <col min="12" max="12" width="13.140625" style="273" customWidth="1"/>
    <col min="13" max="13" width="20.42578125" style="273" customWidth="1"/>
    <col min="14" max="14" width="14" style="273" customWidth="1"/>
    <col min="15" max="15" width="8.140625" style="308" customWidth="1"/>
    <col min="16" max="16" width="11" style="308" customWidth="1"/>
    <col min="17" max="17" width="12.140625" style="308" customWidth="1"/>
    <col min="18" max="18" width="16.42578125" style="308" customWidth="1"/>
    <col min="19" max="19" width="18.7109375" style="308" customWidth="1"/>
    <col min="20" max="20" width="17" style="308" customWidth="1"/>
    <col min="21" max="21" width="10.7109375" style="308" customWidth="1"/>
    <col min="22" max="22" width="11.140625" style="273" customWidth="1"/>
    <col min="23" max="23" width="12.85546875" style="273" customWidth="1"/>
    <col min="24" max="24" width="9.140625" style="274"/>
    <col min="25" max="25" width="9.140625" style="273"/>
    <col min="26" max="26" width="11.140625" style="273" customWidth="1"/>
    <col min="27" max="27" width="9.140625" style="273"/>
    <col min="28" max="28" width="12" style="273" customWidth="1"/>
    <col min="29" max="30" width="12.7109375" style="273" customWidth="1"/>
    <col min="31" max="260" width="9.140625" style="273"/>
    <col min="261" max="261" width="5.5703125" style="273" customWidth="1"/>
    <col min="262" max="262" width="11.5703125" style="273" customWidth="1"/>
    <col min="263" max="263" width="35.7109375" style="273" customWidth="1"/>
    <col min="264" max="264" width="9.140625" style="273" customWidth="1"/>
    <col min="265" max="265" width="11.5703125" style="273" customWidth="1"/>
    <col min="266" max="266" width="15.7109375" style="273" customWidth="1"/>
    <col min="267" max="267" width="13.42578125" style="273" customWidth="1"/>
    <col min="268" max="268" width="19.140625" style="273" customWidth="1"/>
    <col min="269" max="269" width="8.140625" style="273" customWidth="1"/>
    <col min="270" max="270" width="12.140625" style="273" customWidth="1"/>
    <col min="271" max="271" width="14.42578125" style="273" customWidth="1"/>
    <col min="272" max="272" width="13.5703125" style="273" customWidth="1"/>
    <col min="273" max="516" width="9.140625" style="273"/>
    <col min="517" max="517" width="5.5703125" style="273" customWidth="1"/>
    <col min="518" max="518" width="11.5703125" style="273" customWidth="1"/>
    <col min="519" max="519" width="35.7109375" style="273" customWidth="1"/>
    <col min="520" max="520" width="9.140625" style="273" customWidth="1"/>
    <col min="521" max="521" width="11.5703125" style="273" customWidth="1"/>
    <col min="522" max="522" width="15.7109375" style="273" customWidth="1"/>
    <col min="523" max="523" width="13.42578125" style="273" customWidth="1"/>
    <col min="524" max="524" width="19.140625" style="273" customWidth="1"/>
    <col min="525" max="525" width="8.140625" style="273" customWidth="1"/>
    <col min="526" max="526" width="12.140625" style="273" customWidth="1"/>
    <col min="527" max="527" width="14.42578125" style="273" customWidth="1"/>
    <col min="528" max="528" width="13.5703125" style="273" customWidth="1"/>
    <col min="529" max="772" width="9.140625" style="273"/>
    <col min="773" max="773" width="5.5703125" style="273" customWidth="1"/>
    <col min="774" max="774" width="11.5703125" style="273" customWidth="1"/>
    <col min="775" max="775" width="35.7109375" style="273" customWidth="1"/>
    <col min="776" max="776" width="9.140625" style="273" customWidth="1"/>
    <col min="777" max="777" width="11.5703125" style="273" customWidth="1"/>
    <col min="778" max="778" width="15.7109375" style="273" customWidth="1"/>
    <col min="779" max="779" width="13.42578125" style="273" customWidth="1"/>
    <col min="780" max="780" width="19.140625" style="273" customWidth="1"/>
    <col min="781" max="781" width="8.140625" style="273" customWidth="1"/>
    <col min="782" max="782" width="12.140625" style="273" customWidth="1"/>
    <col min="783" max="783" width="14.42578125" style="273" customWidth="1"/>
    <col min="784" max="784" width="13.5703125" style="273" customWidth="1"/>
    <col min="785" max="1028" width="9.140625" style="273"/>
    <col min="1029" max="1029" width="5.5703125" style="273" customWidth="1"/>
    <col min="1030" max="1030" width="11.5703125" style="273" customWidth="1"/>
    <col min="1031" max="1031" width="35.7109375" style="273" customWidth="1"/>
    <col min="1032" max="1032" width="9.140625" style="273" customWidth="1"/>
    <col min="1033" max="1033" width="11.5703125" style="273" customWidth="1"/>
    <col min="1034" max="1034" width="15.7109375" style="273" customWidth="1"/>
    <col min="1035" max="1035" width="13.42578125" style="273" customWidth="1"/>
    <col min="1036" max="1036" width="19.140625" style="273" customWidth="1"/>
    <col min="1037" max="1037" width="8.140625" style="273" customWidth="1"/>
    <col min="1038" max="1038" width="12.140625" style="273" customWidth="1"/>
    <col min="1039" max="1039" width="14.42578125" style="273" customWidth="1"/>
    <col min="1040" max="1040" width="13.5703125" style="273" customWidth="1"/>
    <col min="1041" max="1284" width="9.140625" style="273"/>
    <col min="1285" max="1285" width="5.5703125" style="273" customWidth="1"/>
    <col min="1286" max="1286" width="11.5703125" style="273" customWidth="1"/>
    <col min="1287" max="1287" width="35.7109375" style="273" customWidth="1"/>
    <col min="1288" max="1288" width="9.140625" style="273" customWidth="1"/>
    <col min="1289" max="1289" width="11.5703125" style="273" customWidth="1"/>
    <col min="1290" max="1290" width="15.7109375" style="273" customWidth="1"/>
    <col min="1291" max="1291" width="13.42578125" style="273" customWidth="1"/>
    <col min="1292" max="1292" width="19.140625" style="273" customWidth="1"/>
    <col min="1293" max="1293" width="8.140625" style="273" customWidth="1"/>
    <col min="1294" max="1294" width="12.140625" style="273" customWidth="1"/>
    <col min="1295" max="1295" width="14.42578125" style="273" customWidth="1"/>
    <col min="1296" max="1296" width="13.5703125" style="273" customWidth="1"/>
    <col min="1297" max="1540" width="9.140625" style="273"/>
    <col min="1541" max="1541" width="5.5703125" style="273" customWidth="1"/>
    <col min="1542" max="1542" width="11.5703125" style="273" customWidth="1"/>
    <col min="1543" max="1543" width="35.7109375" style="273" customWidth="1"/>
    <col min="1544" max="1544" width="9.140625" style="273" customWidth="1"/>
    <col min="1545" max="1545" width="11.5703125" style="273" customWidth="1"/>
    <col min="1546" max="1546" width="15.7109375" style="273" customWidth="1"/>
    <col min="1547" max="1547" width="13.42578125" style="273" customWidth="1"/>
    <col min="1548" max="1548" width="19.140625" style="273" customWidth="1"/>
    <col min="1549" max="1549" width="8.140625" style="273" customWidth="1"/>
    <col min="1550" max="1550" width="12.140625" style="273" customWidth="1"/>
    <col min="1551" max="1551" width="14.42578125" style="273" customWidth="1"/>
    <col min="1552" max="1552" width="13.5703125" style="273" customWidth="1"/>
    <col min="1553" max="1796" width="9.140625" style="273"/>
    <col min="1797" max="1797" width="5.5703125" style="273" customWidth="1"/>
    <col min="1798" max="1798" width="11.5703125" style="273" customWidth="1"/>
    <col min="1799" max="1799" width="35.7109375" style="273" customWidth="1"/>
    <col min="1800" max="1800" width="9.140625" style="273" customWidth="1"/>
    <col min="1801" max="1801" width="11.5703125" style="273" customWidth="1"/>
    <col min="1802" max="1802" width="15.7109375" style="273" customWidth="1"/>
    <col min="1803" max="1803" width="13.42578125" style="273" customWidth="1"/>
    <col min="1804" max="1804" width="19.140625" style="273" customWidth="1"/>
    <col min="1805" max="1805" width="8.140625" style="273" customWidth="1"/>
    <col min="1806" max="1806" width="12.140625" style="273" customWidth="1"/>
    <col min="1807" max="1807" width="14.42578125" style="273" customWidth="1"/>
    <col min="1808" max="1808" width="13.5703125" style="273" customWidth="1"/>
    <col min="1809" max="2052" width="9.140625" style="273"/>
    <col min="2053" max="2053" width="5.5703125" style="273" customWidth="1"/>
    <col min="2054" max="2054" width="11.5703125" style="273" customWidth="1"/>
    <col min="2055" max="2055" width="35.7109375" style="273" customWidth="1"/>
    <col min="2056" max="2056" width="9.140625" style="273" customWidth="1"/>
    <col min="2057" max="2057" width="11.5703125" style="273" customWidth="1"/>
    <col min="2058" max="2058" width="15.7109375" style="273" customWidth="1"/>
    <col min="2059" max="2059" width="13.42578125" style="273" customWidth="1"/>
    <col min="2060" max="2060" width="19.140625" style="273" customWidth="1"/>
    <col min="2061" max="2061" width="8.140625" style="273" customWidth="1"/>
    <col min="2062" max="2062" width="12.140625" style="273" customWidth="1"/>
    <col min="2063" max="2063" width="14.42578125" style="273" customWidth="1"/>
    <col min="2064" max="2064" width="13.5703125" style="273" customWidth="1"/>
    <col min="2065" max="2308" width="9.140625" style="273"/>
    <col min="2309" max="2309" width="5.5703125" style="273" customWidth="1"/>
    <col min="2310" max="2310" width="11.5703125" style="273" customWidth="1"/>
    <col min="2311" max="2311" width="35.7109375" style="273" customWidth="1"/>
    <col min="2312" max="2312" width="9.140625" style="273" customWidth="1"/>
    <col min="2313" max="2313" width="11.5703125" style="273" customWidth="1"/>
    <col min="2314" max="2314" width="15.7109375" style="273" customWidth="1"/>
    <col min="2315" max="2315" width="13.42578125" style="273" customWidth="1"/>
    <col min="2316" max="2316" width="19.140625" style="273" customWidth="1"/>
    <col min="2317" max="2317" width="8.140625" style="273" customWidth="1"/>
    <col min="2318" max="2318" width="12.140625" style="273" customWidth="1"/>
    <col min="2319" max="2319" width="14.42578125" style="273" customWidth="1"/>
    <col min="2320" max="2320" width="13.5703125" style="273" customWidth="1"/>
    <col min="2321" max="2564" width="9.140625" style="273"/>
    <col min="2565" max="2565" width="5.5703125" style="273" customWidth="1"/>
    <col min="2566" max="2566" width="11.5703125" style="273" customWidth="1"/>
    <col min="2567" max="2567" width="35.7109375" style="273" customWidth="1"/>
    <col min="2568" max="2568" width="9.140625" style="273" customWidth="1"/>
    <col min="2569" max="2569" width="11.5703125" style="273" customWidth="1"/>
    <col min="2570" max="2570" width="15.7109375" style="273" customWidth="1"/>
    <col min="2571" max="2571" width="13.42578125" style="273" customWidth="1"/>
    <col min="2572" max="2572" width="19.140625" style="273" customWidth="1"/>
    <col min="2573" max="2573" width="8.140625" style="273" customWidth="1"/>
    <col min="2574" max="2574" width="12.140625" style="273" customWidth="1"/>
    <col min="2575" max="2575" width="14.42578125" style="273" customWidth="1"/>
    <col min="2576" max="2576" width="13.5703125" style="273" customWidth="1"/>
    <col min="2577" max="2820" width="9.140625" style="273"/>
    <col min="2821" max="2821" width="5.5703125" style="273" customWidth="1"/>
    <col min="2822" max="2822" width="11.5703125" style="273" customWidth="1"/>
    <col min="2823" max="2823" width="35.7109375" style="273" customWidth="1"/>
    <col min="2824" max="2824" width="9.140625" style="273" customWidth="1"/>
    <col min="2825" max="2825" width="11.5703125" style="273" customWidth="1"/>
    <col min="2826" max="2826" width="15.7109375" style="273" customWidth="1"/>
    <col min="2827" max="2827" width="13.42578125" style="273" customWidth="1"/>
    <col min="2828" max="2828" width="19.140625" style="273" customWidth="1"/>
    <col min="2829" max="2829" width="8.140625" style="273" customWidth="1"/>
    <col min="2830" max="2830" width="12.140625" style="273" customWidth="1"/>
    <col min="2831" max="2831" width="14.42578125" style="273" customWidth="1"/>
    <col min="2832" max="2832" width="13.5703125" style="273" customWidth="1"/>
    <col min="2833" max="3076" width="9.140625" style="273"/>
    <col min="3077" max="3077" width="5.5703125" style="273" customWidth="1"/>
    <col min="3078" max="3078" width="11.5703125" style="273" customWidth="1"/>
    <col min="3079" max="3079" width="35.7109375" style="273" customWidth="1"/>
    <col min="3080" max="3080" width="9.140625" style="273" customWidth="1"/>
    <col min="3081" max="3081" width="11.5703125" style="273" customWidth="1"/>
    <col min="3082" max="3082" width="15.7109375" style="273" customWidth="1"/>
    <col min="3083" max="3083" width="13.42578125" style="273" customWidth="1"/>
    <col min="3084" max="3084" width="19.140625" style="273" customWidth="1"/>
    <col min="3085" max="3085" width="8.140625" style="273" customWidth="1"/>
    <col min="3086" max="3086" width="12.140625" style="273" customWidth="1"/>
    <col min="3087" max="3087" width="14.42578125" style="273" customWidth="1"/>
    <col min="3088" max="3088" width="13.5703125" style="273" customWidth="1"/>
    <col min="3089" max="3332" width="9.140625" style="273"/>
    <col min="3333" max="3333" width="5.5703125" style="273" customWidth="1"/>
    <col min="3334" max="3334" width="11.5703125" style="273" customWidth="1"/>
    <col min="3335" max="3335" width="35.7109375" style="273" customWidth="1"/>
    <col min="3336" max="3336" width="9.140625" style="273" customWidth="1"/>
    <col min="3337" max="3337" width="11.5703125" style="273" customWidth="1"/>
    <col min="3338" max="3338" width="15.7109375" style="273" customWidth="1"/>
    <col min="3339" max="3339" width="13.42578125" style="273" customWidth="1"/>
    <col min="3340" max="3340" width="19.140625" style="273" customWidth="1"/>
    <col min="3341" max="3341" width="8.140625" style="273" customWidth="1"/>
    <col min="3342" max="3342" width="12.140625" style="273" customWidth="1"/>
    <col min="3343" max="3343" width="14.42578125" style="273" customWidth="1"/>
    <col min="3344" max="3344" width="13.5703125" style="273" customWidth="1"/>
    <col min="3345" max="3588" width="9.140625" style="273"/>
    <col min="3589" max="3589" width="5.5703125" style="273" customWidth="1"/>
    <col min="3590" max="3590" width="11.5703125" style="273" customWidth="1"/>
    <col min="3591" max="3591" width="35.7109375" style="273" customWidth="1"/>
    <col min="3592" max="3592" width="9.140625" style="273" customWidth="1"/>
    <col min="3593" max="3593" width="11.5703125" style="273" customWidth="1"/>
    <col min="3594" max="3594" width="15.7109375" style="273" customWidth="1"/>
    <col min="3595" max="3595" width="13.42578125" style="273" customWidth="1"/>
    <col min="3596" max="3596" width="19.140625" style="273" customWidth="1"/>
    <col min="3597" max="3597" width="8.140625" style="273" customWidth="1"/>
    <col min="3598" max="3598" width="12.140625" style="273" customWidth="1"/>
    <col min="3599" max="3599" width="14.42578125" style="273" customWidth="1"/>
    <col min="3600" max="3600" width="13.5703125" style="273" customWidth="1"/>
    <col min="3601" max="3844" width="9.140625" style="273"/>
    <col min="3845" max="3845" width="5.5703125" style="273" customWidth="1"/>
    <col min="3846" max="3846" width="11.5703125" style="273" customWidth="1"/>
    <col min="3847" max="3847" width="35.7109375" style="273" customWidth="1"/>
    <col min="3848" max="3848" width="9.140625" style="273" customWidth="1"/>
    <col min="3849" max="3849" width="11.5703125" style="273" customWidth="1"/>
    <col min="3850" max="3850" width="15.7109375" style="273" customWidth="1"/>
    <col min="3851" max="3851" width="13.42578125" style="273" customWidth="1"/>
    <col min="3852" max="3852" width="19.140625" style="273" customWidth="1"/>
    <col min="3853" max="3853" width="8.140625" style="273" customWidth="1"/>
    <col min="3854" max="3854" width="12.140625" style="273" customWidth="1"/>
    <col min="3855" max="3855" width="14.42578125" style="273" customWidth="1"/>
    <col min="3856" max="3856" width="13.5703125" style="273" customWidth="1"/>
    <col min="3857" max="4100" width="9.140625" style="273"/>
    <col min="4101" max="4101" width="5.5703125" style="273" customWidth="1"/>
    <col min="4102" max="4102" width="11.5703125" style="273" customWidth="1"/>
    <col min="4103" max="4103" width="35.7109375" style="273" customWidth="1"/>
    <col min="4104" max="4104" width="9.140625" style="273" customWidth="1"/>
    <col min="4105" max="4105" width="11.5703125" style="273" customWidth="1"/>
    <col min="4106" max="4106" width="15.7109375" style="273" customWidth="1"/>
    <col min="4107" max="4107" width="13.42578125" style="273" customWidth="1"/>
    <col min="4108" max="4108" width="19.140625" style="273" customWidth="1"/>
    <col min="4109" max="4109" width="8.140625" style="273" customWidth="1"/>
    <col min="4110" max="4110" width="12.140625" style="273" customWidth="1"/>
    <col min="4111" max="4111" width="14.42578125" style="273" customWidth="1"/>
    <col min="4112" max="4112" width="13.5703125" style="273" customWidth="1"/>
    <col min="4113" max="4356" width="9.140625" style="273"/>
    <col min="4357" max="4357" width="5.5703125" style="273" customWidth="1"/>
    <col min="4358" max="4358" width="11.5703125" style="273" customWidth="1"/>
    <col min="4359" max="4359" width="35.7109375" style="273" customWidth="1"/>
    <col min="4360" max="4360" width="9.140625" style="273" customWidth="1"/>
    <col min="4361" max="4361" width="11.5703125" style="273" customWidth="1"/>
    <col min="4362" max="4362" width="15.7109375" style="273" customWidth="1"/>
    <col min="4363" max="4363" width="13.42578125" style="273" customWidth="1"/>
    <col min="4364" max="4364" width="19.140625" style="273" customWidth="1"/>
    <col min="4365" max="4365" width="8.140625" style="273" customWidth="1"/>
    <col min="4366" max="4366" width="12.140625" style="273" customWidth="1"/>
    <col min="4367" max="4367" width="14.42578125" style="273" customWidth="1"/>
    <col min="4368" max="4368" width="13.5703125" style="273" customWidth="1"/>
    <col min="4369" max="4612" width="9.140625" style="273"/>
    <col min="4613" max="4613" width="5.5703125" style="273" customWidth="1"/>
    <col min="4614" max="4614" width="11.5703125" style="273" customWidth="1"/>
    <col min="4615" max="4615" width="35.7109375" style="273" customWidth="1"/>
    <col min="4616" max="4616" width="9.140625" style="273" customWidth="1"/>
    <col min="4617" max="4617" width="11.5703125" style="273" customWidth="1"/>
    <col min="4618" max="4618" width="15.7109375" style="273" customWidth="1"/>
    <col min="4619" max="4619" width="13.42578125" style="273" customWidth="1"/>
    <col min="4620" max="4620" width="19.140625" style="273" customWidth="1"/>
    <col min="4621" max="4621" width="8.140625" style="273" customWidth="1"/>
    <col min="4622" max="4622" width="12.140625" style="273" customWidth="1"/>
    <col min="4623" max="4623" width="14.42578125" style="273" customWidth="1"/>
    <col min="4624" max="4624" width="13.5703125" style="273" customWidth="1"/>
    <col min="4625" max="4868" width="9.140625" style="273"/>
    <col min="4869" max="4869" width="5.5703125" style="273" customWidth="1"/>
    <col min="4870" max="4870" width="11.5703125" style="273" customWidth="1"/>
    <col min="4871" max="4871" width="35.7109375" style="273" customWidth="1"/>
    <col min="4872" max="4872" width="9.140625" style="273" customWidth="1"/>
    <col min="4873" max="4873" width="11.5703125" style="273" customWidth="1"/>
    <col min="4874" max="4874" width="15.7109375" style="273" customWidth="1"/>
    <col min="4875" max="4875" width="13.42578125" style="273" customWidth="1"/>
    <col min="4876" max="4876" width="19.140625" style="273" customWidth="1"/>
    <col min="4877" max="4877" width="8.140625" style="273" customWidth="1"/>
    <col min="4878" max="4878" width="12.140625" style="273" customWidth="1"/>
    <col min="4879" max="4879" width="14.42578125" style="273" customWidth="1"/>
    <col min="4880" max="4880" width="13.5703125" style="273" customWidth="1"/>
    <col min="4881" max="5124" width="9.140625" style="273"/>
    <col min="5125" max="5125" width="5.5703125" style="273" customWidth="1"/>
    <col min="5126" max="5126" width="11.5703125" style="273" customWidth="1"/>
    <col min="5127" max="5127" width="35.7109375" style="273" customWidth="1"/>
    <col min="5128" max="5128" width="9.140625" style="273" customWidth="1"/>
    <col min="5129" max="5129" width="11.5703125" style="273" customWidth="1"/>
    <col min="5130" max="5130" width="15.7109375" style="273" customWidth="1"/>
    <col min="5131" max="5131" width="13.42578125" style="273" customWidth="1"/>
    <col min="5132" max="5132" width="19.140625" style="273" customWidth="1"/>
    <col min="5133" max="5133" width="8.140625" style="273" customWidth="1"/>
    <col min="5134" max="5134" width="12.140625" style="273" customWidth="1"/>
    <col min="5135" max="5135" width="14.42578125" style="273" customWidth="1"/>
    <col min="5136" max="5136" width="13.5703125" style="273" customWidth="1"/>
    <col min="5137" max="5380" width="9.140625" style="273"/>
    <col min="5381" max="5381" width="5.5703125" style="273" customWidth="1"/>
    <col min="5382" max="5382" width="11.5703125" style="273" customWidth="1"/>
    <col min="5383" max="5383" width="35.7109375" style="273" customWidth="1"/>
    <col min="5384" max="5384" width="9.140625" style="273" customWidth="1"/>
    <col min="5385" max="5385" width="11.5703125" style="273" customWidth="1"/>
    <col min="5386" max="5386" width="15.7109375" style="273" customWidth="1"/>
    <col min="5387" max="5387" width="13.42578125" style="273" customWidth="1"/>
    <col min="5388" max="5388" width="19.140625" style="273" customWidth="1"/>
    <col min="5389" max="5389" width="8.140625" style="273" customWidth="1"/>
    <col min="5390" max="5390" width="12.140625" style="273" customWidth="1"/>
    <col min="5391" max="5391" width="14.42578125" style="273" customWidth="1"/>
    <col min="5392" max="5392" width="13.5703125" style="273" customWidth="1"/>
    <col min="5393" max="5636" width="9.140625" style="273"/>
    <col min="5637" max="5637" width="5.5703125" style="273" customWidth="1"/>
    <col min="5638" max="5638" width="11.5703125" style="273" customWidth="1"/>
    <col min="5639" max="5639" width="35.7109375" style="273" customWidth="1"/>
    <col min="5640" max="5640" width="9.140625" style="273" customWidth="1"/>
    <col min="5641" max="5641" width="11.5703125" style="273" customWidth="1"/>
    <col min="5642" max="5642" width="15.7109375" style="273" customWidth="1"/>
    <col min="5643" max="5643" width="13.42578125" style="273" customWidth="1"/>
    <col min="5644" max="5644" width="19.140625" style="273" customWidth="1"/>
    <col min="5645" max="5645" width="8.140625" style="273" customWidth="1"/>
    <col min="5646" max="5646" width="12.140625" style="273" customWidth="1"/>
    <col min="5647" max="5647" width="14.42578125" style="273" customWidth="1"/>
    <col min="5648" max="5648" width="13.5703125" style="273" customWidth="1"/>
    <col min="5649" max="5892" width="9.140625" style="273"/>
    <col min="5893" max="5893" width="5.5703125" style="273" customWidth="1"/>
    <col min="5894" max="5894" width="11.5703125" style="273" customWidth="1"/>
    <col min="5895" max="5895" width="35.7109375" style="273" customWidth="1"/>
    <col min="5896" max="5896" width="9.140625" style="273" customWidth="1"/>
    <col min="5897" max="5897" width="11.5703125" style="273" customWidth="1"/>
    <col min="5898" max="5898" width="15.7109375" style="273" customWidth="1"/>
    <col min="5899" max="5899" width="13.42578125" style="273" customWidth="1"/>
    <col min="5900" max="5900" width="19.140625" style="273" customWidth="1"/>
    <col min="5901" max="5901" width="8.140625" style="273" customWidth="1"/>
    <col min="5902" max="5902" width="12.140625" style="273" customWidth="1"/>
    <col min="5903" max="5903" width="14.42578125" style="273" customWidth="1"/>
    <col min="5904" max="5904" width="13.5703125" style="273" customWidth="1"/>
    <col min="5905" max="6148" width="9.140625" style="273"/>
    <col min="6149" max="6149" width="5.5703125" style="273" customWidth="1"/>
    <col min="6150" max="6150" width="11.5703125" style="273" customWidth="1"/>
    <col min="6151" max="6151" width="35.7109375" style="273" customWidth="1"/>
    <col min="6152" max="6152" width="9.140625" style="273" customWidth="1"/>
    <col min="6153" max="6153" width="11.5703125" style="273" customWidth="1"/>
    <col min="6154" max="6154" width="15.7109375" style="273" customWidth="1"/>
    <col min="6155" max="6155" width="13.42578125" style="273" customWidth="1"/>
    <col min="6156" max="6156" width="19.140625" style="273" customWidth="1"/>
    <col min="6157" max="6157" width="8.140625" style="273" customWidth="1"/>
    <col min="6158" max="6158" width="12.140625" style="273" customWidth="1"/>
    <col min="6159" max="6159" width="14.42578125" style="273" customWidth="1"/>
    <col min="6160" max="6160" width="13.5703125" style="273" customWidth="1"/>
    <col min="6161" max="6404" width="9.140625" style="273"/>
    <col min="6405" max="6405" width="5.5703125" style="273" customWidth="1"/>
    <col min="6406" max="6406" width="11.5703125" style="273" customWidth="1"/>
    <col min="6407" max="6407" width="35.7109375" style="273" customWidth="1"/>
    <col min="6408" max="6408" width="9.140625" style="273" customWidth="1"/>
    <col min="6409" max="6409" width="11.5703125" style="273" customWidth="1"/>
    <col min="6410" max="6410" width="15.7109375" style="273" customWidth="1"/>
    <col min="6411" max="6411" width="13.42578125" style="273" customWidth="1"/>
    <col min="6412" max="6412" width="19.140625" style="273" customWidth="1"/>
    <col min="6413" max="6413" width="8.140625" style="273" customWidth="1"/>
    <col min="6414" max="6414" width="12.140625" style="273" customWidth="1"/>
    <col min="6415" max="6415" width="14.42578125" style="273" customWidth="1"/>
    <col min="6416" max="6416" width="13.5703125" style="273" customWidth="1"/>
    <col min="6417" max="6660" width="9.140625" style="273"/>
    <col min="6661" max="6661" width="5.5703125" style="273" customWidth="1"/>
    <col min="6662" max="6662" width="11.5703125" style="273" customWidth="1"/>
    <col min="6663" max="6663" width="35.7109375" style="273" customWidth="1"/>
    <col min="6664" max="6664" width="9.140625" style="273" customWidth="1"/>
    <col min="6665" max="6665" width="11.5703125" style="273" customWidth="1"/>
    <col min="6666" max="6666" width="15.7109375" style="273" customWidth="1"/>
    <col min="6667" max="6667" width="13.42578125" style="273" customWidth="1"/>
    <col min="6668" max="6668" width="19.140625" style="273" customWidth="1"/>
    <col min="6669" max="6669" width="8.140625" style="273" customWidth="1"/>
    <col min="6670" max="6670" width="12.140625" style="273" customWidth="1"/>
    <col min="6671" max="6671" width="14.42578125" style="273" customWidth="1"/>
    <col min="6672" max="6672" width="13.5703125" style="273" customWidth="1"/>
    <col min="6673" max="6916" width="9.140625" style="273"/>
    <col min="6917" max="6917" width="5.5703125" style="273" customWidth="1"/>
    <col min="6918" max="6918" width="11.5703125" style="273" customWidth="1"/>
    <col min="6919" max="6919" width="35.7109375" style="273" customWidth="1"/>
    <col min="6920" max="6920" width="9.140625" style="273" customWidth="1"/>
    <col min="6921" max="6921" width="11.5703125" style="273" customWidth="1"/>
    <col min="6922" max="6922" width="15.7109375" style="273" customWidth="1"/>
    <col min="6923" max="6923" width="13.42578125" style="273" customWidth="1"/>
    <col min="6924" max="6924" width="19.140625" style="273" customWidth="1"/>
    <col min="6925" max="6925" width="8.140625" style="273" customWidth="1"/>
    <col min="6926" max="6926" width="12.140625" style="273" customWidth="1"/>
    <col min="6927" max="6927" width="14.42578125" style="273" customWidth="1"/>
    <col min="6928" max="6928" width="13.5703125" style="273" customWidth="1"/>
    <col min="6929" max="7172" width="9.140625" style="273"/>
    <col min="7173" max="7173" width="5.5703125" style="273" customWidth="1"/>
    <col min="7174" max="7174" width="11.5703125" style="273" customWidth="1"/>
    <col min="7175" max="7175" width="35.7109375" style="273" customWidth="1"/>
    <col min="7176" max="7176" width="9.140625" style="273" customWidth="1"/>
    <col min="7177" max="7177" width="11.5703125" style="273" customWidth="1"/>
    <col min="7178" max="7178" width="15.7109375" style="273" customWidth="1"/>
    <col min="7179" max="7179" width="13.42578125" style="273" customWidth="1"/>
    <col min="7180" max="7180" width="19.140625" style="273" customWidth="1"/>
    <col min="7181" max="7181" width="8.140625" style="273" customWidth="1"/>
    <col min="7182" max="7182" width="12.140625" style="273" customWidth="1"/>
    <col min="7183" max="7183" width="14.42578125" style="273" customWidth="1"/>
    <col min="7184" max="7184" width="13.5703125" style="273" customWidth="1"/>
    <col min="7185" max="7428" width="9.140625" style="273"/>
    <col min="7429" max="7429" width="5.5703125" style="273" customWidth="1"/>
    <col min="7430" max="7430" width="11.5703125" style="273" customWidth="1"/>
    <col min="7431" max="7431" width="35.7109375" style="273" customWidth="1"/>
    <col min="7432" max="7432" width="9.140625" style="273" customWidth="1"/>
    <col min="7433" max="7433" width="11.5703125" style="273" customWidth="1"/>
    <col min="7434" max="7434" width="15.7109375" style="273" customWidth="1"/>
    <col min="7435" max="7435" width="13.42578125" style="273" customWidth="1"/>
    <col min="7436" max="7436" width="19.140625" style="273" customWidth="1"/>
    <col min="7437" max="7437" width="8.140625" style="273" customWidth="1"/>
    <col min="7438" max="7438" width="12.140625" style="273" customWidth="1"/>
    <col min="7439" max="7439" width="14.42578125" style="273" customWidth="1"/>
    <col min="7440" max="7440" width="13.5703125" style="273" customWidth="1"/>
    <col min="7441" max="7684" width="9.140625" style="273"/>
    <col min="7685" max="7685" width="5.5703125" style="273" customWidth="1"/>
    <col min="7686" max="7686" width="11.5703125" style="273" customWidth="1"/>
    <col min="7687" max="7687" width="35.7109375" style="273" customWidth="1"/>
    <col min="7688" max="7688" width="9.140625" style="273" customWidth="1"/>
    <col min="7689" max="7689" width="11.5703125" style="273" customWidth="1"/>
    <col min="7690" max="7690" width="15.7109375" style="273" customWidth="1"/>
    <col min="7691" max="7691" width="13.42578125" style="273" customWidth="1"/>
    <col min="7692" max="7692" width="19.140625" style="273" customWidth="1"/>
    <col min="7693" max="7693" width="8.140625" style="273" customWidth="1"/>
    <col min="7694" max="7694" width="12.140625" style="273" customWidth="1"/>
    <col min="7695" max="7695" width="14.42578125" style="273" customWidth="1"/>
    <col min="7696" max="7696" width="13.5703125" style="273" customWidth="1"/>
    <col min="7697" max="7940" width="9.140625" style="273"/>
    <col min="7941" max="7941" width="5.5703125" style="273" customWidth="1"/>
    <col min="7942" max="7942" width="11.5703125" style="273" customWidth="1"/>
    <col min="7943" max="7943" width="35.7109375" style="273" customWidth="1"/>
    <col min="7944" max="7944" width="9.140625" style="273" customWidth="1"/>
    <col min="7945" max="7945" width="11.5703125" style="273" customWidth="1"/>
    <col min="7946" max="7946" width="15.7109375" style="273" customWidth="1"/>
    <col min="7947" max="7947" width="13.42578125" style="273" customWidth="1"/>
    <col min="7948" max="7948" width="19.140625" style="273" customWidth="1"/>
    <col min="7949" max="7949" width="8.140625" style="273" customWidth="1"/>
    <col min="7950" max="7950" width="12.140625" style="273" customWidth="1"/>
    <col min="7951" max="7951" width="14.42578125" style="273" customWidth="1"/>
    <col min="7952" max="7952" width="13.5703125" style="273" customWidth="1"/>
    <col min="7953" max="8196" width="9.140625" style="273"/>
    <col min="8197" max="8197" width="5.5703125" style="273" customWidth="1"/>
    <col min="8198" max="8198" width="11.5703125" style="273" customWidth="1"/>
    <col min="8199" max="8199" width="35.7109375" style="273" customWidth="1"/>
    <col min="8200" max="8200" width="9.140625" style="273" customWidth="1"/>
    <col min="8201" max="8201" width="11.5703125" style="273" customWidth="1"/>
    <col min="8202" max="8202" width="15.7109375" style="273" customWidth="1"/>
    <col min="8203" max="8203" width="13.42578125" style="273" customWidth="1"/>
    <col min="8204" max="8204" width="19.140625" style="273" customWidth="1"/>
    <col min="8205" max="8205" width="8.140625" style="273" customWidth="1"/>
    <col min="8206" max="8206" width="12.140625" style="273" customWidth="1"/>
    <col min="8207" max="8207" width="14.42578125" style="273" customWidth="1"/>
    <col min="8208" max="8208" width="13.5703125" style="273" customWidth="1"/>
    <col min="8209" max="8452" width="9.140625" style="273"/>
    <col min="8453" max="8453" width="5.5703125" style="273" customWidth="1"/>
    <col min="8454" max="8454" width="11.5703125" style="273" customWidth="1"/>
    <col min="8455" max="8455" width="35.7109375" style="273" customWidth="1"/>
    <col min="8456" max="8456" width="9.140625" style="273" customWidth="1"/>
    <col min="8457" max="8457" width="11.5703125" style="273" customWidth="1"/>
    <col min="8458" max="8458" width="15.7109375" style="273" customWidth="1"/>
    <col min="8459" max="8459" width="13.42578125" style="273" customWidth="1"/>
    <col min="8460" max="8460" width="19.140625" style="273" customWidth="1"/>
    <col min="8461" max="8461" width="8.140625" style="273" customWidth="1"/>
    <col min="8462" max="8462" width="12.140625" style="273" customWidth="1"/>
    <col min="8463" max="8463" width="14.42578125" style="273" customWidth="1"/>
    <col min="8464" max="8464" width="13.5703125" style="273" customWidth="1"/>
    <col min="8465" max="8708" width="9.140625" style="273"/>
    <col min="8709" max="8709" width="5.5703125" style="273" customWidth="1"/>
    <col min="8710" max="8710" width="11.5703125" style="273" customWidth="1"/>
    <col min="8711" max="8711" width="35.7109375" style="273" customWidth="1"/>
    <col min="8712" max="8712" width="9.140625" style="273" customWidth="1"/>
    <col min="8713" max="8713" width="11.5703125" style="273" customWidth="1"/>
    <col min="8714" max="8714" width="15.7109375" style="273" customWidth="1"/>
    <col min="8715" max="8715" width="13.42578125" style="273" customWidth="1"/>
    <col min="8716" max="8716" width="19.140625" style="273" customWidth="1"/>
    <col min="8717" max="8717" width="8.140625" style="273" customWidth="1"/>
    <col min="8718" max="8718" width="12.140625" style="273" customWidth="1"/>
    <col min="8719" max="8719" width="14.42578125" style="273" customWidth="1"/>
    <col min="8720" max="8720" width="13.5703125" style="273" customWidth="1"/>
    <col min="8721" max="8964" width="9.140625" style="273"/>
    <col min="8965" max="8965" width="5.5703125" style="273" customWidth="1"/>
    <col min="8966" max="8966" width="11.5703125" style="273" customWidth="1"/>
    <col min="8967" max="8967" width="35.7109375" style="273" customWidth="1"/>
    <col min="8968" max="8968" width="9.140625" style="273" customWidth="1"/>
    <col min="8969" max="8969" width="11.5703125" style="273" customWidth="1"/>
    <col min="8970" max="8970" width="15.7109375" style="273" customWidth="1"/>
    <col min="8971" max="8971" width="13.42578125" style="273" customWidth="1"/>
    <col min="8972" max="8972" width="19.140625" style="273" customWidth="1"/>
    <col min="8973" max="8973" width="8.140625" style="273" customWidth="1"/>
    <col min="8974" max="8974" width="12.140625" style="273" customWidth="1"/>
    <col min="8975" max="8975" width="14.42578125" style="273" customWidth="1"/>
    <col min="8976" max="8976" width="13.5703125" style="273" customWidth="1"/>
    <col min="8977" max="9220" width="9.140625" style="273"/>
    <col min="9221" max="9221" width="5.5703125" style="273" customWidth="1"/>
    <col min="9222" max="9222" width="11.5703125" style="273" customWidth="1"/>
    <col min="9223" max="9223" width="35.7109375" style="273" customWidth="1"/>
    <col min="9224" max="9224" width="9.140625" style="273" customWidth="1"/>
    <col min="9225" max="9225" width="11.5703125" style="273" customWidth="1"/>
    <col min="9226" max="9226" width="15.7109375" style="273" customWidth="1"/>
    <col min="9227" max="9227" width="13.42578125" style="273" customWidth="1"/>
    <col min="9228" max="9228" width="19.140625" style="273" customWidth="1"/>
    <col min="9229" max="9229" width="8.140625" style="273" customWidth="1"/>
    <col min="9230" max="9230" width="12.140625" style="273" customWidth="1"/>
    <col min="9231" max="9231" width="14.42578125" style="273" customWidth="1"/>
    <col min="9232" max="9232" width="13.5703125" style="273" customWidth="1"/>
    <col min="9233" max="9476" width="9.140625" style="273"/>
    <col min="9477" max="9477" width="5.5703125" style="273" customWidth="1"/>
    <col min="9478" max="9478" width="11.5703125" style="273" customWidth="1"/>
    <col min="9479" max="9479" width="35.7109375" style="273" customWidth="1"/>
    <col min="9480" max="9480" width="9.140625" style="273" customWidth="1"/>
    <col min="9481" max="9481" width="11.5703125" style="273" customWidth="1"/>
    <col min="9482" max="9482" width="15.7109375" style="273" customWidth="1"/>
    <col min="9483" max="9483" width="13.42578125" style="273" customWidth="1"/>
    <col min="9484" max="9484" width="19.140625" style="273" customWidth="1"/>
    <col min="9485" max="9485" width="8.140625" style="273" customWidth="1"/>
    <col min="9486" max="9486" width="12.140625" style="273" customWidth="1"/>
    <col min="9487" max="9487" width="14.42578125" style="273" customWidth="1"/>
    <col min="9488" max="9488" width="13.5703125" style="273" customWidth="1"/>
    <col min="9489" max="9732" width="9.140625" style="273"/>
    <col min="9733" max="9733" width="5.5703125" style="273" customWidth="1"/>
    <col min="9734" max="9734" width="11.5703125" style="273" customWidth="1"/>
    <col min="9735" max="9735" width="35.7109375" style="273" customWidth="1"/>
    <col min="9736" max="9736" width="9.140625" style="273" customWidth="1"/>
    <col min="9737" max="9737" width="11.5703125" style="273" customWidth="1"/>
    <col min="9738" max="9738" width="15.7109375" style="273" customWidth="1"/>
    <col min="9739" max="9739" width="13.42578125" style="273" customWidth="1"/>
    <col min="9740" max="9740" width="19.140625" style="273" customWidth="1"/>
    <col min="9741" max="9741" width="8.140625" style="273" customWidth="1"/>
    <col min="9742" max="9742" width="12.140625" style="273" customWidth="1"/>
    <col min="9743" max="9743" width="14.42578125" style="273" customWidth="1"/>
    <col min="9744" max="9744" width="13.5703125" style="273" customWidth="1"/>
    <col min="9745" max="9988" width="9.140625" style="273"/>
    <col min="9989" max="9989" width="5.5703125" style="273" customWidth="1"/>
    <col min="9990" max="9990" width="11.5703125" style="273" customWidth="1"/>
    <col min="9991" max="9991" width="35.7109375" style="273" customWidth="1"/>
    <col min="9992" max="9992" width="9.140625" style="273" customWidth="1"/>
    <col min="9993" max="9993" width="11.5703125" style="273" customWidth="1"/>
    <col min="9994" max="9994" width="15.7109375" style="273" customWidth="1"/>
    <col min="9995" max="9995" width="13.42578125" style="273" customWidth="1"/>
    <col min="9996" max="9996" width="19.140625" style="273" customWidth="1"/>
    <col min="9997" max="9997" width="8.140625" style="273" customWidth="1"/>
    <col min="9998" max="9998" width="12.140625" style="273" customWidth="1"/>
    <col min="9999" max="9999" width="14.42578125" style="273" customWidth="1"/>
    <col min="10000" max="10000" width="13.5703125" style="273" customWidth="1"/>
    <col min="10001" max="10244" width="9.140625" style="273"/>
    <col min="10245" max="10245" width="5.5703125" style="273" customWidth="1"/>
    <col min="10246" max="10246" width="11.5703125" style="273" customWidth="1"/>
    <col min="10247" max="10247" width="35.7109375" style="273" customWidth="1"/>
    <col min="10248" max="10248" width="9.140625" style="273" customWidth="1"/>
    <col min="10249" max="10249" width="11.5703125" style="273" customWidth="1"/>
    <col min="10250" max="10250" width="15.7109375" style="273" customWidth="1"/>
    <col min="10251" max="10251" width="13.42578125" style="273" customWidth="1"/>
    <col min="10252" max="10252" width="19.140625" style="273" customWidth="1"/>
    <col min="10253" max="10253" width="8.140625" style="273" customWidth="1"/>
    <col min="10254" max="10254" width="12.140625" style="273" customWidth="1"/>
    <col min="10255" max="10255" width="14.42578125" style="273" customWidth="1"/>
    <col min="10256" max="10256" width="13.5703125" style="273" customWidth="1"/>
    <col min="10257" max="10500" width="9.140625" style="273"/>
    <col min="10501" max="10501" width="5.5703125" style="273" customWidth="1"/>
    <col min="10502" max="10502" width="11.5703125" style="273" customWidth="1"/>
    <col min="10503" max="10503" width="35.7109375" style="273" customWidth="1"/>
    <col min="10504" max="10504" width="9.140625" style="273" customWidth="1"/>
    <col min="10505" max="10505" width="11.5703125" style="273" customWidth="1"/>
    <col min="10506" max="10506" width="15.7109375" style="273" customWidth="1"/>
    <col min="10507" max="10507" width="13.42578125" style="273" customWidth="1"/>
    <col min="10508" max="10508" width="19.140625" style="273" customWidth="1"/>
    <col min="10509" max="10509" width="8.140625" style="273" customWidth="1"/>
    <col min="10510" max="10510" width="12.140625" style="273" customWidth="1"/>
    <col min="10511" max="10511" width="14.42578125" style="273" customWidth="1"/>
    <col min="10512" max="10512" width="13.5703125" style="273" customWidth="1"/>
    <col min="10513" max="10756" width="9.140625" style="273"/>
    <col min="10757" max="10757" width="5.5703125" style="273" customWidth="1"/>
    <col min="10758" max="10758" width="11.5703125" style="273" customWidth="1"/>
    <col min="10759" max="10759" width="35.7109375" style="273" customWidth="1"/>
    <col min="10760" max="10760" width="9.140625" style="273" customWidth="1"/>
    <col min="10761" max="10761" width="11.5703125" style="273" customWidth="1"/>
    <col min="10762" max="10762" width="15.7109375" style="273" customWidth="1"/>
    <col min="10763" max="10763" width="13.42578125" style="273" customWidth="1"/>
    <col min="10764" max="10764" width="19.140625" style="273" customWidth="1"/>
    <col min="10765" max="10765" width="8.140625" style="273" customWidth="1"/>
    <col min="10766" max="10766" width="12.140625" style="273" customWidth="1"/>
    <col min="10767" max="10767" width="14.42578125" style="273" customWidth="1"/>
    <col min="10768" max="10768" width="13.5703125" style="273" customWidth="1"/>
    <col min="10769" max="11012" width="9.140625" style="273"/>
    <col min="11013" max="11013" width="5.5703125" style="273" customWidth="1"/>
    <col min="11014" max="11014" width="11.5703125" style="273" customWidth="1"/>
    <col min="11015" max="11015" width="35.7109375" style="273" customWidth="1"/>
    <col min="11016" max="11016" width="9.140625" style="273" customWidth="1"/>
    <col min="11017" max="11017" width="11.5703125" style="273" customWidth="1"/>
    <col min="11018" max="11018" width="15.7109375" style="273" customWidth="1"/>
    <col min="11019" max="11019" width="13.42578125" style="273" customWidth="1"/>
    <col min="11020" max="11020" width="19.140625" style="273" customWidth="1"/>
    <col min="11021" max="11021" width="8.140625" style="273" customWidth="1"/>
    <col min="11022" max="11022" width="12.140625" style="273" customWidth="1"/>
    <col min="11023" max="11023" width="14.42578125" style="273" customWidth="1"/>
    <col min="11024" max="11024" width="13.5703125" style="273" customWidth="1"/>
    <col min="11025" max="11268" width="9.140625" style="273"/>
    <col min="11269" max="11269" width="5.5703125" style="273" customWidth="1"/>
    <col min="11270" max="11270" width="11.5703125" style="273" customWidth="1"/>
    <col min="11271" max="11271" width="35.7109375" style="273" customWidth="1"/>
    <col min="11272" max="11272" width="9.140625" style="273" customWidth="1"/>
    <col min="11273" max="11273" width="11.5703125" style="273" customWidth="1"/>
    <col min="11274" max="11274" width="15.7109375" style="273" customWidth="1"/>
    <col min="11275" max="11275" width="13.42578125" style="273" customWidth="1"/>
    <col min="11276" max="11276" width="19.140625" style="273" customWidth="1"/>
    <col min="11277" max="11277" width="8.140625" style="273" customWidth="1"/>
    <col min="11278" max="11278" width="12.140625" style="273" customWidth="1"/>
    <col min="11279" max="11279" width="14.42578125" style="273" customWidth="1"/>
    <col min="11280" max="11280" width="13.5703125" style="273" customWidth="1"/>
    <col min="11281" max="11524" width="9.140625" style="273"/>
    <col min="11525" max="11525" width="5.5703125" style="273" customWidth="1"/>
    <col min="11526" max="11526" width="11.5703125" style="273" customWidth="1"/>
    <col min="11527" max="11527" width="35.7109375" style="273" customWidth="1"/>
    <col min="11528" max="11528" width="9.140625" style="273" customWidth="1"/>
    <col min="11529" max="11529" width="11.5703125" style="273" customWidth="1"/>
    <col min="11530" max="11530" width="15.7109375" style="273" customWidth="1"/>
    <col min="11531" max="11531" width="13.42578125" style="273" customWidth="1"/>
    <col min="11532" max="11532" width="19.140625" style="273" customWidth="1"/>
    <col min="11533" max="11533" width="8.140625" style="273" customWidth="1"/>
    <col min="11534" max="11534" width="12.140625" style="273" customWidth="1"/>
    <col min="11535" max="11535" width="14.42578125" style="273" customWidth="1"/>
    <col min="11536" max="11536" width="13.5703125" style="273" customWidth="1"/>
    <col min="11537" max="11780" width="9.140625" style="273"/>
    <col min="11781" max="11781" width="5.5703125" style="273" customWidth="1"/>
    <col min="11782" max="11782" width="11.5703125" style="273" customWidth="1"/>
    <col min="11783" max="11783" width="35.7109375" style="273" customWidth="1"/>
    <col min="11784" max="11784" width="9.140625" style="273" customWidth="1"/>
    <col min="11785" max="11785" width="11.5703125" style="273" customWidth="1"/>
    <col min="11786" max="11786" width="15.7109375" style="273" customWidth="1"/>
    <col min="11787" max="11787" width="13.42578125" style="273" customWidth="1"/>
    <col min="11788" max="11788" width="19.140625" style="273" customWidth="1"/>
    <col min="11789" max="11789" width="8.140625" style="273" customWidth="1"/>
    <col min="11790" max="11790" width="12.140625" style="273" customWidth="1"/>
    <col min="11791" max="11791" width="14.42578125" style="273" customWidth="1"/>
    <col min="11792" max="11792" width="13.5703125" style="273" customWidth="1"/>
    <col min="11793" max="12036" width="9.140625" style="273"/>
    <col min="12037" max="12037" width="5.5703125" style="273" customWidth="1"/>
    <col min="12038" max="12038" width="11.5703125" style="273" customWidth="1"/>
    <col min="12039" max="12039" width="35.7109375" style="273" customWidth="1"/>
    <col min="12040" max="12040" width="9.140625" style="273" customWidth="1"/>
    <col min="12041" max="12041" width="11.5703125" style="273" customWidth="1"/>
    <col min="12042" max="12042" width="15.7109375" style="273" customWidth="1"/>
    <col min="12043" max="12043" width="13.42578125" style="273" customWidth="1"/>
    <col min="12044" max="12044" width="19.140625" style="273" customWidth="1"/>
    <col min="12045" max="12045" width="8.140625" style="273" customWidth="1"/>
    <col min="12046" max="12046" width="12.140625" style="273" customWidth="1"/>
    <col min="12047" max="12047" width="14.42578125" style="273" customWidth="1"/>
    <col min="12048" max="12048" width="13.5703125" style="273" customWidth="1"/>
    <col min="12049" max="12292" width="9.140625" style="273"/>
    <col min="12293" max="12293" width="5.5703125" style="273" customWidth="1"/>
    <col min="12294" max="12294" width="11.5703125" style="273" customWidth="1"/>
    <col min="12295" max="12295" width="35.7109375" style="273" customWidth="1"/>
    <col min="12296" max="12296" width="9.140625" style="273" customWidth="1"/>
    <col min="12297" max="12297" width="11.5703125" style="273" customWidth="1"/>
    <col min="12298" max="12298" width="15.7109375" style="273" customWidth="1"/>
    <col min="12299" max="12299" width="13.42578125" style="273" customWidth="1"/>
    <col min="12300" max="12300" width="19.140625" style="273" customWidth="1"/>
    <col min="12301" max="12301" width="8.140625" style="273" customWidth="1"/>
    <col min="12302" max="12302" width="12.140625" style="273" customWidth="1"/>
    <col min="12303" max="12303" width="14.42578125" style="273" customWidth="1"/>
    <col min="12304" max="12304" width="13.5703125" style="273" customWidth="1"/>
    <col min="12305" max="12548" width="9.140625" style="273"/>
    <col min="12549" max="12549" width="5.5703125" style="273" customWidth="1"/>
    <col min="12550" max="12550" width="11.5703125" style="273" customWidth="1"/>
    <col min="12551" max="12551" width="35.7109375" style="273" customWidth="1"/>
    <col min="12552" max="12552" width="9.140625" style="273" customWidth="1"/>
    <col min="12553" max="12553" width="11.5703125" style="273" customWidth="1"/>
    <col min="12554" max="12554" width="15.7109375" style="273" customWidth="1"/>
    <col min="12555" max="12555" width="13.42578125" style="273" customWidth="1"/>
    <col min="12556" max="12556" width="19.140625" style="273" customWidth="1"/>
    <col min="12557" max="12557" width="8.140625" style="273" customWidth="1"/>
    <col min="12558" max="12558" width="12.140625" style="273" customWidth="1"/>
    <col min="12559" max="12559" width="14.42578125" style="273" customWidth="1"/>
    <col min="12560" max="12560" width="13.5703125" style="273" customWidth="1"/>
    <col min="12561" max="12804" width="9.140625" style="273"/>
    <col min="12805" max="12805" width="5.5703125" style="273" customWidth="1"/>
    <col min="12806" max="12806" width="11.5703125" style="273" customWidth="1"/>
    <col min="12807" max="12807" width="35.7109375" style="273" customWidth="1"/>
    <col min="12808" max="12808" width="9.140625" style="273" customWidth="1"/>
    <col min="12809" max="12809" width="11.5703125" style="273" customWidth="1"/>
    <col min="12810" max="12810" width="15.7109375" style="273" customWidth="1"/>
    <col min="12811" max="12811" width="13.42578125" style="273" customWidth="1"/>
    <col min="12812" max="12812" width="19.140625" style="273" customWidth="1"/>
    <col min="12813" max="12813" width="8.140625" style="273" customWidth="1"/>
    <col min="12814" max="12814" width="12.140625" style="273" customWidth="1"/>
    <col min="12815" max="12815" width="14.42578125" style="273" customWidth="1"/>
    <col min="12816" max="12816" width="13.5703125" style="273" customWidth="1"/>
    <col min="12817" max="13060" width="9.140625" style="273"/>
    <col min="13061" max="13061" width="5.5703125" style="273" customWidth="1"/>
    <col min="13062" max="13062" width="11.5703125" style="273" customWidth="1"/>
    <col min="13063" max="13063" width="35.7109375" style="273" customWidth="1"/>
    <col min="13064" max="13064" width="9.140625" style="273" customWidth="1"/>
    <col min="13065" max="13065" width="11.5703125" style="273" customWidth="1"/>
    <col min="13066" max="13066" width="15.7109375" style="273" customWidth="1"/>
    <col min="13067" max="13067" width="13.42578125" style="273" customWidth="1"/>
    <col min="13068" max="13068" width="19.140625" style="273" customWidth="1"/>
    <col min="13069" max="13069" width="8.140625" style="273" customWidth="1"/>
    <col min="13070" max="13070" width="12.140625" style="273" customWidth="1"/>
    <col min="13071" max="13071" width="14.42578125" style="273" customWidth="1"/>
    <col min="13072" max="13072" width="13.5703125" style="273" customWidth="1"/>
    <col min="13073" max="13316" width="9.140625" style="273"/>
    <col min="13317" max="13317" width="5.5703125" style="273" customWidth="1"/>
    <col min="13318" max="13318" width="11.5703125" style="273" customWidth="1"/>
    <col min="13319" max="13319" width="35.7109375" style="273" customWidth="1"/>
    <col min="13320" max="13320" width="9.140625" style="273" customWidth="1"/>
    <col min="13321" max="13321" width="11.5703125" style="273" customWidth="1"/>
    <col min="13322" max="13322" width="15.7109375" style="273" customWidth="1"/>
    <col min="13323" max="13323" width="13.42578125" style="273" customWidth="1"/>
    <col min="13324" max="13324" width="19.140625" style="273" customWidth="1"/>
    <col min="13325" max="13325" width="8.140625" style="273" customWidth="1"/>
    <col min="13326" max="13326" width="12.140625" style="273" customWidth="1"/>
    <col min="13327" max="13327" width="14.42578125" style="273" customWidth="1"/>
    <col min="13328" max="13328" width="13.5703125" style="273" customWidth="1"/>
    <col min="13329" max="13572" width="9.140625" style="273"/>
    <col min="13573" max="13573" width="5.5703125" style="273" customWidth="1"/>
    <col min="13574" max="13574" width="11.5703125" style="273" customWidth="1"/>
    <col min="13575" max="13575" width="35.7109375" style="273" customWidth="1"/>
    <col min="13576" max="13576" width="9.140625" style="273" customWidth="1"/>
    <col min="13577" max="13577" width="11.5703125" style="273" customWidth="1"/>
    <col min="13578" max="13578" width="15.7109375" style="273" customWidth="1"/>
    <col min="13579" max="13579" width="13.42578125" style="273" customWidth="1"/>
    <col min="13580" max="13580" width="19.140625" style="273" customWidth="1"/>
    <col min="13581" max="13581" width="8.140625" style="273" customWidth="1"/>
    <col min="13582" max="13582" width="12.140625" style="273" customWidth="1"/>
    <col min="13583" max="13583" width="14.42578125" style="273" customWidth="1"/>
    <col min="13584" max="13584" width="13.5703125" style="273" customWidth="1"/>
    <col min="13585" max="13828" width="9.140625" style="273"/>
    <col min="13829" max="13829" width="5.5703125" style="273" customWidth="1"/>
    <col min="13830" max="13830" width="11.5703125" style="273" customWidth="1"/>
    <col min="13831" max="13831" width="35.7109375" style="273" customWidth="1"/>
    <col min="13832" max="13832" width="9.140625" style="273" customWidth="1"/>
    <col min="13833" max="13833" width="11.5703125" style="273" customWidth="1"/>
    <col min="13834" max="13834" width="15.7109375" style="273" customWidth="1"/>
    <col min="13835" max="13835" width="13.42578125" style="273" customWidth="1"/>
    <col min="13836" max="13836" width="19.140625" style="273" customWidth="1"/>
    <col min="13837" max="13837" width="8.140625" style="273" customWidth="1"/>
    <col min="13838" max="13838" width="12.140625" style="273" customWidth="1"/>
    <col min="13839" max="13839" width="14.42578125" style="273" customWidth="1"/>
    <col min="13840" max="13840" width="13.5703125" style="273" customWidth="1"/>
    <col min="13841" max="14084" width="9.140625" style="273"/>
    <col min="14085" max="14085" width="5.5703125" style="273" customWidth="1"/>
    <col min="14086" max="14086" width="11.5703125" style="273" customWidth="1"/>
    <col min="14087" max="14087" width="35.7109375" style="273" customWidth="1"/>
    <col min="14088" max="14088" width="9.140625" style="273" customWidth="1"/>
    <col min="14089" max="14089" width="11.5703125" style="273" customWidth="1"/>
    <col min="14090" max="14090" width="15.7109375" style="273" customWidth="1"/>
    <col min="14091" max="14091" width="13.42578125" style="273" customWidth="1"/>
    <col min="14092" max="14092" width="19.140625" style="273" customWidth="1"/>
    <col min="14093" max="14093" width="8.140625" style="273" customWidth="1"/>
    <col min="14094" max="14094" width="12.140625" style="273" customWidth="1"/>
    <col min="14095" max="14095" width="14.42578125" style="273" customWidth="1"/>
    <col min="14096" max="14096" width="13.5703125" style="273" customWidth="1"/>
    <col min="14097" max="14340" width="9.140625" style="273"/>
    <col min="14341" max="14341" width="5.5703125" style="273" customWidth="1"/>
    <col min="14342" max="14342" width="11.5703125" style="273" customWidth="1"/>
    <col min="14343" max="14343" width="35.7109375" style="273" customWidth="1"/>
    <col min="14344" max="14344" width="9.140625" style="273" customWidth="1"/>
    <col min="14345" max="14345" width="11.5703125" style="273" customWidth="1"/>
    <col min="14346" max="14346" width="15.7109375" style="273" customWidth="1"/>
    <col min="14347" max="14347" width="13.42578125" style="273" customWidth="1"/>
    <col min="14348" max="14348" width="19.140625" style="273" customWidth="1"/>
    <col min="14349" max="14349" width="8.140625" style="273" customWidth="1"/>
    <col min="14350" max="14350" width="12.140625" style="273" customWidth="1"/>
    <col min="14351" max="14351" width="14.42578125" style="273" customWidth="1"/>
    <col min="14352" max="14352" width="13.5703125" style="273" customWidth="1"/>
    <col min="14353" max="14596" width="9.140625" style="273"/>
    <col min="14597" max="14597" width="5.5703125" style="273" customWidth="1"/>
    <col min="14598" max="14598" width="11.5703125" style="273" customWidth="1"/>
    <col min="14599" max="14599" width="35.7109375" style="273" customWidth="1"/>
    <col min="14600" max="14600" width="9.140625" style="273" customWidth="1"/>
    <col min="14601" max="14601" width="11.5703125" style="273" customWidth="1"/>
    <col min="14602" max="14602" width="15.7109375" style="273" customWidth="1"/>
    <col min="14603" max="14603" width="13.42578125" style="273" customWidth="1"/>
    <col min="14604" max="14604" width="19.140625" style="273" customWidth="1"/>
    <col min="14605" max="14605" width="8.140625" style="273" customWidth="1"/>
    <col min="14606" max="14606" width="12.140625" style="273" customWidth="1"/>
    <col min="14607" max="14607" width="14.42578125" style="273" customWidth="1"/>
    <col min="14608" max="14608" width="13.5703125" style="273" customWidth="1"/>
    <col min="14609" max="14852" width="9.140625" style="273"/>
    <col min="14853" max="14853" width="5.5703125" style="273" customWidth="1"/>
    <col min="14854" max="14854" width="11.5703125" style="273" customWidth="1"/>
    <col min="14855" max="14855" width="35.7109375" style="273" customWidth="1"/>
    <col min="14856" max="14856" width="9.140625" style="273" customWidth="1"/>
    <col min="14857" max="14857" width="11.5703125" style="273" customWidth="1"/>
    <col min="14858" max="14858" width="15.7109375" style="273" customWidth="1"/>
    <col min="14859" max="14859" width="13.42578125" style="273" customWidth="1"/>
    <col min="14860" max="14860" width="19.140625" style="273" customWidth="1"/>
    <col min="14861" max="14861" width="8.140625" style="273" customWidth="1"/>
    <col min="14862" max="14862" width="12.140625" style="273" customWidth="1"/>
    <col min="14863" max="14863" width="14.42578125" style="273" customWidth="1"/>
    <col min="14864" max="14864" width="13.5703125" style="273" customWidth="1"/>
    <col min="14865" max="15108" width="9.140625" style="273"/>
    <col min="15109" max="15109" width="5.5703125" style="273" customWidth="1"/>
    <col min="15110" max="15110" width="11.5703125" style="273" customWidth="1"/>
    <col min="15111" max="15111" width="35.7109375" style="273" customWidth="1"/>
    <col min="15112" max="15112" width="9.140625" style="273" customWidth="1"/>
    <col min="15113" max="15113" width="11.5703125" style="273" customWidth="1"/>
    <col min="15114" max="15114" width="15.7109375" style="273" customWidth="1"/>
    <col min="15115" max="15115" width="13.42578125" style="273" customWidth="1"/>
    <col min="15116" max="15116" width="19.140625" style="273" customWidth="1"/>
    <col min="15117" max="15117" width="8.140625" style="273" customWidth="1"/>
    <col min="15118" max="15118" width="12.140625" style="273" customWidth="1"/>
    <col min="15119" max="15119" width="14.42578125" style="273" customWidth="1"/>
    <col min="15120" max="15120" width="13.5703125" style="273" customWidth="1"/>
    <col min="15121" max="15364" width="9.140625" style="273"/>
    <col min="15365" max="15365" width="5.5703125" style="273" customWidth="1"/>
    <col min="15366" max="15366" width="11.5703125" style="273" customWidth="1"/>
    <col min="15367" max="15367" width="35.7109375" style="273" customWidth="1"/>
    <col min="15368" max="15368" width="9.140625" style="273" customWidth="1"/>
    <col min="15369" max="15369" width="11.5703125" style="273" customWidth="1"/>
    <col min="15370" max="15370" width="15.7109375" style="273" customWidth="1"/>
    <col min="15371" max="15371" width="13.42578125" style="273" customWidth="1"/>
    <col min="15372" max="15372" width="19.140625" style="273" customWidth="1"/>
    <col min="15373" max="15373" width="8.140625" style="273" customWidth="1"/>
    <col min="15374" max="15374" width="12.140625" style="273" customWidth="1"/>
    <col min="15375" max="15375" width="14.42578125" style="273" customWidth="1"/>
    <col min="15376" max="15376" width="13.5703125" style="273" customWidth="1"/>
    <col min="15377" max="15620" width="9.140625" style="273"/>
    <col min="15621" max="15621" width="5.5703125" style="273" customWidth="1"/>
    <col min="15622" max="15622" width="11.5703125" style="273" customWidth="1"/>
    <col min="15623" max="15623" width="35.7109375" style="273" customWidth="1"/>
    <col min="15624" max="15624" width="9.140625" style="273" customWidth="1"/>
    <col min="15625" max="15625" width="11.5703125" style="273" customWidth="1"/>
    <col min="15626" max="15626" width="15.7109375" style="273" customWidth="1"/>
    <col min="15627" max="15627" width="13.42578125" style="273" customWidth="1"/>
    <col min="15628" max="15628" width="19.140625" style="273" customWidth="1"/>
    <col min="15629" max="15629" width="8.140625" style="273" customWidth="1"/>
    <col min="15630" max="15630" width="12.140625" style="273" customWidth="1"/>
    <col min="15631" max="15631" width="14.42578125" style="273" customWidth="1"/>
    <col min="15632" max="15632" width="13.5703125" style="273" customWidth="1"/>
    <col min="15633" max="15876" width="9.140625" style="273"/>
    <col min="15877" max="15877" width="5.5703125" style="273" customWidth="1"/>
    <col min="15878" max="15878" width="11.5703125" style="273" customWidth="1"/>
    <col min="15879" max="15879" width="35.7109375" style="273" customWidth="1"/>
    <col min="15880" max="15880" width="9.140625" style="273" customWidth="1"/>
    <col min="15881" max="15881" width="11.5703125" style="273" customWidth="1"/>
    <col min="15882" max="15882" width="15.7109375" style="273" customWidth="1"/>
    <col min="15883" max="15883" width="13.42578125" style="273" customWidth="1"/>
    <col min="15884" max="15884" width="19.140625" style="273" customWidth="1"/>
    <col min="15885" max="15885" width="8.140625" style="273" customWidth="1"/>
    <col min="15886" max="15886" width="12.140625" style="273" customWidth="1"/>
    <col min="15887" max="15887" width="14.42578125" style="273" customWidth="1"/>
    <col min="15888" max="15888" width="13.5703125" style="273" customWidth="1"/>
    <col min="15889" max="16132" width="9.140625" style="273"/>
    <col min="16133" max="16133" width="5.5703125" style="273" customWidth="1"/>
    <col min="16134" max="16134" width="11.5703125" style="273" customWidth="1"/>
    <col min="16135" max="16135" width="35.7109375" style="273" customWidth="1"/>
    <col min="16136" max="16136" width="9.140625" style="273" customWidth="1"/>
    <col min="16137" max="16137" width="11.5703125" style="273" customWidth="1"/>
    <col min="16138" max="16138" width="15.7109375" style="273" customWidth="1"/>
    <col min="16139" max="16139" width="13.42578125" style="273" customWidth="1"/>
    <col min="16140" max="16140" width="19.140625" style="273" customWidth="1"/>
    <col min="16141" max="16141" width="8.140625" style="273" customWidth="1"/>
    <col min="16142" max="16142" width="12.140625" style="273" customWidth="1"/>
    <col min="16143" max="16143" width="14.42578125" style="273" customWidth="1"/>
    <col min="16144" max="16144" width="13.5703125" style="273" customWidth="1"/>
    <col min="16145" max="16384" width="9.140625" style="273"/>
  </cols>
  <sheetData>
    <row r="1" spans="1:25" x14ac:dyDescent="0.2">
      <c r="X1" s="310" t="s">
        <v>610</v>
      </c>
    </row>
    <row r="2" spans="1:25" x14ac:dyDescent="0.2">
      <c r="X2" s="310" t="s">
        <v>611</v>
      </c>
    </row>
    <row r="3" spans="1:25" x14ac:dyDescent="0.2">
      <c r="X3" s="310" t="s">
        <v>612</v>
      </c>
    </row>
    <row r="4" spans="1:25" x14ac:dyDescent="0.2">
      <c r="X4" s="310" t="s">
        <v>778</v>
      </c>
    </row>
    <row r="5" spans="1:25" s="311" customFormat="1" ht="27.75" customHeight="1" x14ac:dyDescent="0.25">
      <c r="A5" s="857" t="s">
        <v>609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  <c r="S5" s="857"/>
      <c r="T5" s="857"/>
      <c r="U5" s="857"/>
      <c r="V5" s="857"/>
      <c r="X5" s="312"/>
    </row>
    <row r="6" spans="1:25" ht="20.25" customHeight="1" x14ac:dyDescent="0.2">
      <c r="A6" s="858" t="s">
        <v>560</v>
      </c>
      <c r="B6" s="859" t="s">
        <v>326</v>
      </c>
      <c r="C6" s="860" t="s">
        <v>561</v>
      </c>
      <c r="D6" s="861" t="s">
        <v>562</v>
      </c>
      <c r="E6" s="854" t="s">
        <v>608</v>
      </c>
      <c r="F6" s="862" t="s">
        <v>449</v>
      </c>
      <c r="G6" s="863"/>
      <c r="H6" s="863"/>
      <c r="I6" s="863"/>
      <c r="J6" s="863"/>
      <c r="K6" s="863"/>
      <c r="L6" s="863"/>
      <c r="M6" s="863"/>
      <c r="N6" s="863"/>
      <c r="O6" s="854" t="s">
        <v>724</v>
      </c>
      <c r="P6" s="862" t="s">
        <v>449</v>
      </c>
      <c r="Q6" s="863"/>
      <c r="R6" s="863"/>
      <c r="S6" s="863"/>
      <c r="T6" s="863"/>
      <c r="U6" s="864"/>
      <c r="V6" s="854" t="s">
        <v>563</v>
      </c>
      <c r="W6" s="850" t="s">
        <v>564</v>
      </c>
      <c r="X6" s="854" t="s">
        <v>413</v>
      </c>
    </row>
    <row r="7" spans="1:25" ht="37.5" customHeight="1" x14ac:dyDescent="0.2">
      <c r="A7" s="858"/>
      <c r="B7" s="859"/>
      <c r="C7" s="860"/>
      <c r="D7" s="861"/>
      <c r="E7" s="854"/>
      <c r="F7" s="854" t="s">
        <v>565</v>
      </c>
      <c r="G7" s="854" t="s">
        <v>449</v>
      </c>
      <c r="H7" s="854"/>
      <c r="I7" s="850" t="s">
        <v>566</v>
      </c>
      <c r="J7" s="865" t="s">
        <v>777</v>
      </c>
      <c r="K7" s="855" t="s">
        <v>738</v>
      </c>
      <c r="L7" s="852" t="s">
        <v>567</v>
      </c>
      <c r="M7" s="787" t="s">
        <v>754</v>
      </c>
      <c r="N7" s="854" t="s">
        <v>613</v>
      </c>
      <c r="O7" s="854"/>
      <c r="P7" s="854" t="s">
        <v>568</v>
      </c>
      <c r="Q7" s="850" t="s">
        <v>739</v>
      </c>
      <c r="R7" s="852" t="s">
        <v>569</v>
      </c>
      <c r="S7" s="852" t="s">
        <v>570</v>
      </c>
      <c r="T7" s="850" t="s">
        <v>755</v>
      </c>
      <c r="U7" s="850" t="s">
        <v>571</v>
      </c>
      <c r="V7" s="854"/>
      <c r="W7" s="853"/>
      <c r="X7" s="854"/>
    </row>
    <row r="8" spans="1:25" ht="93" customHeight="1" x14ac:dyDescent="0.2">
      <c r="A8" s="858"/>
      <c r="B8" s="859"/>
      <c r="C8" s="860"/>
      <c r="D8" s="861"/>
      <c r="E8" s="854"/>
      <c r="F8" s="854"/>
      <c r="G8" s="275" t="s">
        <v>572</v>
      </c>
      <c r="H8" s="275" t="s">
        <v>573</v>
      </c>
      <c r="I8" s="851"/>
      <c r="J8" s="866"/>
      <c r="K8" s="856"/>
      <c r="L8" s="852"/>
      <c r="M8" s="788" t="s">
        <v>763</v>
      </c>
      <c r="N8" s="854"/>
      <c r="O8" s="854"/>
      <c r="P8" s="854"/>
      <c r="Q8" s="851"/>
      <c r="R8" s="852"/>
      <c r="S8" s="852"/>
      <c r="T8" s="851"/>
      <c r="U8" s="851"/>
      <c r="V8" s="854"/>
      <c r="W8" s="851"/>
      <c r="X8" s="854"/>
    </row>
    <row r="9" spans="1:25" x14ac:dyDescent="0.2">
      <c r="A9" s="276">
        <v>1</v>
      </c>
      <c r="B9" s="277" t="s">
        <v>76</v>
      </c>
      <c r="C9" s="278" t="s">
        <v>77</v>
      </c>
      <c r="D9" s="279" t="s">
        <v>574</v>
      </c>
      <c r="E9" s="280">
        <v>3062</v>
      </c>
      <c r="F9" s="280">
        <v>0</v>
      </c>
      <c r="G9" s="280">
        <v>0</v>
      </c>
      <c r="H9" s="280"/>
      <c r="I9" s="280">
        <v>0</v>
      </c>
      <c r="J9" s="280">
        <v>2</v>
      </c>
      <c r="K9" s="280">
        <v>0</v>
      </c>
      <c r="L9" s="280"/>
      <c r="M9" s="280"/>
      <c r="N9" s="280">
        <v>3060</v>
      </c>
      <c r="O9" s="279"/>
      <c r="P9" s="279"/>
      <c r="Q9" s="279"/>
      <c r="R9" s="279"/>
      <c r="S9" s="279"/>
      <c r="T9" s="279"/>
      <c r="U9" s="279"/>
      <c r="V9" s="280">
        <v>3062</v>
      </c>
      <c r="W9" s="280">
        <v>0</v>
      </c>
      <c r="X9" s="280">
        <f>V9+W9</f>
        <v>3062</v>
      </c>
      <c r="Y9" s="281"/>
    </row>
    <row r="10" spans="1:25" ht="11.25" customHeight="1" x14ac:dyDescent="0.2">
      <c r="A10" s="276">
        <v>2</v>
      </c>
      <c r="B10" s="282" t="s">
        <v>210</v>
      </c>
      <c r="C10" s="278" t="s">
        <v>211</v>
      </c>
      <c r="D10" s="279" t="s">
        <v>574</v>
      </c>
      <c r="E10" s="280">
        <v>1884</v>
      </c>
      <c r="F10" s="280">
        <v>0</v>
      </c>
      <c r="G10" s="280">
        <v>0</v>
      </c>
      <c r="H10" s="280"/>
      <c r="I10" s="280">
        <v>0</v>
      </c>
      <c r="J10" s="280">
        <v>0</v>
      </c>
      <c r="K10" s="280">
        <v>0</v>
      </c>
      <c r="L10" s="280"/>
      <c r="M10" s="280"/>
      <c r="N10" s="280">
        <v>1884</v>
      </c>
      <c r="O10" s="279"/>
      <c r="P10" s="279"/>
      <c r="Q10" s="279"/>
      <c r="R10" s="279"/>
      <c r="S10" s="279"/>
      <c r="T10" s="279"/>
      <c r="U10" s="279"/>
      <c r="V10" s="280">
        <v>1884</v>
      </c>
      <c r="W10" s="280">
        <v>0</v>
      </c>
      <c r="X10" s="280">
        <f t="shared" ref="X10:X71" si="0">V10+W10</f>
        <v>1884</v>
      </c>
    </row>
    <row r="11" spans="1:25" x14ac:dyDescent="0.2">
      <c r="A11" s="276">
        <v>3</v>
      </c>
      <c r="B11" s="277" t="s">
        <v>78</v>
      </c>
      <c r="C11" s="278" t="s">
        <v>79</v>
      </c>
      <c r="D11" s="279" t="s">
        <v>574</v>
      </c>
      <c r="E11" s="280">
        <v>4018</v>
      </c>
      <c r="F11" s="280">
        <v>0</v>
      </c>
      <c r="G11" s="280">
        <v>0</v>
      </c>
      <c r="H11" s="280"/>
      <c r="I11" s="280">
        <v>0</v>
      </c>
      <c r="J11" s="280">
        <v>0</v>
      </c>
      <c r="K11" s="280">
        <v>0</v>
      </c>
      <c r="L11" s="280"/>
      <c r="M11" s="280"/>
      <c r="N11" s="280">
        <v>4018</v>
      </c>
      <c r="O11" s="279"/>
      <c r="P11" s="279"/>
      <c r="Q11" s="279"/>
      <c r="R11" s="279"/>
      <c r="S11" s="279"/>
      <c r="T11" s="279"/>
      <c r="U11" s="279"/>
      <c r="V11" s="280">
        <v>4018</v>
      </c>
      <c r="W11" s="280">
        <v>0</v>
      </c>
      <c r="X11" s="280">
        <f t="shared" si="0"/>
        <v>4018</v>
      </c>
    </row>
    <row r="12" spans="1:25" x14ac:dyDescent="0.2">
      <c r="A12" s="276">
        <v>4</v>
      </c>
      <c r="B12" s="283" t="s">
        <v>54</v>
      </c>
      <c r="C12" s="278" t="s">
        <v>55</v>
      </c>
      <c r="D12" s="279" t="s">
        <v>574</v>
      </c>
      <c r="E12" s="280">
        <v>2213</v>
      </c>
      <c r="F12" s="280">
        <v>0</v>
      </c>
      <c r="G12" s="280">
        <v>0</v>
      </c>
      <c r="H12" s="280"/>
      <c r="I12" s="280">
        <v>0</v>
      </c>
      <c r="J12" s="280">
        <v>5</v>
      </c>
      <c r="K12" s="280">
        <v>0</v>
      </c>
      <c r="L12" s="280"/>
      <c r="M12" s="280"/>
      <c r="N12" s="280">
        <v>2208</v>
      </c>
      <c r="O12" s="279"/>
      <c r="P12" s="279"/>
      <c r="Q12" s="279"/>
      <c r="R12" s="279"/>
      <c r="S12" s="279"/>
      <c r="T12" s="279"/>
      <c r="U12" s="279"/>
      <c r="V12" s="280">
        <v>2213</v>
      </c>
      <c r="W12" s="280">
        <v>0</v>
      </c>
      <c r="X12" s="280">
        <f t="shared" si="0"/>
        <v>2213</v>
      </c>
    </row>
    <row r="13" spans="1:25" x14ac:dyDescent="0.2">
      <c r="A13" s="276">
        <v>5</v>
      </c>
      <c r="B13" s="277" t="s">
        <v>80</v>
      </c>
      <c r="C13" s="278" t="s">
        <v>81</v>
      </c>
      <c r="D13" s="279" t="s">
        <v>574</v>
      </c>
      <c r="E13" s="280">
        <v>6499</v>
      </c>
      <c r="F13" s="280">
        <v>0</v>
      </c>
      <c r="G13" s="280">
        <v>0</v>
      </c>
      <c r="H13" s="280"/>
      <c r="I13" s="280">
        <v>0</v>
      </c>
      <c r="J13" s="280">
        <v>0</v>
      </c>
      <c r="K13" s="280">
        <v>0</v>
      </c>
      <c r="L13" s="280"/>
      <c r="M13" s="280"/>
      <c r="N13" s="280">
        <v>6499</v>
      </c>
      <c r="O13" s="279"/>
      <c r="P13" s="279"/>
      <c r="Q13" s="279"/>
      <c r="R13" s="279"/>
      <c r="S13" s="279"/>
      <c r="T13" s="279"/>
      <c r="U13" s="279"/>
      <c r="V13" s="280">
        <v>6499</v>
      </c>
      <c r="W13" s="280">
        <v>0</v>
      </c>
      <c r="X13" s="280">
        <f t="shared" si="0"/>
        <v>6499</v>
      </c>
    </row>
    <row r="14" spans="1:25" x14ac:dyDescent="0.2">
      <c r="A14" s="276">
        <v>6</v>
      </c>
      <c r="B14" s="283" t="s">
        <v>118</v>
      </c>
      <c r="C14" s="278" t="s">
        <v>119</v>
      </c>
      <c r="D14" s="279" t="s">
        <v>574</v>
      </c>
      <c r="E14" s="280">
        <v>2955</v>
      </c>
      <c r="F14" s="280">
        <v>0</v>
      </c>
      <c r="G14" s="280">
        <v>0</v>
      </c>
      <c r="H14" s="280"/>
      <c r="I14" s="280">
        <v>0</v>
      </c>
      <c r="J14" s="280">
        <v>7</v>
      </c>
      <c r="K14" s="280">
        <v>0</v>
      </c>
      <c r="L14" s="280"/>
      <c r="M14" s="280"/>
      <c r="N14" s="280">
        <v>2948</v>
      </c>
      <c r="O14" s="279"/>
      <c r="P14" s="279"/>
      <c r="Q14" s="279"/>
      <c r="R14" s="279"/>
      <c r="S14" s="279"/>
      <c r="T14" s="279"/>
      <c r="U14" s="279"/>
      <c r="V14" s="280">
        <v>2955</v>
      </c>
      <c r="W14" s="280">
        <v>0</v>
      </c>
      <c r="X14" s="280">
        <f t="shared" si="0"/>
        <v>2955</v>
      </c>
    </row>
    <row r="15" spans="1:25" x14ac:dyDescent="0.2">
      <c r="A15" s="276">
        <v>7</v>
      </c>
      <c r="B15" s="282" t="s">
        <v>56</v>
      </c>
      <c r="C15" s="278" t="s">
        <v>57</v>
      </c>
      <c r="D15" s="279" t="s">
        <v>574</v>
      </c>
      <c r="E15" s="280">
        <v>1804</v>
      </c>
      <c r="F15" s="280">
        <v>0</v>
      </c>
      <c r="G15" s="280">
        <v>0</v>
      </c>
      <c r="H15" s="280"/>
      <c r="I15" s="280">
        <v>0</v>
      </c>
      <c r="J15" s="280">
        <v>4</v>
      </c>
      <c r="K15" s="280">
        <v>0</v>
      </c>
      <c r="L15" s="280"/>
      <c r="M15" s="280"/>
      <c r="N15" s="280">
        <v>1800</v>
      </c>
      <c r="O15" s="279"/>
      <c r="P15" s="279"/>
      <c r="Q15" s="279"/>
      <c r="R15" s="279"/>
      <c r="S15" s="279"/>
      <c r="T15" s="279"/>
      <c r="U15" s="279"/>
      <c r="V15" s="280">
        <v>1804</v>
      </c>
      <c r="W15" s="280">
        <v>0</v>
      </c>
      <c r="X15" s="280">
        <f t="shared" si="0"/>
        <v>1804</v>
      </c>
    </row>
    <row r="16" spans="1:25" x14ac:dyDescent="0.2">
      <c r="A16" s="276">
        <v>8</v>
      </c>
      <c r="B16" s="277" t="s">
        <v>212</v>
      </c>
      <c r="C16" s="278" t="s">
        <v>213</v>
      </c>
      <c r="D16" s="279" t="s">
        <v>574</v>
      </c>
      <c r="E16" s="280">
        <v>2127</v>
      </c>
      <c r="F16" s="280">
        <v>0</v>
      </c>
      <c r="G16" s="280">
        <v>0</v>
      </c>
      <c r="H16" s="280"/>
      <c r="I16" s="280">
        <v>0</v>
      </c>
      <c r="J16" s="280">
        <v>0</v>
      </c>
      <c r="K16" s="280">
        <v>0</v>
      </c>
      <c r="L16" s="280"/>
      <c r="M16" s="280"/>
      <c r="N16" s="280">
        <v>2127</v>
      </c>
      <c r="O16" s="279"/>
      <c r="P16" s="279"/>
      <c r="Q16" s="279"/>
      <c r="R16" s="279"/>
      <c r="S16" s="279"/>
      <c r="T16" s="279"/>
      <c r="U16" s="279"/>
      <c r="V16" s="280">
        <v>2127</v>
      </c>
      <c r="W16" s="280">
        <v>0</v>
      </c>
      <c r="X16" s="280">
        <f t="shared" si="0"/>
        <v>2127</v>
      </c>
    </row>
    <row r="17" spans="1:24" ht="12" customHeight="1" x14ac:dyDescent="0.2">
      <c r="A17" s="276">
        <v>9</v>
      </c>
      <c r="B17" s="284" t="s">
        <v>122</v>
      </c>
      <c r="C17" s="278" t="s">
        <v>123</v>
      </c>
      <c r="D17" s="279" t="s">
        <v>574</v>
      </c>
      <c r="E17" s="280">
        <v>2286</v>
      </c>
      <c r="F17" s="280">
        <v>0</v>
      </c>
      <c r="G17" s="280">
        <v>0</v>
      </c>
      <c r="H17" s="280"/>
      <c r="I17" s="280">
        <v>0</v>
      </c>
      <c r="J17" s="280">
        <v>0</v>
      </c>
      <c r="K17" s="280">
        <v>0</v>
      </c>
      <c r="L17" s="280"/>
      <c r="M17" s="280"/>
      <c r="N17" s="280">
        <v>2286</v>
      </c>
      <c r="O17" s="279"/>
      <c r="P17" s="279"/>
      <c r="Q17" s="279"/>
      <c r="R17" s="279"/>
      <c r="S17" s="279"/>
      <c r="T17" s="279"/>
      <c r="U17" s="279"/>
      <c r="V17" s="280">
        <v>2286</v>
      </c>
      <c r="W17" s="280">
        <v>0</v>
      </c>
      <c r="X17" s="280">
        <f t="shared" si="0"/>
        <v>2286</v>
      </c>
    </row>
    <row r="18" spans="1:24" x14ac:dyDescent="0.2">
      <c r="A18" s="276">
        <v>10</v>
      </c>
      <c r="B18" s="277" t="s">
        <v>214</v>
      </c>
      <c r="C18" s="278" t="s">
        <v>215</v>
      </c>
      <c r="D18" s="279" t="s">
        <v>574</v>
      </c>
      <c r="E18" s="280">
        <v>5098</v>
      </c>
      <c r="F18" s="280">
        <v>0</v>
      </c>
      <c r="G18" s="280">
        <v>0</v>
      </c>
      <c r="H18" s="280"/>
      <c r="I18" s="280">
        <v>0</v>
      </c>
      <c r="J18" s="280">
        <v>0</v>
      </c>
      <c r="K18" s="280">
        <v>0</v>
      </c>
      <c r="L18" s="280"/>
      <c r="M18" s="280"/>
      <c r="N18" s="280">
        <v>5098</v>
      </c>
      <c r="O18" s="279"/>
      <c r="P18" s="279"/>
      <c r="Q18" s="279"/>
      <c r="R18" s="279"/>
      <c r="S18" s="279"/>
      <c r="T18" s="279"/>
      <c r="U18" s="279"/>
      <c r="V18" s="280">
        <v>5098</v>
      </c>
      <c r="W18" s="280">
        <v>0</v>
      </c>
      <c r="X18" s="280">
        <f t="shared" si="0"/>
        <v>5098</v>
      </c>
    </row>
    <row r="19" spans="1:24" x14ac:dyDescent="0.2">
      <c r="A19" s="276">
        <v>11</v>
      </c>
      <c r="B19" s="282" t="s">
        <v>216</v>
      </c>
      <c r="C19" s="278" t="s">
        <v>217</v>
      </c>
      <c r="D19" s="279" t="s">
        <v>574</v>
      </c>
      <c r="E19" s="280">
        <v>2513</v>
      </c>
      <c r="F19" s="280">
        <v>0</v>
      </c>
      <c r="G19" s="280">
        <v>0</v>
      </c>
      <c r="H19" s="280"/>
      <c r="I19" s="280">
        <v>0</v>
      </c>
      <c r="J19" s="280">
        <v>16</v>
      </c>
      <c r="K19" s="280">
        <v>0</v>
      </c>
      <c r="L19" s="280"/>
      <c r="M19" s="280"/>
      <c r="N19" s="280">
        <v>2497</v>
      </c>
      <c r="O19" s="279"/>
      <c r="P19" s="279"/>
      <c r="Q19" s="279"/>
      <c r="R19" s="279"/>
      <c r="S19" s="279"/>
      <c r="T19" s="279"/>
      <c r="U19" s="279"/>
      <c r="V19" s="280">
        <v>2513</v>
      </c>
      <c r="W19" s="280">
        <v>0</v>
      </c>
      <c r="X19" s="280">
        <f t="shared" si="0"/>
        <v>2513</v>
      </c>
    </row>
    <row r="20" spans="1:24" x14ac:dyDescent="0.2">
      <c r="A20" s="276">
        <v>12</v>
      </c>
      <c r="B20" s="282" t="s">
        <v>124</v>
      </c>
      <c r="C20" s="278" t="s">
        <v>125</v>
      </c>
      <c r="D20" s="279" t="s">
        <v>574</v>
      </c>
      <c r="E20" s="280">
        <v>3451</v>
      </c>
      <c r="F20" s="280">
        <v>2</v>
      </c>
      <c r="G20" s="280">
        <v>0</v>
      </c>
      <c r="H20" s="280">
        <v>2</v>
      </c>
      <c r="I20" s="280">
        <v>0</v>
      </c>
      <c r="J20" s="280">
        <v>3</v>
      </c>
      <c r="K20" s="280">
        <v>0</v>
      </c>
      <c r="L20" s="280"/>
      <c r="M20" s="280"/>
      <c r="N20" s="280">
        <v>3446</v>
      </c>
      <c r="O20" s="279"/>
      <c r="P20" s="279"/>
      <c r="Q20" s="279"/>
      <c r="R20" s="279"/>
      <c r="S20" s="279"/>
      <c r="T20" s="279"/>
      <c r="U20" s="279"/>
      <c r="V20" s="280">
        <v>3451</v>
      </c>
      <c r="W20" s="280">
        <v>0</v>
      </c>
      <c r="X20" s="280">
        <f t="shared" si="0"/>
        <v>3451</v>
      </c>
    </row>
    <row r="21" spans="1:24" x14ac:dyDescent="0.2">
      <c r="A21" s="276">
        <v>13</v>
      </c>
      <c r="B21" s="283" t="s">
        <v>58</v>
      </c>
      <c r="C21" s="278" t="s">
        <v>59</v>
      </c>
      <c r="D21" s="279" t="s">
        <v>574</v>
      </c>
      <c r="E21" s="280">
        <v>1994</v>
      </c>
      <c r="F21" s="280">
        <v>0</v>
      </c>
      <c r="G21" s="280">
        <v>0</v>
      </c>
      <c r="H21" s="280"/>
      <c r="I21" s="280">
        <v>0</v>
      </c>
      <c r="J21" s="280">
        <v>0</v>
      </c>
      <c r="K21" s="280">
        <v>0</v>
      </c>
      <c r="L21" s="280"/>
      <c r="M21" s="280"/>
      <c r="N21" s="280">
        <v>1994</v>
      </c>
      <c r="O21" s="279"/>
      <c r="P21" s="279"/>
      <c r="Q21" s="279"/>
      <c r="R21" s="279"/>
      <c r="S21" s="279"/>
      <c r="T21" s="279"/>
      <c r="U21" s="279"/>
      <c r="V21" s="280">
        <v>1994</v>
      </c>
      <c r="W21" s="280">
        <v>0</v>
      </c>
      <c r="X21" s="280">
        <f t="shared" si="0"/>
        <v>1994</v>
      </c>
    </row>
    <row r="22" spans="1:24" x14ac:dyDescent="0.2">
      <c r="A22" s="276">
        <v>14</v>
      </c>
      <c r="B22" s="283" t="s">
        <v>82</v>
      </c>
      <c r="C22" s="278" t="s">
        <v>83</v>
      </c>
      <c r="D22" s="279" t="s">
        <v>574</v>
      </c>
      <c r="E22" s="280">
        <v>1613</v>
      </c>
      <c r="F22" s="280">
        <v>0</v>
      </c>
      <c r="G22" s="280">
        <v>0</v>
      </c>
      <c r="H22" s="280"/>
      <c r="I22" s="280">
        <v>0</v>
      </c>
      <c r="J22" s="280">
        <v>3</v>
      </c>
      <c r="K22" s="280">
        <v>0</v>
      </c>
      <c r="L22" s="280"/>
      <c r="M22" s="280"/>
      <c r="N22" s="280">
        <v>1610</v>
      </c>
      <c r="O22" s="279"/>
      <c r="P22" s="279"/>
      <c r="Q22" s="279"/>
      <c r="R22" s="279"/>
      <c r="S22" s="279"/>
      <c r="T22" s="279"/>
      <c r="U22" s="279"/>
      <c r="V22" s="280">
        <v>1613</v>
      </c>
      <c r="W22" s="280">
        <v>0</v>
      </c>
      <c r="X22" s="280">
        <f t="shared" si="0"/>
        <v>1613</v>
      </c>
    </row>
    <row r="23" spans="1:24" x14ac:dyDescent="0.2">
      <c r="A23" s="276">
        <v>15</v>
      </c>
      <c r="B23" s="283" t="s">
        <v>60</v>
      </c>
      <c r="C23" s="278" t="s">
        <v>61</v>
      </c>
      <c r="D23" s="279" t="s">
        <v>574</v>
      </c>
      <c r="E23" s="280">
        <v>2404</v>
      </c>
      <c r="F23" s="280">
        <v>0</v>
      </c>
      <c r="G23" s="280">
        <v>0</v>
      </c>
      <c r="H23" s="280"/>
      <c r="I23" s="280">
        <v>0</v>
      </c>
      <c r="J23" s="280">
        <v>2</v>
      </c>
      <c r="K23" s="280">
        <v>0</v>
      </c>
      <c r="L23" s="280"/>
      <c r="M23" s="280"/>
      <c r="N23" s="280">
        <v>2402</v>
      </c>
      <c r="O23" s="279"/>
      <c r="P23" s="279"/>
      <c r="Q23" s="279"/>
      <c r="R23" s="279"/>
      <c r="S23" s="279"/>
      <c r="T23" s="279"/>
      <c r="U23" s="279"/>
      <c r="V23" s="280">
        <v>2404</v>
      </c>
      <c r="W23" s="280">
        <v>0</v>
      </c>
      <c r="X23" s="280">
        <f t="shared" si="0"/>
        <v>2404</v>
      </c>
    </row>
    <row r="24" spans="1:24" x14ac:dyDescent="0.2">
      <c r="A24" s="276">
        <v>16</v>
      </c>
      <c r="B24" s="277" t="s">
        <v>126</v>
      </c>
      <c r="C24" s="278" t="s">
        <v>127</v>
      </c>
      <c r="D24" s="279" t="s">
        <v>574</v>
      </c>
      <c r="E24" s="280">
        <v>3406</v>
      </c>
      <c r="F24" s="280">
        <v>1</v>
      </c>
      <c r="G24" s="280">
        <v>0</v>
      </c>
      <c r="H24" s="280">
        <v>1</v>
      </c>
      <c r="I24" s="280">
        <v>0</v>
      </c>
      <c r="J24" s="280">
        <v>0</v>
      </c>
      <c r="K24" s="280">
        <v>0</v>
      </c>
      <c r="L24" s="280"/>
      <c r="M24" s="280"/>
      <c r="N24" s="280">
        <v>3405</v>
      </c>
      <c r="O24" s="279"/>
      <c r="P24" s="279"/>
      <c r="Q24" s="279"/>
      <c r="R24" s="279"/>
      <c r="S24" s="279"/>
      <c r="T24" s="279"/>
      <c r="U24" s="279"/>
      <c r="V24" s="280">
        <v>3406</v>
      </c>
      <c r="W24" s="280">
        <v>0</v>
      </c>
      <c r="X24" s="280">
        <f t="shared" si="0"/>
        <v>3406</v>
      </c>
    </row>
    <row r="25" spans="1:24" x14ac:dyDescent="0.2">
      <c r="A25" s="276">
        <v>17</v>
      </c>
      <c r="B25" s="282" t="s">
        <v>128</v>
      </c>
      <c r="C25" s="278" t="s">
        <v>129</v>
      </c>
      <c r="D25" s="279" t="s">
        <v>574</v>
      </c>
      <c r="E25" s="280">
        <v>4287</v>
      </c>
      <c r="F25" s="280">
        <v>0</v>
      </c>
      <c r="G25" s="280">
        <v>0</v>
      </c>
      <c r="H25" s="280"/>
      <c r="I25" s="280">
        <v>0</v>
      </c>
      <c r="J25" s="280">
        <v>0</v>
      </c>
      <c r="K25" s="280">
        <v>0</v>
      </c>
      <c r="L25" s="280"/>
      <c r="M25" s="280"/>
      <c r="N25" s="280">
        <v>4287</v>
      </c>
      <c r="O25" s="279"/>
      <c r="P25" s="279"/>
      <c r="Q25" s="279"/>
      <c r="R25" s="279"/>
      <c r="S25" s="279"/>
      <c r="T25" s="279"/>
      <c r="U25" s="279"/>
      <c r="V25" s="280">
        <v>4287</v>
      </c>
      <c r="W25" s="280">
        <v>0</v>
      </c>
      <c r="X25" s="280">
        <f t="shared" si="0"/>
        <v>4287</v>
      </c>
    </row>
    <row r="26" spans="1:24" x14ac:dyDescent="0.2">
      <c r="A26" s="276">
        <v>18</v>
      </c>
      <c r="B26" s="277" t="s">
        <v>130</v>
      </c>
      <c r="C26" s="278" t="s">
        <v>131</v>
      </c>
      <c r="D26" s="279" t="s">
        <v>574</v>
      </c>
      <c r="E26" s="280">
        <v>1582</v>
      </c>
      <c r="F26" s="280">
        <v>0</v>
      </c>
      <c r="G26" s="280">
        <v>0</v>
      </c>
      <c r="H26" s="280"/>
      <c r="I26" s="280">
        <v>0</v>
      </c>
      <c r="J26" s="280">
        <v>0</v>
      </c>
      <c r="K26" s="280">
        <v>0</v>
      </c>
      <c r="L26" s="280"/>
      <c r="M26" s="280"/>
      <c r="N26" s="280">
        <v>1582</v>
      </c>
      <c r="O26" s="279"/>
      <c r="P26" s="279"/>
      <c r="Q26" s="279"/>
      <c r="R26" s="279"/>
      <c r="S26" s="279"/>
      <c r="T26" s="279"/>
      <c r="U26" s="279"/>
      <c r="V26" s="280">
        <v>1582</v>
      </c>
      <c r="W26" s="280">
        <v>0</v>
      </c>
      <c r="X26" s="280">
        <f t="shared" si="0"/>
        <v>1582</v>
      </c>
    </row>
    <row r="27" spans="1:24" x14ac:dyDescent="0.2">
      <c r="A27" s="276">
        <v>19</v>
      </c>
      <c r="B27" s="283" t="s">
        <v>84</v>
      </c>
      <c r="C27" s="278" t="s">
        <v>85</v>
      </c>
      <c r="D27" s="279" t="s">
        <v>574</v>
      </c>
      <c r="E27" s="280">
        <v>1545</v>
      </c>
      <c r="F27" s="280">
        <v>0</v>
      </c>
      <c r="G27" s="280">
        <v>0</v>
      </c>
      <c r="H27" s="280"/>
      <c r="I27" s="280">
        <v>0</v>
      </c>
      <c r="J27" s="280">
        <v>0</v>
      </c>
      <c r="K27" s="280">
        <v>0</v>
      </c>
      <c r="L27" s="280"/>
      <c r="M27" s="280"/>
      <c r="N27" s="280">
        <v>1545</v>
      </c>
      <c r="O27" s="279"/>
      <c r="P27" s="279"/>
      <c r="Q27" s="279"/>
      <c r="R27" s="279"/>
      <c r="S27" s="279"/>
      <c r="T27" s="279"/>
      <c r="U27" s="279"/>
      <c r="V27" s="280">
        <v>1545</v>
      </c>
      <c r="W27" s="280">
        <v>0</v>
      </c>
      <c r="X27" s="280">
        <f t="shared" si="0"/>
        <v>1545</v>
      </c>
    </row>
    <row r="28" spans="1:24" x14ac:dyDescent="0.2">
      <c r="A28" s="276">
        <v>20</v>
      </c>
      <c r="B28" s="283" t="s">
        <v>218</v>
      </c>
      <c r="C28" s="278" t="s">
        <v>219</v>
      </c>
      <c r="D28" s="279" t="s">
        <v>574</v>
      </c>
      <c r="E28" s="280">
        <v>3529</v>
      </c>
      <c r="F28" s="280">
        <v>0</v>
      </c>
      <c r="G28" s="280">
        <v>0</v>
      </c>
      <c r="H28" s="280"/>
      <c r="I28" s="280">
        <v>0</v>
      </c>
      <c r="J28" s="280">
        <v>0</v>
      </c>
      <c r="K28" s="280">
        <v>0</v>
      </c>
      <c r="L28" s="280"/>
      <c r="M28" s="280"/>
      <c r="N28" s="280">
        <v>3529</v>
      </c>
      <c r="O28" s="279"/>
      <c r="P28" s="279"/>
      <c r="Q28" s="279"/>
      <c r="R28" s="279"/>
      <c r="S28" s="279"/>
      <c r="T28" s="279"/>
      <c r="U28" s="279"/>
      <c r="V28" s="280">
        <v>3529</v>
      </c>
      <c r="W28" s="280">
        <v>0</v>
      </c>
      <c r="X28" s="280">
        <f t="shared" si="0"/>
        <v>3529</v>
      </c>
    </row>
    <row r="29" spans="1:24" x14ac:dyDescent="0.2">
      <c r="A29" s="276">
        <v>21</v>
      </c>
      <c r="B29" s="282" t="s">
        <v>100</v>
      </c>
      <c r="C29" s="278" t="s">
        <v>101</v>
      </c>
      <c r="D29" s="279" t="s">
        <v>574</v>
      </c>
      <c r="E29" s="280">
        <v>2835</v>
      </c>
      <c r="F29" s="280">
        <v>0</v>
      </c>
      <c r="G29" s="280">
        <v>0</v>
      </c>
      <c r="H29" s="280"/>
      <c r="I29" s="280">
        <v>0</v>
      </c>
      <c r="J29" s="280">
        <v>0</v>
      </c>
      <c r="K29" s="280">
        <v>0</v>
      </c>
      <c r="L29" s="280"/>
      <c r="M29" s="280"/>
      <c r="N29" s="280">
        <v>2835</v>
      </c>
      <c r="O29" s="279"/>
      <c r="P29" s="279"/>
      <c r="Q29" s="279"/>
      <c r="R29" s="279"/>
      <c r="S29" s="279"/>
      <c r="T29" s="279"/>
      <c r="U29" s="279"/>
      <c r="V29" s="280">
        <v>2835</v>
      </c>
      <c r="W29" s="280">
        <v>0</v>
      </c>
      <c r="X29" s="280">
        <f t="shared" si="0"/>
        <v>2835</v>
      </c>
    </row>
    <row r="30" spans="1:24" x14ac:dyDescent="0.2">
      <c r="A30" s="276">
        <v>22</v>
      </c>
      <c r="B30" s="277" t="s">
        <v>64</v>
      </c>
      <c r="C30" s="278" t="s">
        <v>65</v>
      </c>
      <c r="D30" s="279" t="s">
        <v>574</v>
      </c>
      <c r="E30" s="280">
        <v>1967</v>
      </c>
      <c r="F30" s="280">
        <v>2</v>
      </c>
      <c r="G30" s="280">
        <v>0</v>
      </c>
      <c r="H30" s="280">
        <v>2</v>
      </c>
      <c r="I30" s="280">
        <v>0</v>
      </c>
      <c r="J30" s="280">
        <v>0</v>
      </c>
      <c r="K30" s="280">
        <v>0</v>
      </c>
      <c r="L30" s="280"/>
      <c r="M30" s="280"/>
      <c r="N30" s="280">
        <v>1965</v>
      </c>
      <c r="O30" s="279"/>
      <c r="P30" s="279"/>
      <c r="Q30" s="279"/>
      <c r="R30" s="279"/>
      <c r="S30" s="279"/>
      <c r="T30" s="279"/>
      <c r="U30" s="279"/>
      <c r="V30" s="280">
        <v>1967</v>
      </c>
      <c r="W30" s="280">
        <v>0</v>
      </c>
      <c r="X30" s="280">
        <f t="shared" si="0"/>
        <v>1967</v>
      </c>
    </row>
    <row r="31" spans="1:24" x14ac:dyDescent="0.2">
      <c r="A31" s="276">
        <v>23</v>
      </c>
      <c r="B31" s="277" t="s">
        <v>66</v>
      </c>
      <c r="C31" s="278" t="s">
        <v>67</v>
      </c>
      <c r="D31" s="279" t="s">
        <v>574</v>
      </c>
      <c r="E31" s="280">
        <v>2915</v>
      </c>
      <c r="F31" s="280">
        <v>0</v>
      </c>
      <c r="G31" s="280">
        <v>0</v>
      </c>
      <c r="H31" s="280"/>
      <c r="I31" s="280">
        <v>0</v>
      </c>
      <c r="J31" s="280">
        <v>0</v>
      </c>
      <c r="K31" s="280">
        <v>0</v>
      </c>
      <c r="L31" s="280"/>
      <c r="M31" s="280"/>
      <c r="N31" s="280">
        <v>2915</v>
      </c>
      <c r="O31" s="279"/>
      <c r="P31" s="279"/>
      <c r="Q31" s="279"/>
      <c r="R31" s="279"/>
      <c r="S31" s="279"/>
      <c r="T31" s="279"/>
      <c r="U31" s="279"/>
      <c r="V31" s="280">
        <v>2915</v>
      </c>
      <c r="W31" s="280">
        <v>0</v>
      </c>
      <c r="X31" s="280">
        <f t="shared" si="0"/>
        <v>2915</v>
      </c>
    </row>
    <row r="32" spans="1:24" x14ac:dyDescent="0.2">
      <c r="A32" s="276">
        <v>24</v>
      </c>
      <c r="B32" s="283" t="s">
        <v>220</v>
      </c>
      <c r="C32" s="278" t="s">
        <v>221</v>
      </c>
      <c r="D32" s="279" t="s">
        <v>574</v>
      </c>
      <c r="E32" s="280">
        <v>4565</v>
      </c>
      <c r="F32" s="280">
        <v>0</v>
      </c>
      <c r="G32" s="280">
        <v>0</v>
      </c>
      <c r="H32" s="280"/>
      <c r="I32" s="280">
        <v>0</v>
      </c>
      <c r="J32" s="280">
        <v>6</v>
      </c>
      <c r="K32" s="280">
        <v>0</v>
      </c>
      <c r="L32" s="280"/>
      <c r="M32" s="280"/>
      <c r="N32" s="280">
        <v>4559</v>
      </c>
      <c r="O32" s="279"/>
      <c r="P32" s="279"/>
      <c r="Q32" s="279"/>
      <c r="R32" s="279"/>
      <c r="S32" s="279"/>
      <c r="T32" s="279"/>
      <c r="U32" s="279"/>
      <c r="V32" s="280">
        <v>4565</v>
      </c>
      <c r="W32" s="280">
        <v>0</v>
      </c>
      <c r="X32" s="280">
        <f t="shared" si="0"/>
        <v>4565</v>
      </c>
    </row>
    <row r="33" spans="1:24" x14ac:dyDescent="0.2">
      <c r="A33" s="276">
        <v>25</v>
      </c>
      <c r="B33" s="277" t="s">
        <v>222</v>
      </c>
      <c r="C33" s="278" t="s">
        <v>223</v>
      </c>
      <c r="D33" s="279" t="s">
        <v>574</v>
      </c>
      <c r="E33" s="280">
        <v>1658</v>
      </c>
      <c r="F33" s="280">
        <v>0</v>
      </c>
      <c r="G33" s="280">
        <v>0</v>
      </c>
      <c r="H33" s="280"/>
      <c r="I33" s="280">
        <v>0</v>
      </c>
      <c r="J33" s="280">
        <v>4</v>
      </c>
      <c r="K33" s="280">
        <v>0</v>
      </c>
      <c r="L33" s="280"/>
      <c r="M33" s="280"/>
      <c r="N33" s="280">
        <v>1654</v>
      </c>
      <c r="O33" s="279"/>
      <c r="P33" s="279"/>
      <c r="Q33" s="279"/>
      <c r="R33" s="279"/>
      <c r="S33" s="279"/>
      <c r="T33" s="279"/>
      <c r="U33" s="279"/>
      <c r="V33" s="280">
        <v>1658</v>
      </c>
      <c r="W33" s="280">
        <v>0</v>
      </c>
      <c r="X33" s="280">
        <f t="shared" si="0"/>
        <v>1658</v>
      </c>
    </row>
    <row r="34" spans="1:24" x14ac:dyDescent="0.2">
      <c r="A34" s="276">
        <v>26</v>
      </c>
      <c r="B34" s="277" t="s">
        <v>68</v>
      </c>
      <c r="C34" s="278" t="s">
        <v>69</v>
      </c>
      <c r="D34" s="279" t="s">
        <v>574</v>
      </c>
      <c r="E34" s="280">
        <v>2092</v>
      </c>
      <c r="F34" s="280">
        <v>0</v>
      </c>
      <c r="G34" s="280">
        <v>0</v>
      </c>
      <c r="H34" s="280"/>
      <c r="I34" s="280">
        <v>0</v>
      </c>
      <c r="J34" s="280">
        <v>4</v>
      </c>
      <c r="K34" s="280">
        <v>0</v>
      </c>
      <c r="L34" s="280"/>
      <c r="M34" s="280"/>
      <c r="N34" s="280">
        <v>2088</v>
      </c>
      <c r="O34" s="279"/>
      <c r="P34" s="279"/>
      <c r="Q34" s="279"/>
      <c r="R34" s="279"/>
      <c r="S34" s="279"/>
      <c r="T34" s="279"/>
      <c r="U34" s="279"/>
      <c r="V34" s="280">
        <v>2092</v>
      </c>
      <c r="W34" s="280">
        <v>0</v>
      </c>
      <c r="X34" s="280">
        <f t="shared" si="0"/>
        <v>2092</v>
      </c>
    </row>
    <row r="35" spans="1:24" x14ac:dyDescent="0.2">
      <c r="A35" s="276">
        <v>27</v>
      </c>
      <c r="B35" s="282" t="s">
        <v>104</v>
      </c>
      <c r="C35" s="278" t="s">
        <v>105</v>
      </c>
      <c r="D35" s="279" t="s">
        <v>574</v>
      </c>
      <c r="E35" s="280">
        <v>3189</v>
      </c>
      <c r="F35" s="280">
        <v>0</v>
      </c>
      <c r="G35" s="280">
        <v>0</v>
      </c>
      <c r="H35" s="280"/>
      <c r="I35" s="280">
        <v>0</v>
      </c>
      <c r="J35" s="280">
        <v>12</v>
      </c>
      <c r="K35" s="280">
        <v>0</v>
      </c>
      <c r="L35" s="280"/>
      <c r="M35" s="280"/>
      <c r="N35" s="280">
        <v>3177</v>
      </c>
      <c r="O35" s="279"/>
      <c r="P35" s="279"/>
      <c r="Q35" s="279"/>
      <c r="R35" s="279"/>
      <c r="S35" s="279"/>
      <c r="T35" s="279"/>
      <c r="U35" s="279"/>
      <c r="V35" s="280">
        <v>3189</v>
      </c>
      <c r="W35" s="280">
        <v>0</v>
      </c>
      <c r="X35" s="280">
        <f t="shared" si="0"/>
        <v>3189</v>
      </c>
    </row>
    <row r="36" spans="1:24" x14ac:dyDescent="0.2">
      <c r="A36" s="276">
        <v>28</v>
      </c>
      <c r="B36" s="283" t="s">
        <v>224</v>
      </c>
      <c r="C36" s="278" t="s">
        <v>225</v>
      </c>
      <c r="D36" s="279" t="s">
        <v>574</v>
      </c>
      <c r="E36" s="280">
        <v>2522</v>
      </c>
      <c r="F36" s="280">
        <v>0</v>
      </c>
      <c r="G36" s="280">
        <v>0</v>
      </c>
      <c r="H36" s="280"/>
      <c r="I36" s="280">
        <v>0</v>
      </c>
      <c r="J36" s="280">
        <v>0</v>
      </c>
      <c r="K36" s="280">
        <v>0</v>
      </c>
      <c r="L36" s="280"/>
      <c r="M36" s="280"/>
      <c r="N36" s="280">
        <v>2522</v>
      </c>
      <c r="O36" s="279"/>
      <c r="P36" s="279"/>
      <c r="Q36" s="279"/>
      <c r="R36" s="279"/>
      <c r="S36" s="279"/>
      <c r="T36" s="279"/>
      <c r="U36" s="279"/>
      <c r="V36" s="280">
        <v>2522</v>
      </c>
      <c r="W36" s="280">
        <v>0</v>
      </c>
      <c r="X36" s="280">
        <f t="shared" si="0"/>
        <v>2522</v>
      </c>
    </row>
    <row r="37" spans="1:24" x14ac:dyDescent="0.2">
      <c r="A37" s="276">
        <v>29</v>
      </c>
      <c r="B37" s="277" t="s">
        <v>70</v>
      </c>
      <c r="C37" s="278" t="s">
        <v>71</v>
      </c>
      <c r="D37" s="279" t="s">
        <v>574</v>
      </c>
      <c r="E37" s="280">
        <v>2645</v>
      </c>
      <c r="F37" s="280">
        <v>0</v>
      </c>
      <c r="G37" s="280">
        <v>0</v>
      </c>
      <c r="H37" s="280"/>
      <c r="I37" s="280">
        <v>0</v>
      </c>
      <c r="J37" s="280">
        <v>0</v>
      </c>
      <c r="K37" s="280">
        <v>0</v>
      </c>
      <c r="L37" s="280"/>
      <c r="M37" s="280"/>
      <c r="N37" s="280">
        <v>2645</v>
      </c>
      <c r="O37" s="279"/>
      <c r="P37" s="279"/>
      <c r="Q37" s="279"/>
      <c r="R37" s="279"/>
      <c r="S37" s="279"/>
      <c r="T37" s="279"/>
      <c r="U37" s="279"/>
      <c r="V37" s="280">
        <v>2645</v>
      </c>
      <c r="W37" s="280">
        <v>0</v>
      </c>
      <c r="X37" s="280">
        <f t="shared" si="0"/>
        <v>2645</v>
      </c>
    </row>
    <row r="38" spans="1:24" x14ac:dyDescent="0.2">
      <c r="A38" s="276">
        <v>30</v>
      </c>
      <c r="B38" s="282" t="s">
        <v>132</v>
      </c>
      <c r="C38" s="278" t="s">
        <v>133</v>
      </c>
      <c r="D38" s="279" t="s">
        <v>574</v>
      </c>
      <c r="E38" s="280">
        <v>3021</v>
      </c>
      <c r="F38" s="280">
        <v>0</v>
      </c>
      <c r="G38" s="280">
        <v>0</v>
      </c>
      <c r="H38" s="280"/>
      <c r="I38" s="280">
        <v>0</v>
      </c>
      <c r="J38" s="280">
        <v>0</v>
      </c>
      <c r="K38" s="280">
        <v>0</v>
      </c>
      <c r="L38" s="280"/>
      <c r="M38" s="280"/>
      <c r="N38" s="280">
        <v>3021</v>
      </c>
      <c r="O38" s="279"/>
      <c r="P38" s="279"/>
      <c r="Q38" s="279"/>
      <c r="R38" s="279"/>
      <c r="S38" s="279"/>
      <c r="T38" s="279"/>
      <c r="U38" s="279"/>
      <c r="V38" s="280">
        <v>3021</v>
      </c>
      <c r="W38" s="280">
        <v>0</v>
      </c>
      <c r="X38" s="280">
        <f t="shared" si="0"/>
        <v>3021</v>
      </c>
    </row>
    <row r="39" spans="1:24" x14ac:dyDescent="0.2">
      <c r="A39" s="276">
        <v>31</v>
      </c>
      <c r="B39" s="285" t="s">
        <v>108</v>
      </c>
      <c r="C39" s="278" t="s">
        <v>109</v>
      </c>
      <c r="D39" s="279" t="s">
        <v>574</v>
      </c>
      <c r="E39" s="280">
        <v>3256</v>
      </c>
      <c r="F39" s="280">
        <v>0</v>
      </c>
      <c r="G39" s="280">
        <v>0</v>
      </c>
      <c r="H39" s="280"/>
      <c r="I39" s="280">
        <v>0</v>
      </c>
      <c r="J39" s="280">
        <v>0</v>
      </c>
      <c r="K39" s="280">
        <v>0</v>
      </c>
      <c r="L39" s="280"/>
      <c r="M39" s="280"/>
      <c r="N39" s="280">
        <v>3256</v>
      </c>
      <c r="O39" s="279"/>
      <c r="P39" s="279"/>
      <c r="Q39" s="279"/>
      <c r="R39" s="279"/>
      <c r="S39" s="279"/>
      <c r="T39" s="279"/>
      <c r="U39" s="279"/>
      <c r="V39" s="280">
        <v>3256</v>
      </c>
      <c r="W39" s="280">
        <v>0</v>
      </c>
      <c r="X39" s="280">
        <f t="shared" si="0"/>
        <v>3256</v>
      </c>
    </row>
    <row r="40" spans="1:24" x14ac:dyDescent="0.2">
      <c r="A40" s="276">
        <v>32</v>
      </c>
      <c r="B40" s="277" t="s">
        <v>228</v>
      </c>
      <c r="C40" s="278" t="s">
        <v>229</v>
      </c>
      <c r="D40" s="279" t="s">
        <v>574</v>
      </c>
      <c r="E40" s="280">
        <v>1959</v>
      </c>
      <c r="F40" s="280">
        <v>0</v>
      </c>
      <c r="G40" s="280">
        <v>0</v>
      </c>
      <c r="H40" s="280"/>
      <c r="I40" s="280">
        <v>0</v>
      </c>
      <c r="J40" s="280">
        <v>0</v>
      </c>
      <c r="K40" s="280">
        <v>0</v>
      </c>
      <c r="L40" s="280"/>
      <c r="M40" s="280"/>
      <c r="N40" s="280">
        <v>1959</v>
      </c>
      <c r="O40" s="279"/>
      <c r="P40" s="279"/>
      <c r="Q40" s="279"/>
      <c r="R40" s="279"/>
      <c r="S40" s="279"/>
      <c r="T40" s="279"/>
      <c r="U40" s="279"/>
      <c r="V40" s="280">
        <v>1959</v>
      </c>
      <c r="W40" s="280">
        <v>0</v>
      </c>
      <c r="X40" s="280">
        <f t="shared" si="0"/>
        <v>1959</v>
      </c>
    </row>
    <row r="41" spans="1:24" x14ac:dyDescent="0.2">
      <c r="A41" s="276">
        <v>33</v>
      </c>
      <c r="B41" s="277" t="s">
        <v>134</v>
      </c>
      <c r="C41" s="278" t="s">
        <v>135</v>
      </c>
      <c r="D41" s="279" t="s">
        <v>574</v>
      </c>
      <c r="E41" s="280">
        <v>4278</v>
      </c>
      <c r="F41" s="280">
        <v>0</v>
      </c>
      <c r="G41" s="280">
        <v>0</v>
      </c>
      <c r="H41" s="280"/>
      <c r="I41" s="280">
        <v>0</v>
      </c>
      <c r="J41" s="280">
        <v>0</v>
      </c>
      <c r="K41" s="280">
        <v>0</v>
      </c>
      <c r="L41" s="280"/>
      <c r="M41" s="280"/>
      <c r="N41" s="280">
        <v>4278</v>
      </c>
      <c r="O41" s="279"/>
      <c r="P41" s="279"/>
      <c r="Q41" s="279"/>
      <c r="R41" s="279"/>
      <c r="S41" s="279"/>
      <c r="T41" s="279"/>
      <c r="U41" s="279"/>
      <c r="V41" s="280">
        <v>4278</v>
      </c>
      <c r="W41" s="280">
        <v>0</v>
      </c>
      <c r="X41" s="280">
        <f t="shared" si="0"/>
        <v>4278</v>
      </c>
    </row>
    <row r="42" spans="1:24" x14ac:dyDescent="0.2">
      <c r="A42" s="276">
        <v>34</v>
      </c>
      <c r="B42" s="283" t="s">
        <v>110</v>
      </c>
      <c r="C42" s="278" t="s">
        <v>111</v>
      </c>
      <c r="D42" s="279" t="s">
        <v>574</v>
      </c>
      <c r="E42" s="280">
        <v>1990</v>
      </c>
      <c r="F42" s="280">
        <v>0</v>
      </c>
      <c r="G42" s="280">
        <v>0</v>
      </c>
      <c r="H42" s="280"/>
      <c r="I42" s="280">
        <v>0</v>
      </c>
      <c r="J42" s="280">
        <v>4</v>
      </c>
      <c r="K42" s="280">
        <v>0</v>
      </c>
      <c r="L42" s="280"/>
      <c r="M42" s="280"/>
      <c r="N42" s="280">
        <v>1986</v>
      </c>
      <c r="O42" s="279"/>
      <c r="P42" s="279"/>
      <c r="Q42" s="279"/>
      <c r="R42" s="279"/>
      <c r="S42" s="279"/>
      <c r="T42" s="279"/>
      <c r="U42" s="279"/>
      <c r="V42" s="280">
        <v>1990</v>
      </c>
      <c r="W42" s="280">
        <v>0</v>
      </c>
      <c r="X42" s="280">
        <f t="shared" si="0"/>
        <v>1990</v>
      </c>
    </row>
    <row r="43" spans="1:24" x14ac:dyDescent="0.2">
      <c r="A43" s="276">
        <v>35</v>
      </c>
      <c r="B43" s="283" t="s">
        <v>112</v>
      </c>
      <c r="C43" s="278" t="s">
        <v>113</v>
      </c>
      <c r="D43" s="279" t="s">
        <v>574</v>
      </c>
      <c r="E43" s="280">
        <v>2862</v>
      </c>
      <c r="F43" s="280">
        <v>0</v>
      </c>
      <c r="G43" s="280">
        <v>0</v>
      </c>
      <c r="H43" s="280"/>
      <c r="I43" s="280">
        <v>0</v>
      </c>
      <c r="J43" s="280">
        <v>1</v>
      </c>
      <c r="K43" s="280">
        <v>0</v>
      </c>
      <c r="L43" s="280"/>
      <c r="M43" s="280"/>
      <c r="N43" s="280">
        <v>2861</v>
      </c>
      <c r="O43" s="279"/>
      <c r="P43" s="279"/>
      <c r="Q43" s="279"/>
      <c r="R43" s="279"/>
      <c r="S43" s="279"/>
      <c r="T43" s="279"/>
      <c r="U43" s="279"/>
      <c r="V43" s="280">
        <v>2862</v>
      </c>
      <c r="W43" s="280">
        <v>0</v>
      </c>
      <c r="X43" s="280">
        <f t="shared" si="0"/>
        <v>2862</v>
      </c>
    </row>
    <row r="44" spans="1:24" x14ac:dyDescent="0.2">
      <c r="A44" s="276">
        <v>36</v>
      </c>
      <c r="B44" s="277" t="s">
        <v>114</v>
      </c>
      <c r="C44" s="278" t="s">
        <v>115</v>
      </c>
      <c r="D44" s="279" t="s">
        <v>574</v>
      </c>
      <c r="E44" s="280">
        <v>1569</v>
      </c>
      <c r="F44" s="280">
        <v>0</v>
      </c>
      <c r="G44" s="280">
        <v>0</v>
      </c>
      <c r="H44" s="280"/>
      <c r="I44" s="280">
        <v>0</v>
      </c>
      <c r="J44" s="280">
        <v>0</v>
      </c>
      <c r="K44" s="280">
        <v>0</v>
      </c>
      <c r="L44" s="280"/>
      <c r="M44" s="280"/>
      <c r="N44" s="280">
        <v>1569</v>
      </c>
      <c r="O44" s="279"/>
      <c r="P44" s="279"/>
      <c r="Q44" s="279"/>
      <c r="R44" s="279"/>
      <c r="S44" s="279"/>
      <c r="T44" s="279"/>
      <c r="U44" s="279"/>
      <c r="V44" s="280">
        <v>1569</v>
      </c>
      <c r="W44" s="280">
        <v>0</v>
      </c>
      <c r="X44" s="280">
        <f t="shared" si="0"/>
        <v>1569</v>
      </c>
    </row>
    <row r="45" spans="1:24" x14ac:dyDescent="0.2">
      <c r="A45" s="276">
        <v>37</v>
      </c>
      <c r="B45" s="277" t="s">
        <v>138</v>
      </c>
      <c r="C45" s="278" t="s">
        <v>139</v>
      </c>
      <c r="D45" s="279" t="s">
        <v>574</v>
      </c>
      <c r="E45" s="280">
        <v>2788</v>
      </c>
      <c r="F45" s="280">
        <v>0</v>
      </c>
      <c r="G45" s="280">
        <v>0</v>
      </c>
      <c r="H45" s="280"/>
      <c r="I45" s="280">
        <v>0</v>
      </c>
      <c r="J45" s="280">
        <v>7</v>
      </c>
      <c r="K45" s="280">
        <v>0</v>
      </c>
      <c r="L45" s="280"/>
      <c r="M45" s="280"/>
      <c r="N45" s="280">
        <v>2781</v>
      </c>
      <c r="O45" s="279"/>
      <c r="P45" s="279"/>
      <c r="Q45" s="279"/>
      <c r="R45" s="279"/>
      <c r="S45" s="279"/>
      <c r="T45" s="279"/>
      <c r="U45" s="279"/>
      <c r="V45" s="280">
        <v>2788</v>
      </c>
      <c r="W45" s="280">
        <v>0</v>
      </c>
      <c r="X45" s="280">
        <f t="shared" si="0"/>
        <v>2788</v>
      </c>
    </row>
    <row r="46" spans="1:24" x14ac:dyDescent="0.2">
      <c r="A46" s="276">
        <v>38</v>
      </c>
      <c r="B46" s="283" t="s">
        <v>230</v>
      </c>
      <c r="C46" s="278" t="s">
        <v>231</v>
      </c>
      <c r="D46" s="279" t="s">
        <v>574</v>
      </c>
      <c r="E46" s="280">
        <v>4145</v>
      </c>
      <c r="F46" s="280">
        <v>0</v>
      </c>
      <c r="G46" s="280">
        <v>0</v>
      </c>
      <c r="H46" s="280"/>
      <c r="I46" s="280">
        <v>0</v>
      </c>
      <c r="J46" s="280">
        <v>0</v>
      </c>
      <c r="K46" s="280">
        <v>0</v>
      </c>
      <c r="L46" s="280"/>
      <c r="M46" s="280"/>
      <c r="N46" s="280">
        <v>4145</v>
      </c>
      <c r="O46" s="279"/>
      <c r="P46" s="279"/>
      <c r="Q46" s="279"/>
      <c r="R46" s="279"/>
      <c r="S46" s="279"/>
      <c r="T46" s="279"/>
      <c r="U46" s="279"/>
      <c r="V46" s="280">
        <v>4145</v>
      </c>
      <c r="W46" s="280">
        <v>0</v>
      </c>
      <c r="X46" s="280">
        <f t="shared" si="0"/>
        <v>4145</v>
      </c>
    </row>
    <row r="47" spans="1:24" x14ac:dyDescent="0.2">
      <c r="A47" s="276">
        <v>39</v>
      </c>
      <c r="B47" s="277" t="s">
        <v>140</v>
      </c>
      <c r="C47" s="278" t="s">
        <v>141</v>
      </c>
      <c r="D47" s="279" t="s">
        <v>574</v>
      </c>
      <c r="E47" s="280">
        <v>2533</v>
      </c>
      <c r="F47" s="280">
        <v>0</v>
      </c>
      <c r="G47" s="280">
        <v>0</v>
      </c>
      <c r="H47" s="280"/>
      <c r="I47" s="280">
        <v>0</v>
      </c>
      <c r="J47" s="280">
        <v>1</v>
      </c>
      <c r="K47" s="280">
        <v>0</v>
      </c>
      <c r="L47" s="280"/>
      <c r="M47" s="280"/>
      <c r="N47" s="280">
        <v>2532</v>
      </c>
      <c r="O47" s="279"/>
      <c r="P47" s="279"/>
      <c r="Q47" s="279"/>
      <c r="R47" s="279"/>
      <c r="S47" s="279"/>
      <c r="T47" s="279"/>
      <c r="U47" s="279"/>
      <c r="V47" s="280">
        <v>2533</v>
      </c>
      <c r="W47" s="280">
        <v>0</v>
      </c>
      <c r="X47" s="280">
        <f t="shared" si="0"/>
        <v>2533</v>
      </c>
    </row>
    <row r="48" spans="1:24" x14ac:dyDescent="0.2">
      <c r="A48" s="276">
        <v>40</v>
      </c>
      <c r="B48" s="282" t="s">
        <v>142</v>
      </c>
      <c r="C48" s="278" t="s">
        <v>143</v>
      </c>
      <c r="D48" s="279" t="s">
        <v>574</v>
      </c>
      <c r="E48" s="280">
        <v>2087</v>
      </c>
      <c r="F48" s="280">
        <v>0</v>
      </c>
      <c r="G48" s="280">
        <v>0</v>
      </c>
      <c r="H48" s="280"/>
      <c r="I48" s="280">
        <v>0</v>
      </c>
      <c r="J48" s="280">
        <v>16</v>
      </c>
      <c r="K48" s="280">
        <v>0</v>
      </c>
      <c r="L48" s="280"/>
      <c r="M48" s="280"/>
      <c r="N48" s="280">
        <v>2071</v>
      </c>
      <c r="O48" s="279"/>
      <c r="P48" s="279"/>
      <c r="Q48" s="279"/>
      <c r="R48" s="279"/>
      <c r="S48" s="279"/>
      <c r="T48" s="279"/>
      <c r="U48" s="279"/>
      <c r="V48" s="280">
        <v>2087</v>
      </c>
      <c r="W48" s="280">
        <v>0</v>
      </c>
      <c r="X48" s="280">
        <f t="shared" si="0"/>
        <v>2087</v>
      </c>
    </row>
    <row r="49" spans="1:24" x14ac:dyDescent="0.2">
      <c r="A49" s="276">
        <v>41</v>
      </c>
      <c r="B49" s="277" t="s">
        <v>72</v>
      </c>
      <c r="C49" s="278" t="s">
        <v>73</v>
      </c>
      <c r="D49" s="279" t="s">
        <v>574</v>
      </c>
      <c r="E49" s="280">
        <v>5019</v>
      </c>
      <c r="F49" s="280">
        <v>0</v>
      </c>
      <c r="G49" s="280">
        <v>0</v>
      </c>
      <c r="H49" s="280"/>
      <c r="I49" s="280">
        <v>0</v>
      </c>
      <c r="J49" s="280">
        <v>5</v>
      </c>
      <c r="K49" s="280">
        <v>0</v>
      </c>
      <c r="L49" s="280"/>
      <c r="M49" s="280"/>
      <c r="N49" s="280">
        <v>5014</v>
      </c>
      <c r="O49" s="279"/>
      <c r="P49" s="279"/>
      <c r="Q49" s="279"/>
      <c r="R49" s="279"/>
      <c r="S49" s="279"/>
      <c r="T49" s="279"/>
      <c r="U49" s="279"/>
      <c r="V49" s="280">
        <v>5019</v>
      </c>
      <c r="W49" s="280">
        <v>0</v>
      </c>
      <c r="X49" s="280">
        <f t="shared" si="0"/>
        <v>5019</v>
      </c>
    </row>
    <row r="50" spans="1:24" x14ac:dyDescent="0.2">
      <c r="A50" s="276">
        <v>42</v>
      </c>
      <c r="B50" s="283" t="s">
        <v>188</v>
      </c>
      <c r="C50" s="278" t="s">
        <v>461</v>
      </c>
      <c r="D50" s="279" t="s">
        <v>574</v>
      </c>
      <c r="E50" s="280">
        <v>1011</v>
      </c>
      <c r="F50" s="280">
        <v>0</v>
      </c>
      <c r="G50" s="280">
        <v>0</v>
      </c>
      <c r="H50" s="280"/>
      <c r="I50" s="280">
        <v>0</v>
      </c>
      <c r="J50" s="280">
        <v>0</v>
      </c>
      <c r="K50" s="280">
        <v>0</v>
      </c>
      <c r="L50" s="280"/>
      <c r="M50" s="280"/>
      <c r="N50" s="280">
        <v>1011</v>
      </c>
      <c r="O50" s="279"/>
      <c r="P50" s="279"/>
      <c r="Q50" s="279"/>
      <c r="R50" s="279"/>
      <c r="S50" s="279"/>
      <c r="T50" s="279"/>
      <c r="U50" s="279"/>
      <c r="V50" s="280">
        <v>1011</v>
      </c>
      <c r="W50" s="280">
        <v>0</v>
      </c>
      <c r="X50" s="280">
        <f t="shared" si="0"/>
        <v>1011</v>
      </c>
    </row>
    <row r="51" spans="1:24" x14ac:dyDescent="0.2">
      <c r="A51" s="276">
        <v>43</v>
      </c>
      <c r="B51" s="277" t="s">
        <v>94</v>
      </c>
      <c r="C51" s="278" t="s">
        <v>575</v>
      </c>
      <c r="D51" s="279" t="s">
        <v>576</v>
      </c>
      <c r="E51" s="280">
        <v>0</v>
      </c>
      <c r="F51" s="280">
        <v>0</v>
      </c>
      <c r="G51" s="280">
        <v>0</v>
      </c>
      <c r="H51" s="280"/>
      <c r="I51" s="280">
        <v>0</v>
      </c>
      <c r="J51" s="280">
        <v>0</v>
      </c>
      <c r="K51" s="280">
        <v>0</v>
      </c>
      <c r="L51" s="280"/>
      <c r="M51" s="280"/>
      <c r="N51" s="280">
        <v>0</v>
      </c>
      <c r="O51" s="279"/>
      <c r="P51" s="279"/>
      <c r="Q51" s="279"/>
      <c r="R51" s="279"/>
      <c r="S51" s="279"/>
      <c r="T51" s="279"/>
      <c r="U51" s="279"/>
      <c r="V51" s="280">
        <v>0</v>
      </c>
      <c r="W51" s="280">
        <v>0</v>
      </c>
      <c r="X51" s="280">
        <f t="shared" si="0"/>
        <v>0</v>
      </c>
    </row>
    <row r="52" spans="1:24" x14ac:dyDescent="0.2">
      <c r="A52" s="276">
        <v>44</v>
      </c>
      <c r="B52" s="283" t="s">
        <v>120</v>
      </c>
      <c r="C52" s="278" t="s">
        <v>121</v>
      </c>
      <c r="D52" s="279" t="s">
        <v>577</v>
      </c>
      <c r="E52" s="280">
        <v>13189</v>
      </c>
      <c r="F52" s="280">
        <v>2</v>
      </c>
      <c r="G52" s="280">
        <v>0</v>
      </c>
      <c r="H52" s="280">
        <v>2</v>
      </c>
      <c r="I52" s="280">
        <v>0</v>
      </c>
      <c r="J52" s="280">
        <v>0</v>
      </c>
      <c r="K52" s="280">
        <v>0</v>
      </c>
      <c r="L52" s="280"/>
      <c r="M52" s="280"/>
      <c r="N52" s="280">
        <v>13187</v>
      </c>
      <c r="O52" s="279"/>
      <c r="P52" s="279"/>
      <c r="Q52" s="279"/>
      <c r="R52" s="279"/>
      <c r="S52" s="279"/>
      <c r="T52" s="279"/>
      <c r="U52" s="279"/>
      <c r="V52" s="280">
        <v>13189</v>
      </c>
      <c r="W52" s="280">
        <v>0</v>
      </c>
      <c r="X52" s="280">
        <f t="shared" si="0"/>
        <v>13189</v>
      </c>
    </row>
    <row r="53" spans="1:24" x14ac:dyDescent="0.2">
      <c r="A53" s="276">
        <v>45</v>
      </c>
      <c r="B53" s="277" t="s">
        <v>16</v>
      </c>
      <c r="C53" s="278" t="s">
        <v>17</v>
      </c>
      <c r="D53" s="279" t="s">
        <v>577</v>
      </c>
      <c r="E53" s="280">
        <v>8850</v>
      </c>
      <c r="F53" s="280">
        <v>0</v>
      </c>
      <c r="G53" s="280">
        <v>0</v>
      </c>
      <c r="H53" s="280"/>
      <c r="I53" s="280">
        <v>0</v>
      </c>
      <c r="J53" s="280">
        <v>0</v>
      </c>
      <c r="K53" s="280">
        <v>0</v>
      </c>
      <c r="L53" s="280"/>
      <c r="M53" s="280"/>
      <c r="N53" s="280">
        <v>8850</v>
      </c>
      <c r="O53" s="279"/>
      <c r="P53" s="279"/>
      <c r="Q53" s="279"/>
      <c r="R53" s="279"/>
      <c r="S53" s="279"/>
      <c r="T53" s="279"/>
      <c r="U53" s="279"/>
      <c r="V53" s="280">
        <v>8850</v>
      </c>
      <c r="W53" s="280">
        <v>0</v>
      </c>
      <c r="X53" s="280">
        <f t="shared" si="0"/>
        <v>8850</v>
      </c>
    </row>
    <row r="54" spans="1:24" x14ac:dyDescent="0.2">
      <c r="A54" s="276">
        <v>46</v>
      </c>
      <c r="B54" s="277" t="s">
        <v>182</v>
      </c>
      <c r="C54" s="278" t="s">
        <v>578</v>
      </c>
      <c r="D54" s="279" t="s">
        <v>577</v>
      </c>
      <c r="E54" s="280">
        <v>10332</v>
      </c>
      <c r="F54" s="280">
        <v>1</v>
      </c>
      <c r="G54" s="280">
        <v>0</v>
      </c>
      <c r="H54" s="280">
        <v>1</v>
      </c>
      <c r="I54" s="280">
        <v>0</v>
      </c>
      <c r="J54" s="280">
        <v>0</v>
      </c>
      <c r="K54" s="280">
        <v>0</v>
      </c>
      <c r="L54" s="280"/>
      <c r="M54" s="280"/>
      <c r="N54" s="280">
        <v>10331</v>
      </c>
      <c r="O54" s="279"/>
      <c r="P54" s="279"/>
      <c r="Q54" s="279"/>
      <c r="R54" s="279"/>
      <c r="S54" s="279"/>
      <c r="T54" s="279"/>
      <c r="U54" s="279"/>
      <c r="V54" s="280">
        <v>10332</v>
      </c>
      <c r="W54" s="280">
        <v>405</v>
      </c>
      <c r="X54" s="280">
        <f t="shared" si="0"/>
        <v>10737</v>
      </c>
    </row>
    <row r="55" spans="1:24" x14ac:dyDescent="0.2">
      <c r="A55" s="276">
        <v>47</v>
      </c>
      <c r="B55" s="283" t="s">
        <v>62</v>
      </c>
      <c r="C55" s="278" t="s">
        <v>63</v>
      </c>
      <c r="D55" s="279" t="s">
        <v>577</v>
      </c>
      <c r="E55" s="280">
        <v>8003</v>
      </c>
      <c r="F55" s="280">
        <v>0</v>
      </c>
      <c r="G55" s="280">
        <v>0</v>
      </c>
      <c r="H55" s="280"/>
      <c r="I55" s="280">
        <v>0</v>
      </c>
      <c r="J55" s="280">
        <v>29</v>
      </c>
      <c r="K55" s="280">
        <v>0</v>
      </c>
      <c r="L55" s="280"/>
      <c r="M55" s="280"/>
      <c r="N55" s="280">
        <v>7974</v>
      </c>
      <c r="O55" s="279"/>
      <c r="P55" s="279"/>
      <c r="Q55" s="279"/>
      <c r="R55" s="279"/>
      <c r="S55" s="279"/>
      <c r="T55" s="279"/>
      <c r="U55" s="279"/>
      <c r="V55" s="280">
        <v>8003</v>
      </c>
      <c r="W55" s="280">
        <v>0</v>
      </c>
      <c r="X55" s="280">
        <f t="shared" si="0"/>
        <v>8003</v>
      </c>
    </row>
    <row r="56" spans="1:24" x14ac:dyDescent="0.2">
      <c r="A56" s="276">
        <v>48</v>
      </c>
      <c r="B56" s="283" t="s">
        <v>106</v>
      </c>
      <c r="C56" s="278" t="s">
        <v>107</v>
      </c>
      <c r="D56" s="279" t="s">
        <v>577</v>
      </c>
      <c r="E56" s="280">
        <v>9618</v>
      </c>
      <c r="F56" s="280">
        <v>0</v>
      </c>
      <c r="G56" s="280">
        <v>0</v>
      </c>
      <c r="H56" s="280"/>
      <c r="I56" s="280">
        <v>0</v>
      </c>
      <c r="J56" s="280">
        <v>0</v>
      </c>
      <c r="K56" s="280">
        <v>0</v>
      </c>
      <c r="L56" s="280"/>
      <c r="M56" s="280"/>
      <c r="N56" s="280">
        <v>9618</v>
      </c>
      <c r="O56" s="279"/>
      <c r="P56" s="279"/>
      <c r="Q56" s="279"/>
      <c r="R56" s="279"/>
      <c r="S56" s="279"/>
      <c r="T56" s="279"/>
      <c r="U56" s="279"/>
      <c r="V56" s="280">
        <v>9618</v>
      </c>
      <c r="W56" s="280">
        <v>0</v>
      </c>
      <c r="X56" s="280">
        <f t="shared" si="0"/>
        <v>9618</v>
      </c>
    </row>
    <row r="57" spans="1:24" x14ac:dyDescent="0.2">
      <c r="A57" s="276">
        <v>49</v>
      </c>
      <c r="B57" s="277" t="s">
        <v>136</v>
      </c>
      <c r="C57" s="278" t="s">
        <v>137</v>
      </c>
      <c r="D57" s="279" t="s">
        <v>577</v>
      </c>
      <c r="E57" s="280">
        <v>19002</v>
      </c>
      <c r="F57" s="280">
        <v>7</v>
      </c>
      <c r="G57" s="280">
        <v>0</v>
      </c>
      <c r="H57" s="280">
        <v>7</v>
      </c>
      <c r="I57" s="280">
        <v>1056</v>
      </c>
      <c r="J57" s="280">
        <v>7</v>
      </c>
      <c r="K57" s="280">
        <v>0</v>
      </c>
      <c r="L57" s="280"/>
      <c r="M57" s="280"/>
      <c r="N57" s="280">
        <v>17932</v>
      </c>
      <c r="O57" s="279"/>
      <c r="P57" s="279"/>
      <c r="Q57" s="279"/>
      <c r="R57" s="279"/>
      <c r="S57" s="279"/>
      <c r="T57" s="279"/>
      <c r="U57" s="279"/>
      <c r="V57" s="280">
        <v>19002</v>
      </c>
      <c r="W57" s="280">
        <v>0</v>
      </c>
      <c r="X57" s="280">
        <f t="shared" si="0"/>
        <v>19002</v>
      </c>
    </row>
    <row r="58" spans="1:24" x14ac:dyDescent="0.2">
      <c r="A58" s="276">
        <v>50</v>
      </c>
      <c r="B58" s="283" t="s">
        <v>86</v>
      </c>
      <c r="C58" s="286" t="s">
        <v>87</v>
      </c>
      <c r="D58" s="279" t="s">
        <v>577</v>
      </c>
      <c r="E58" s="280">
        <v>9067</v>
      </c>
      <c r="F58" s="280">
        <v>1</v>
      </c>
      <c r="G58" s="280">
        <v>0</v>
      </c>
      <c r="H58" s="280">
        <v>1</v>
      </c>
      <c r="I58" s="280">
        <v>0</v>
      </c>
      <c r="J58" s="280">
        <v>0</v>
      </c>
      <c r="K58" s="280">
        <v>0</v>
      </c>
      <c r="L58" s="280"/>
      <c r="M58" s="280"/>
      <c r="N58" s="280">
        <v>9066</v>
      </c>
      <c r="O58" s="279"/>
      <c r="P58" s="279"/>
      <c r="Q58" s="279"/>
      <c r="R58" s="279"/>
      <c r="S58" s="279"/>
      <c r="T58" s="279"/>
      <c r="U58" s="279"/>
      <c r="V58" s="280">
        <v>9067</v>
      </c>
      <c r="W58" s="280">
        <v>416</v>
      </c>
      <c r="X58" s="280">
        <f t="shared" si="0"/>
        <v>9483</v>
      </c>
    </row>
    <row r="59" spans="1:24" x14ac:dyDescent="0.2">
      <c r="A59" s="276">
        <v>51</v>
      </c>
      <c r="B59" s="277" t="s">
        <v>208</v>
      </c>
      <c r="C59" s="278" t="s">
        <v>579</v>
      </c>
      <c r="D59" s="279" t="s">
        <v>577</v>
      </c>
      <c r="E59" s="280">
        <v>6385</v>
      </c>
      <c r="F59" s="280">
        <v>0</v>
      </c>
      <c r="G59" s="280">
        <v>0</v>
      </c>
      <c r="H59" s="280"/>
      <c r="I59" s="280">
        <v>0</v>
      </c>
      <c r="J59" s="280">
        <v>0</v>
      </c>
      <c r="K59" s="280">
        <v>0</v>
      </c>
      <c r="L59" s="280"/>
      <c r="M59" s="280"/>
      <c r="N59" s="280">
        <v>6385</v>
      </c>
      <c r="O59" s="279"/>
      <c r="P59" s="279"/>
      <c r="Q59" s="279"/>
      <c r="R59" s="279"/>
      <c r="S59" s="279"/>
      <c r="T59" s="279"/>
      <c r="U59" s="279"/>
      <c r="V59" s="280">
        <v>6385</v>
      </c>
      <c r="W59" s="280">
        <v>845</v>
      </c>
      <c r="X59" s="280">
        <f t="shared" si="0"/>
        <v>7230</v>
      </c>
    </row>
    <row r="60" spans="1:24" x14ac:dyDescent="0.2">
      <c r="A60" s="276">
        <v>52</v>
      </c>
      <c r="B60" s="277" t="s">
        <v>298</v>
      </c>
      <c r="C60" s="278" t="s">
        <v>299</v>
      </c>
      <c r="D60" s="279" t="s">
        <v>577</v>
      </c>
      <c r="E60" s="280">
        <v>0</v>
      </c>
      <c r="F60" s="280">
        <v>0</v>
      </c>
      <c r="G60" s="280">
        <v>0</v>
      </c>
      <c r="H60" s="280"/>
      <c r="I60" s="280">
        <v>0</v>
      </c>
      <c r="J60" s="280">
        <v>0</v>
      </c>
      <c r="K60" s="280">
        <v>0</v>
      </c>
      <c r="L60" s="280"/>
      <c r="M60" s="280"/>
      <c r="N60" s="280">
        <v>0</v>
      </c>
      <c r="O60" s="279"/>
      <c r="P60" s="279"/>
      <c r="Q60" s="279"/>
      <c r="R60" s="279"/>
      <c r="S60" s="279"/>
      <c r="T60" s="279"/>
      <c r="U60" s="279"/>
      <c r="V60" s="280">
        <v>0</v>
      </c>
      <c r="W60" s="280">
        <v>500</v>
      </c>
      <c r="X60" s="280">
        <f t="shared" si="0"/>
        <v>500</v>
      </c>
    </row>
    <row r="61" spans="1:24" x14ac:dyDescent="0.2">
      <c r="A61" s="276">
        <v>53</v>
      </c>
      <c r="B61" s="277" t="s">
        <v>254</v>
      </c>
      <c r="C61" s="278" t="s">
        <v>255</v>
      </c>
      <c r="D61" s="279" t="s">
        <v>577</v>
      </c>
      <c r="E61" s="280">
        <v>314</v>
      </c>
      <c r="F61" s="280">
        <v>0</v>
      </c>
      <c r="G61" s="280">
        <v>0</v>
      </c>
      <c r="H61" s="280"/>
      <c r="I61" s="280">
        <v>0</v>
      </c>
      <c r="J61" s="280">
        <v>0</v>
      </c>
      <c r="K61" s="280">
        <v>0</v>
      </c>
      <c r="L61" s="280"/>
      <c r="M61" s="280"/>
      <c r="N61" s="280">
        <v>314</v>
      </c>
      <c r="O61" s="279"/>
      <c r="P61" s="279"/>
      <c r="Q61" s="279"/>
      <c r="R61" s="279"/>
      <c r="S61" s="279"/>
      <c r="T61" s="279"/>
      <c r="U61" s="279"/>
      <c r="V61" s="280">
        <v>314</v>
      </c>
      <c r="W61" s="280">
        <v>0</v>
      </c>
      <c r="X61" s="280">
        <f t="shared" si="0"/>
        <v>314</v>
      </c>
    </row>
    <row r="62" spans="1:24" x14ac:dyDescent="0.2">
      <c r="A62" s="276">
        <v>54</v>
      </c>
      <c r="B62" s="277" t="s">
        <v>184</v>
      </c>
      <c r="C62" s="278" t="s">
        <v>580</v>
      </c>
      <c r="D62" s="279" t="s">
        <v>581</v>
      </c>
      <c r="E62" s="280">
        <v>3253</v>
      </c>
      <c r="F62" s="280">
        <v>0</v>
      </c>
      <c r="G62" s="280">
        <v>0</v>
      </c>
      <c r="H62" s="280"/>
      <c r="I62" s="280">
        <v>0</v>
      </c>
      <c r="J62" s="280">
        <v>20</v>
      </c>
      <c r="K62" s="280">
        <v>0</v>
      </c>
      <c r="L62" s="280"/>
      <c r="M62" s="280"/>
      <c r="N62" s="280">
        <v>3233</v>
      </c>
      <c r="O62" s="280"/>
      <c r="P62" s="280"/>
      <c r="Q62" s="280"/>
      <c r="R62" s="280"/>
      <c r="S62" s="280"/>
      <c r="T62" s="280"/>
      <c r="U62" s="280"/>
      <c r="V62" s="280">
        <v>3253</v>
      </c>
      <c r="W62" s="280">
        <v>987</v>
      </c>
      <c r="X62" s="280">
        <f t="shared" si="0"/>
        <v>4240</v>
      </c>
    </row>
    <row r="63" spans="1:24" x14ac:dyDescent="0.2">
      <c r="A63" s="276">
        <v>55</v>
      </c>
      <c r="B63" s="277" t="s">
        <v>286</v>
      </c>
      <c r="C63" s="278" t="s">
        <v>287</v>
      </c>
      <c r="D63" s="279" t="s">
        <v>581</v>
      </c>
      <c r="E63" s="280">
        <v>23976</v>
      </c>
      <c r="F63" s="280">
        <v>0</v>
      </c>
      <c r="G63" s="280">
        <v>0</v>
      </c>
      <c r="H63" s="280"/>
      <c r="I63" s="280">
        <v>1585</v>
      </c>
      <c r="J63" s="280">
        <v>0</v>
      </c>
      <c r="K63" s="280">
        <v>0</v>
      </c>
      <c r="L63" s="280"/>
      <c r="M63" s="280"/>
      <c r="N63" s="280">
        <v>22391</v>
      </c>
      <c r="O63" s="280"/>
      <c r="P63" s="280"/>
      <c r="Q63" s="280"/>
      <c r="R63" s="280"/>
      <c r="S63" s="280"/>
      <c r="T63" s="280"/>
      <c r="U63" s="280"/>
      <c r="V63" s="280">
        <v>23976</v>
      </c>
      <c r="W63" s="280">
        <v>0</v>
      </c>
      <c r="X63" s="280">
        <f t="shared" si="0"/>
        <v>23976</v>
      </c>
    </row>
    <row r="64" spans="1:24" s="292" customFormat="1" ht="26.25" customHeight="1" x14ac:dyDescent="0.2">
      <c r="A64" s="287">
        <v>56</v>
      </c>
      <c r="B64" s="288" t="s">
        <v>144</v>
      </c>
      <c r="C64" s="289" t="s">
        <v>582</v>
      </c>
      <c r="D64" s="290" t="s">
        <v>583</v>
      </c>
      <c r="E64" s="291">
        <v>5132</v>
      </c>
      <c r="F64" s="291">
        <v>0</v>
      </c>
      <c r="G64" s="291">
        <v>0</v>
      </c>
      <c r="H64" s="291">
        <v>0</v>
      </c>
      <c r="I64" s="291">
        <v>0</v>
      </c>
      <c r="J64" s="291">
        <v>0</v>
      </c>
      <c r="K64" s="291">
        <v>671</v>
      </c>
      <c r="L64" s="291">
        <v>13</v>
      </c>
      <c r="M64" s="291">
        <v>0</v>
      </c>
      <c r="N64" s="291">
        <v>4448</v>
      </c>
      <c r="O64" s="291">
        <v>114</v>
      </c>
      <c r="P64" s="291">
        <v>0</v>
      </c>
      <c r="Q64" s="291">
        <v>53</v>
      </c>
      <c r="R64" s="291">
        <v>46</v>
      </c>
      <c r="S64" s="291">
        <v>0</v>
      </c>
      <c r="T64" s="291">
        <v>0</v>
      </c>
      <c r="U64" s="291">
        <v>0</v>
      </c>
      <c r="V64" s="291">
        <v>5246</v>
      </c>
      <c r="W64" s="291">
        <v>0</v>
      </c>
      <c r="X64" s="291">
        <f t="shared" ref="X64" si="1">X65+X66</f>
        <v>5246</v>
      </c>
    </row>
    <row r="65" spans="1:25" x14ac:dyDescent="0.2">
      <c r="A65" s="276"/>
      <c r="B65" s="277"/>
      <c r="C65" s="293" t="s">
        <v>584</v>
      </c>
      <c r="D65" s="279" t="s">
        <v>576</v>
      </c>
      <c r="E65" s="280">
        <v>0</v>
      </c>
      <c r="F65" s="280">
        <v>0</v>
      </c>
      <c r="G65" s="280">
        <v>0</v>
      </c>
      <c r="H65" s="280"/>
      <c r="I65" s="280">
        <v>0</v>
      </c>
      <c r="J65" s="280">
        <v>0</v>
      </c>
      <c r="K65" s="280">
        <v>0</v>
      </c>
      <c r="L65" s="280"/>
      <c r="M65" s="280">
        <v>0</v>
      </c>
      <c r="N65" s="280">
        <v>0</v>
      </c>
      <c r="O65" s="280"/>
      <c r="P65" s="280"/>
      <c r="Q65" s="280"/>
      <c r="R65" s="280"/>
      <c r="S65" s="280"/>
      <c r="T65" s="280"/>
      <c r="U65" s="280"/>
      <c r="V65" s="280">
        <v>0</v>
      </c>
      <c r="W65" s="280">
        <v>0</v>
      </c>
      <c r="X65" s="280">
        <f t="shared" si="0"/>
        <v>0</v>
      </c>
    </row>
    <row r="66" spans="1:25" x14ac:dyDescent="0.2">
      <c r="A66" s="276"/>
      <c r="B66" s="277"/>
      <c r="C66" s="293" t="s">
        <v>584</v>
      </c>
      <c r="D66" s="279" t="s">
        <v>583</v>
      </c>
      <c r="E66" s="280">
        <v>5132</v>
      </c>
      <c r="F66" s="280">
        <v>0</v>
      </c>
      <c r="G66" s="280">
        <v>0</v>
      </c>
      <c r="H66" s="280"/>
      <c r="I66" s="280">
        <v>0</v>
      </c>
      <c r="J66" s="280">
        <v>0</v>
      </c>
      <c r="K66" s="280">
        <v>671</v>
      </c>
      <c r="L66" s="280">
        <v>13</v>
      </c>
      <c r="M66" s="280">
        <v>0</v>
      </c>
      <c r="N66" s="280">
        <v>4448</v>
      </c>
      <c r="O66" s="280">
        <v>114</v>
      </c>
      <c r="P66" s="280">
        <v>0</v>
      </c>
      <c r="Q66" s="280">
        <v>53</v>
      </c>
      <c r="R66" s="280">
        <v>46</v>
      </c>
      <c r="S66" s="280">
        <v>0</v>
      </c>
      <c r="T66" s="280">
        <v>0</v>
      </c>
      <c r="U66" s="280">
        <v>0</v>
      </c>
      <c r="V66" s="280">
        <v>5246</v>
      </c>
      <c r="W66" s="280">
        <v>0</v>
      </c>
      <c r="X66" s="280">
        <f t="shared" si="0"/>
        <v>5246</v>
      </c>
    </row>
    <row r="67" spans="1:25" ht="18" customHeight="1" x14ac:dyDescent="0.2">
      <c r="A67" s="287">
        <v>57</v>
      </c>
      <c r="B67" s="288" t="s">
        <v>226</v>
      </c>
      <c r="C67" s="289" t="s">
        <v>227</v>
      </c>
      <c r="D67" s="290" t="s">
        <v>583</v>
      </c>
      <c r="E67" s="291">
        <v>3369</v>
      </c>
      <c r="F67" s="291">
        <v>0</v>
      </c>
      <c r="G67" s="291">
        <v>0</v>
      </c>
      <c r="H67" s="291">
        <v>0</v>
      </c>
      <c r="I67" s="291">
        <v>0</v>
      </c>
      <c r="J67" s="291">
        <v>0</v>
      </c>
      <c r="K67" s="291">
        <v>0</v>
      </c>
      <c r="L67" s="291"/>
      <c r="M67" s="291"/>
      <c r="N67" s="291">
        <v>3369</v>
      </c>
      <c r="O67" s="291">
        <v>100</v>
      </c>
      <c r="P67" s="291">
        <v>0</v>
      </c>
      <c r="Q67" s="291">
        <v>0</v>
      </c>
      <c r="R67" s="291">
        <v>0</v>
      </c>
      <c r="S67" s="291">
        <v>0</v>
      </c>
      <c r="T67" s="291">
        <v>0</v>
      </c>
      <c r="U67" s="291">
        <v>0</v>
      </c>
      <c r="V67" s="291">
        <v>3469</v>
      </c>
      <c r="W67" s="291">
        <v>0</v>
      </c>
      <c r="X67" s="291">
        <f>X68+X69</f>
        <v>3469</v>
      </c>
    </row>
    <row r="68" spans="1:25" x14ac:dyDescent="0.2">
      <c r="A68" s="294"/>
      <c r="B68" s="277"/>
      <c r="C68" s="293" t="s">
        <v>584</v>
      </c>
      <c r="D68" s="279" t="s">
        <v>585</v>
      </c>
      <c r="E68" s="280">
        <v>2944</v>
      </c>
      <c r="F68" s="280">
        <v>0</v>
      </c>
      <c r="G68" s="280">
        <v>0</v>
      </c>
      <c r="H68" s="280"/>
      <c r="I68" s="280">
        <v>0</v>
      </c>
      <c r="J68" s="280">
        <v>0</v>
      </c>
      <c r="K68" s="280">
        <v>0</v>
      </c>
      <c r="L68" s="280"/>
      <c r="M68" s="280">
        <v>0</v>
      </c>
      <c r="N68" s="280">
        <v>2944</v>
      </c>
      <c r="O68" s="280"/>
      <c r="P68" s="280"/>
      <c r="Q68" s="280"/>
      <c r="R68" s="280"/>
      <c r="S68" s="280"/>
      <c r="T68" s="280"/>
      <c r="U68" s="280"/>
      <c r="V68" s="280">
        <v>2944</v>
      </c>
      <c r="W68" s="280">
        <v>0</v>
      </c>
      <c r="X68" s="280">
        <f t="shared" si="0"/>
        <v>2944</v>
      </c>
    </row>
    <row r="69" spans="1:25" x14ac:dyDescent="0.2">
      <c r="A69" s="294"/>
      <c r="B69" s="277"/>
      <c r="C69" s="293" t="s">
        <v>584</v>
      </c>
      <c r="D69" s="279" t="s">
        <v>586</v>
      </c>
      <c r="E69" s="280">
        <v>425</v>
      </c>
      <c r="F69" s="280">
        <v>0</v>
      </c>
      <c r="G69" s="280">
        <v>0</v>
      </c>
      <c r="H69" s="280"/>
      <c r="I69" s="280">
        <v>0</v>
      </c>
      <c r="J69" s="280">
        <v>0</v>
      </c>
      <c r="K69" s="280">
        <v>0</v>
      </c>
      <c r="L69" s="280"/>
      <c r="M69" s="280">
        <v>0</v>
      </c>
      <c r="N69" s="280">
        <v>425</v>
      </c>
      <c r="O69" s="280">
        <v>100</v>
      </c>
      <c r="P69" s="280">
        <v>0</v>
      </c>
      <c r="Q69" s="280">
        <v>0</v>
      </c>
      <c r="R69" s="280">
        <v>0</v>
      </c>
      <c r="S69" s="280">
        <v>0</v>
      </c>
      <c r="T69" s="280">
        <v>0</v>
      </c>
      <c r="U69" s="280">
        <v>0</v>
      </c>
      <c r="V69" s="280">
        <v>525</v>
      </c>
      <c r="W69" s="280">
        <v>0</v>
      </c>
      <c r="X69" s="280">
        <f t="shared" si="0"/>
        <v>525</v>
      </c>
    </row>
    <row r="70" spans="1:25" ht="18" customHeight="1" x14ac:dyDescent="0.2">
      <c r="A70" s="287">
        <v>58</v>
      </c>
      <c r="B70" s="288" t="s">
        <v>116</v>
      </c>
      <c r="C70" s="289" t="s">
        <v>587</v>
      </c>
      <c r="D70" s="290" t="s">
        <v>583</v>
      </c>
      <c r="E70" s="291">
        <v>606</v>
      </c>
      <c r="F70" s="291">
        <v>3</v>
      </c>
      <c r="G70" s="291">
        <v>0</v>
      </c>
      <c r="H70" s="291">
        <v>3</v>
      </c>
      <c r="I70" s="291">
        <v>0</v>
      </c>
      <c r="J70" s="291">
        <v>0</v>
      </c>
      <c r="K70" s="291">
        <v>48</v>
      </c>
      <c r="L70" s="291">
        <v>0</v>
      </c>
      <c r="M70" s="291">
        <v>0</v>
      </c>
      <c r="N70" s="291">
        <v>555</v>
      </c>
      <c r="O70" s="291">
        <v>62</v>
      </c>
      <c r="P70" s="291">
        <v>0</v>
      </c>
      <c r="Q70" s="291">
        <v>0</v>
      </c>
      <c r="R70" s="291">
        <v>0</v>
      </c>
      <c r="S70" s="291">
        <v>0</v>
      </c>
      <c r="T70" s="291">
        <v>0</v>
      </c>
      <c r="U70" s="291">
        <v>0</v>
      </c>
      <c r="V70" s="291">
        <v>668</v>
      </c>
      <c r="W70" s="291">
        <v>0</v>
      </c>
      <c r="X70" s="291">
        <f>SUM(X71:X72)</f>
        <v>668</v>
      </c>
    </row>
    <row r="71" spans="1:25" x14ac:dyDescent="0.2">
      <c r="A71" s="294"/>
      <c r="B71" s="277"/>
      <c r="C71" s="293" t="s">
        <v>584</v>
      </c>
      <c r="D71" s="279" t="s">
        <v>577</v>
      </c>
      <c r="E71" s="280">
        <v>406</v>
      </c>
      <c r="F71" s="280">
        <v>3</v>
      </c>
      <c r="G71" s="280">
        <v>0</v>
      </c>
      <c r="H71" s="280">
        <v>3</v>
      </c>
      <c r="I71" s="280">
        <v>0</v>
      </c>
      <c r="J71" s="280">
        <v>0</v>
      </c>
      <c r="K71" s="280">
        <v>48</v>
      </c>
      <c r="L71" s="280"/>
      <c r="M71" s="280">
        <v>0</v>
      </c>
      <c r="N71" s="280">
        <v>355</v>
      </c>
      <c r="O71" s="280"/>
      <c r="P71" s="280"/>
      <c r="Q71" s="280"/>
      <c r="R71" s="280"/>
      <c r="S71" s="280"/>
      <c r="T71" s="280"/>
      <c r="U71" s="280"/>
      <c r="V71" s="280">
        <v>406</v>
      </c>
      <c r="W71" s="280">
        <v>0</v>
      </c>
      <c r="X71" s="280">
        <f t="shared" si="0"/>
        <v>406</v>
      </c>
    </row>
    <row r="72" spans="1:25" x14ac:dyDescent="0.2">
      <c r="A72" s="294"/>
      <c r="B72" s="277"/>
      <c r="C72" s="293" t="s">
        <v>584</v>
      </c>
      <c r="D72" s="279" t="s">
        <v>586</v>
      </c>
      <c r="E72" s="280">
        <v>200</v>
      </c>
      <c r="F72" s="280">
        <v>0</v>
      </c>
      <c r="G72" s="280">
        <v>0</v>
      </c>
      <c r="H72" s="280"/>
      <c r="I72" s="280">
        <v>0</v>
      </c>
      <c r="J72" s="280">
        <v>0</v>
      </c>
      <c r="K72" s="280">
        <v>0</v>
      </c>
      <c r="L72" s="280"/>
      <c r="M72" s="280">
        <v>0</v>
      </c>
      <c r="N72" s="280">
        <v>200</v>
      </c>
      <c r="O72" s="280">
        <v>62</v>
      </c>
      <c r="P72" s="280">
        <v>0</v>
      </c>
      <c r="Q72" s="280">
        <v>0</v>
      </c>
      <c r="R72" s="280">
        <v>0</v>
      </c>
      <c r="S72" s="280">
        <v>0</v>
      </c>
      <c r="T72" s="280">
        <v>0</v>
      </c>
      <c r="U72" s="280">
        <v>0</v>
      </c>
      <c r="V72" s="280">
        <v>262</v>
      </c>
      <c r="W72" s="280">
        <v>0</v>
      </c>
      <c r="X72" s="280">
        <f>V72+W72</f>
        <v>262</v>
      </c>
    </row>
    <row r="73" spans="1:25" ht="18" customHeight="1" x14ac:dyDescent="0.2">
      <c r="A73" s="287">
        <v>59</v>
      </c>
      <c r="B73" s="288" t="s">
        <v>102</v>
      </c>
      <c r="C73" s="289" t="s">
        <v>103</v>
      </c>
      <c r="D73" s="290" t="s">
        <v>583</v>
      </c>
      <c r="E73" s="291">
        <v>10445</v>
      </c>
      <c r="F73" s="291">
        <v>21</v>
      </c>
      <c r="G73" s="291">
        <v>0</v>
      </c>
      <c r="H73" s="291">
        <v>21</v>
      </c>
      <c r="I73" s="291">
        <v>0</v>
      </c>
      <c r="J73" s="291">
        <v>0</v>
      </c>
      <c r="K73" s="291">
        <v>0</v>
      </c>
      <c r="L73" s="291">
        <v>0</v>
      </c>
      <c r="M73" s="291">
        <v>0</v>
      </c>
      <c r="N73" s="291">
        <v>10424</v>
      </c>
      <c r="O73" s="291">
        <v>130</v>
      </c>
      <c r="P73" s="291">
        <v>0</v>
      </c>
      <c r="Q73" s="291">
        <v>0</v>
      </c>
      <c r="R73" s="291">
        <v>0</v>
      </c>
      <c r="S73" s="291">
        <v>0</v>
      </c>
      <c r="T73" s="291">
        <v>0</v>
      </c>
      <c r="U73" s="291">
        <v>0</v>
      </c>
      <c r="V73" s="291">
        <v>10575</v>
      </c>
      <c r="W73" s="291">
        <v>0</v>
      </c>
      <c r="X73" s="291">
        <f>SUM(X74:X75)</f>
        <v>10575</v>
      </c>
    </row>
    <row r="74" spans="1:25" x14ac:dyDescent="0.2">
      <c r="A74" s="294"/>
      <c r="B74" s="277"/>
      <c r="C74" s="293" t="s">
        <v>584</v>
      </c>
      <c r="D74" s="279" t="s">
        <v>577</v>
      </c>
      <c r="E74" s="280">
        <v>8694</v>
      </c>
      <c r="F74" s="280">
        <v>21</v>
      </c>
      <c r="G74" s="280">
        <v>0</v>
      </c>
      <c r="H74" s="280">
        <v>21</v>
      </c>
      <c r="I74" s="280">
        <v>0</v>
      </c>
      <c r="J74" s="280">
        <v>0</v>
      </c>
      <c r="K74" s="280">
        <v>0</v>
      </c>
      <c r="L74" s="280"/>
      <c r="M74" s="280">
        <v>0</v>
      </c>
      <c r="N74" s="280">
        <v>8673</v>
      </c>
      <c r="O74" s="280"/>
      <c r="P74" s="280"/>
      <c r="Q74" s="280"/>
      <c r="R74" s="280"/>
      <c r="S74" s="280"/>
      <c r="T74" s="280"/>
      <c r="U74" s="280"/>
      <c r="V74" s="280">
        <v>8694</v>
      </c>
      <c r="W74" s="280">
        <v>0</v>
      </c>
      <c r="X74" s="280">
        <f>V74+W74</f>
        <v>8694</v>
      </c>
    </row>
    <row r="75" spans="1:25" x14ac:dyDescent="0.2">
      <c r="A75" s="294"/>
      <c r="B75" s="277"/>
      <c r="C75" s="293" t="s">
        <v>584</v>
      </c>
      <c r="D75" s="279" t="s">
        <v>586</v>
      </c>
      <c r="E75" s="280">
        <v>1751</v>
      </c>
      <c r="F75" s="280">
        <v>0</v>
      </c>
      <c r="G75" s="280">
        <v>0</v>
      </c>
      <c r="H75" s="280"/>
      <c r="I75" s="280">
        <v>0</v>
      </c>
      <c r="J75" s="280">
        <v>0</v>
      </c>
      <c r="K75" s="280">
        <v>0</v>
      </c>
      <c r="L75" s="280"/>
      <c r="M75" s="280">
        <v>0</v>
      </c>
      <c r="N75" s="280">
        <v>1751</v>
      </c>
      <c r="O75" s="280">
        <v>130</v>
      </c>
      <c r="P75" s="280">
        <v>0</v>
      </c>
      <c r="Q75" s="280">
        <v>0</v>
      </c>
      <c r="R75" s="280">
        <v>0</v>
      </c>
      <c r="S75" s="280">
        <v>0</v>
      </c>
      <c r="T75" s="280">
        <v>0</v>
      </c>
      <c r="U75" s="280">
        <v>0</v>
      </c>
      <c r="V75" s="280">
        <v>1881</v>
      </c>
      <c r="W75" s="280">
        <v>0</v>
      </c>
      <c r="X75" s="280">
        <f>V75+W75</f>
        <v>1881</v>
      </c>
    </row>
    <row r="76" spans="1:25" s="292" customFormat="1" ht="18" customHeight="1" x14ac:dyDescent="0.2">
      <c r="A76" s="287">
        <v>60</v>
      </c>
      <c r="B76" s="295" t="s">
        <v>26</v>
      </c>
      <c r="C76" s="289" t="s">
        <v>588</v>
      </c>
      <c r="D76" s="290" t="s">
        <v>586</v>
      </c>
      <c r="E76" s="291">
        <v>11236</v>
      </c>
      <c r="F76" s="291">
        <v>1</v>
      </c>
      <c r="G76" s="291">
        <v>0</v>
      </c>
      <c r="H76" s="291">
        <v>1</v>
      </c>
      <c r="I76" s="291">
        <v>0</v>
      </c>
      <c r="J76" s="291">
        <v>11</v>
      </c>
      <c r="K76" s="291">
        <v>89</v>
      </c>
      <c r="L76" s="291">
        <v>0</v>
      </c>
      <c r="M76" s="291">
        <v>0</v>
      </c>
      <c r="N76" s="291">
        <v>11135</v>
      </c>
      <c r="O76" s="291">
        <v>124</v>
      </c>
      <c r="P76" s="291">
        <v>0</v>
      </c>
      <c r="Q76" s="291">
        <v>4</v>
      </c>
      <c r="R76" s="291">
        <v>0</v>
      </c>
      <c r="S76" s="291">
        <v>0</v>
      </c>
      <c r="T76" s="291">
        <v>0</v>
      </c>
      <c r="U76" s="291">
        <v>0</v>
      </c>
      <c r="V76" s="291">
        <v>11360</v>
      </c>
      <c r="W76" s="313">
        <v>454</v>
      </c>
      <c r="X76" s="291">
        <f>SUM(X77:X78)</f>
        <v>11814</v>
      </c>
      <c r="Y76" s="296"/>
    </row>
    <row r="77" spans="1:25" x14ac:dyDescent="0.2">
      <c r="A77" s="294"/>
      <c r="B77" s="276"/>
      <c r="C77" s="293" t="s">
        <v>584</v>
      </c>
      <c r="D77" s="279" t="s">
        <v>576</v>
      </c>
      <c r="E77" s="280">
        <v>9279</v>
      </c>
      <c r="F77" s="280">
        <v>1</v>
      </c>
      <c r="G77" s="280">
        <v>0</v>
      </c>
      <c r="H77" s="280">
        <v>1</v>
      </c>
      <c r="I77" s="280">
        <v>0</v>
      </c>
      <c r="J77" s="280">
        <v>11</v>
      </c>
      <c r="K77" s="280">
        <v>0</v>
      </c>
      <c r="L77" s="280"/>
      <c r="M77" s="280">
        <v>0</v>
      </c>
      <c r="N77" s="280">
        <v>9267</v>
      </c>
      <c r="O77" s="279"/>
      <c r="P77" s="279"/>
      <c r="Q77" s="279"/>
      <c r="R77" s="279"/>
      <c r="S77" s="279"/>
      <c r="T77" s="279"/>
      <c r="U77" s="279"/>
      <c r="V77" s="280">
        <v>9279</v>
      </c>
      <c r="W77" s="280">
        <v>454</v>
      </c>
      <c r="X77" s="280">
        <f>V77+W77</f>
        <v>9733</v>
      </c>
    </row>
    <row r="78" spans="1:25" x14ac:dyDescent="0.2">
      <c r="A78" s="294"/>
      <c r="B78" s="276"/>
      <c r="C78" s="293" t="s">
        <v>584</v>
      </c>
      <c r="D78" s="279" t="s">
        <v>586</v>
      </c>
      <c r="E78" s="280">
        <v>1957</v>
      </c>
      <c r="F78" s="280">
        <v>0</v>
      </c>
      <c r="G78" s="280">
        <v>0</v>
      </c>
      <c r="H78" s="279"/>
      <c r="I78" s="280">
        <v>0</v>
      </c>
      <c r="J78" s="280">
        <v>0</v>
      </c>
      <c r="K78" s="280">
        <v>89</v>
      </c>
      <c r="L78" s="280"/>
      <c r="M78" s="280">
        <v>0</v>
      </c>
      <c r="N78" s="280">
        <v>1868</v>
      </c>
      <c r="O78" s="280">
        <v>124</v>
      </c>
      <c r="P78" s="280">
        <v>0</v>
      </c>
      <c r="Q78" s="280">
        <v>4</v>
      </c>
      <c r="R78" s="280">
        <v>0</v>
      </c>
      <c r="S78" s="280">
        <v>0</v>
      </c>
      <c r="T78" s="280">
        <v>0</v>
      </c>
      <c r="U78" s="280">
        <v>0</v>
      </c>
      <c r="V78" s="280">
        <v>2081</v>
      </c>
      <c r="W78" s="280">
        <v>0</v>
      </c>
      <c r="X78" s="280">
        <f>V78+W78</f>
        <v>2081</v>
      </c>
    </row>
    <row r="79" spans="1:25" s="292" customFormat="1" ht="18" customHeight="1" x14ac:dyDescent="0.2">
      <c r="A79" s="287">
        <v>61</v>
      </c>
      <c r="B79" s="295" t="s">
        <v>32</v>
      </c>
      <c r="C79" s="289" t="s">
        <v>33</v>
      </c>
      <c r="D79" s="290" t="s">
        <v>586</v>
      </c>
      <c r="E79" s="291">
        <v>5016</v>
      </c>
      <c r="F79" s="291">
        <v>94</v>
      </c>
      <c r="G79" s="291">
        <v>0</v>
      </c>
      <c r="H79" s="291">
        <v>94</v>
      </c>
      <c r="I79" s="291">
        <v>0</v>
      </c>
      <c r="J79" s="291">
        <v>2</v>
      </c>
      <c r="K79" s="291">
        <v>252</v>
      </c>
      <c r="L79" s="291">
        <v>1</v>
      </c>
      <c r="M79" s="291">
        <v>0</v>
      </c>
      <c r="N79" s="291">
        <v>4667</v>
      </c>
      <c r="O79" s="291">
        <v>46</v>
      </c>
      <c r="P79" s="291">
        <v>0</v>
      </c>
      <c r="Q79" s="291">
        <v>4</v>
      </c>
      <c r="R79" s="291">
        <v>0</v>
      </c>
      <c r="S79" s="291">
        <v>0</v>
      </c>
      <c r="T79" s="291">
        <v>0</v>
      </c>
      <c r="U79" s="291">
        <v>0</v>
      </c>
      <c r="V79" s="291">
        <v>5062</v>
      </c>
      <c r="W79" s="291">
        <v>411</v>
      </c>
      <c r="X79" s="291">
        <f>SUM(X80:X81)</f>
        <v>5473</v>
      </c>
    </row>
    <row r="80" spans="1:25" x14ac:dyDescent="0.2">
      <c r="A80" s="294"/>
      <c r="B80" s="276"/>
      <c r="C80" s="293" t="s">
        <v>584</v>
      </c>
      <c r="D80" s="279" t="s">
        <v>576</v>
      </c>
      <c r="E80" s="280">
        <v>3494</v>
      </c>
      <c r="F80" s="280">
        <v>94</v>
      </c>
      <c r="G80" s="280">
        <v>0</v>
      </c>
      <c r="H80" s="280">
        <v>94</v>
      </c>
      <c r="I80" s="280">
        <v>0</v>
      </c>
      <c r="J80" s="280">
        <v>2</v>
      </c>
      <c r="K80" s="280">
        <v>0</v>
      </c>
      <c r="L80" s="280"/>
      <c r="M80" s="280">
        <v>0</v>
      </c>
      <c r="N80" s="280">
        <v>3398</v>
      </c>
      <c r="O80" s="279"/>
      <c r="P80" s="279"/>
      <c r="Q80" s="279"/>
      <c r="R80" s="279"/>
      <c r="S80" s="279"/>
      <c r="T80" s="279"/>
      <c r="U80" s="279"/>
      <c r="V80" s="280">
        <v>3494</v>
      </c>
      <c r="W80" s="280">
        <v>411</v>
      </c>
      <c r="X80" s="280">
        <f>V80+W80</f>
        <v>3905</v>
      </c>
    </row>
    <row r="81" spans="1:24" x14ac:dyDescent="0.2">
      <c r="A81" s="294"/>
      <c r="B81" s="276"/>
      <c r="C81" s="293" t="s">
        <v>584</v>
      </c>
      <c r="D81" s="294" t="s">
        <v>586</v>
      </c>
      <c r="E81" s="297">
        <v>1522</v>
      </c>
      <c r="F81" s="298">
        <v>0</v>
      </c>
      <c r="G81" s="297">
        <v>0</v>
      </c>
      <c r="H81" s="298"/>
      <c r="I81" s="297">
        <v>0</v>
      </c>
      <c r="J81" s="297">
        <v>0</v>
      </c>
      <c r="K81" s="297">
        <v>252</v>
      </c>
      <c r="L81" s="297">
        <v>1</v>
      </c>
      <c r="M81" s="297">
        <v>0</v>
      </c>
      <c r="N81" s="297">
        <v>1269</v>
      </c>
      <c r="O81" s="299">
        <v>46</v>
      </c>
      <c r="P81" s="299">
        <v>0</v>
      </c>
      <c r="Q81" s="299">
        <v>4</v>
      </c>
      <c r="R81" s="299">
        <v>0</v>
      </c>
      <c r="S81" s="299">
        <v>0</v>
      </c>
      <c r="T81" s="299">
        <v>0</v>
      </c>
      <c r="U81" s="299">
        <v>0</v>
      </c>
      <c r="V81" s="280">
        <v>1568</v>
      </c>
      <c r="W81" s="280">
        <v>0</v>
      </c>
      <c r="X81" s="280">
        <f>V81+W81</f>
        <v>1568</v>
      </c>
    </row>
    <row r="82" spans="1:24" s="292" customFormat="1" ht="18" customHeight="1" x14ac:dyDescent="0.2">
      <c r="A82" s="287">
        <v>62</v>
      </c>
      <c r="B82" s="288" t="s">
        <v>20</v>
      </c>
      <c r="C82" s="289" t="s">
        <v>21</v>
      </c>
      <c r="D82" s="290" t="s">
        <v>586</v>
      </c>
      <c r="E82" s="291">
        <v>17655</v>
      </c>
      <c r="F82" s="291">
        <v>59</v>
      </c>
      <c r="G82" s="291">
        <v>0</v>
      </c>
      <c r="H82" s="291">
        <v>59</v>
      </c>
      <c r="I82" s="291">
        <v>0</v>
      </c>
      <c r="J82" s="291">
        <v>2</v>
      </c>
      <c r="K82" s="291">
        <v>231</v>
      </c>
      <c r="L82" s="291">
        <v>0</v>
      </c>
      <c r="M82" s="291">
        <v>0</v>
      </c>
      <c r="N82" s="291">
        <v>17363</v>
      </c>
      <c r="O82" s="291">
        <v>36</v>
      </c>
      <c r="P82" s="291">
        <v>0</v>
      </c>
      <c r="Q82" s="291">
        <v>4</v>
      </c>
      <c r="R82" s="291">
        <v>0</v>
      </c>
      <c r="S82" s="291">
        <v>0</v>
      </c>
      <c r="T82" s="291">
        <v>0</v>
      </c>
      <c r="U82" s="291">
        <v>0</v>
      </c>
      <c r="V82" s="291">
        <v>17691</v>
      </c>
      <c r="W82" s="291">
        <v>415</v>
      </c>
      <c r="X82" s="291">
        <f>SUM(X83:X84)</f>
        <v>18106</v>
      </c>
    </row>
    <row r="83" spans="1:24" x14ac:dyDescent="0.2">
      <c r="A83" s="294"/>
      <c r="B83" s="276"/>
      <c r="C83" s="293" t="s">
        <v>584</v>
      </c>
      <c r="D83" s="279" t="s">
        <v>576</v>
      </c>
      <c r="E83" s="280">
        <v>14993</v>
      </c>
      <c r="F83" s="280">
        <v>59</v>
      </c>
      <c r="G83" s="280">
        <v>0</v>
      </c>
      <c r="H83" s="280">
        <v>59</v>
      </c>
      <c r="I83" s="280">
        <v>0</v>
      </c>
      <c r="J83" s="280">
        <v>2</v>
      </c>
      <c r="K83" s="280">
        <v>0</v>
      </c>
      <c r="L83" s="280"/>
      <c r="M83" s="280">
        <v>0</v>
      </c>
      <c r="N83" s="280">
        <v>14932</v>
      </c>
      <c r="O83" s="279"/>
      <c r="P83" s="279"/>
      <c r="Q83" s="279"/>
      <c r="R83" s="279"/>
      <c r="S83" s="279"/>
      <c r="T83" s="279"/>
      <c r="U83" s="279"/>
      <c r="V83" s="280">
        <v>14993</v>
      </c>
      <c r="W83" s="280">
        <v>415</v>
      </c>
      <c r="X83" s="280">
        <f>V83+W83</f>
        <v>15408</v>
      </c>
    </row>
    <row r="84" spans="1:24" x14ac:dyDescent="0.2">
      <c r="A84" s="294"/>
      <c r="B84" s="276"/>
      <c r="C84" s="293" t="s">
        <v>584</v>
      </c>
      <c r="D84" s="298" t="s">
        <v>589</v>
      </c>
      <c r="E84" s="297">
        <v>2662</v>
      </c>
      <c r="F84" s="298">
        <v>0</v>
      </c>
      <c r="G84" s="297">
        <v>0</v>
      </c>
      <c r="H84" s="298"/>
      <c r="I84" s="297">
        <v>0</v>
      </c>
      <c r="J84" s="297">
        <v>0</v>
      </c>
      <c r="K84" s="297">
        <v>231</v>
      </c>
      <c r="L84" s="297"/>
      <c r="M84" s="297">
        <v>0</v>
      </c>
      <c r="N84" s="297">
        <v>2431</v>
      </c>
      <c r="O84" s="299">
        <v>36</v>
      </c>
      <c r="P84" s="299">
        <v>0</v>
      </c>
      <c r="Q84" s="299">
        <v>4</v>
      </c>
      <c r="R84" s="299">
        <v>0</v>
      </c>
      <c r="S84" s="299">
        <v>0</v>
      </c>
      <c r="T84" s="299">
        <v>0</v>
      </c>
      <c r="U84" s="299">
        <v>0</v>
      </c>
      <c r="V84" s="280">
        <v>2698</v>
      </c>
      <c r="W84" s="280">
        <v>0</v>
      </c>
      <c r="X84" s="280">
        <f>V84+W84</f>
        <v>2698</v>
      </c>
    </row>
    <row r="85" spans="1:24" s="292" customFormat="1" ht="18" customHeight="1" x14ac:dyDescent="0.2">
      <c r="A85" s="287">
        <v>63</v>
      </c>
      <c r="B85" s="288" t="s">
        <v>28</v>
      </c>
      <c r="C85" s="289" t="s">
        <v>590</v>
      </c>
      <c r="D85" s="290" t="s">
        <v>586</v>
      </c>
      <c r="E85" s="291">
        <v>15202</v>
      </c>
      <c r="F85" s="291">
        <v>1</v>
      </c>
      <c r="G85" s="291">
        <v>0</v>
      </c>
      <c r="H85" s="291">
        <v>1</v>
      </c>
      <c r="I85" s="291">
        <v>0</v>
      </c>
      <c r="J85" s="291">
        <v>0</v>
      </c>
      <c r="K85" s="291">
        <v>0</v>
      </c>
      <c r="L85" s="291">
        <v>0</v>
      </c>
      <c r="M85" s="291">
        <v>0</v>
      </c>
      <c r="N85" s="291">
        <v>15201</v>
      </c>
      <c r="O85" s="291">
        <v>10</v>
      </c>
      <c r="P85" s="291">
        <v>0</v>
      </c>
      <c r="Q85" s="291">
        <v>0</v>
      </c>
      <c r="R85" s="291">
        <v>0</v>
      </c>
      <c r="S85" s="291">
        <v>0</v>
      </c>
      <c r="T85" s="291">
        <v>0</v>
      </c>
      <c r="U85" s="291">
        <v>0</v>
      </c>
      <c r="V85" s="291">
        <v>15212</v>
      </c>
      <c r="W85" s="291">
        <v>723</v>
      </c>
      <c r="X85" s="291">
        <f>SUM(X86:X87)</f>
        <v>15935</v>
      </c>
    </row>
    <row r="86" spans="1:24" x14ac:dyDescent="0.2">
      <c r="A86" s="294"/>
      <c r="B86" s="276"/>
      <c r="C86" s="293" t="s">
        <v>584</v>
      </c>
      <c r="D86" s="279" t="s">
        <v>577</v>
      </c>
      <c r="E86" s="280">
        <v>14243</v>
      </c>
      <c r="F86" s="280">
        <v>1</v>
      </c>
      <c r="G86" s="280">
        <v>0</v>
      </c>
      <c r="H86" s="280">
        <v>1</v>
      </c>
      <c r="I86" s="280">
        <v>0</v>
      </c>
      <c r="J86" s="280">
        <v>0</v>
      </c>
      <c r="K86" s="280">
        <v>0</v>
      </c>
      <c r="L86" s="280"/>
      <c r="M86" s="280">
        <v>0</v>
      </c>
      <c r="N86" s="280">
        <v>14242</v>
      </c>
      <c r="O86" s="279"/>
      <c r="P86" s="279"/>
      <c r="Q86" s="279"/>
      <c r="R86" s="279"/>
      <c r="S86" s="279"/>
      <c r="T86" s="279"/>
      <c r="U86" s="279"/>
      <c r="V86" s="280">
        <v>14243</v>
      </c>
      <c r="W86" s="280">
        <v>723</v>
      </c>
      <c r="X86" s="280">
        <f>V86+W86</f>
        <v>14966</v>
      </c>
    </row>
    <row r="87" spans="1:24" x14ac:dyDescent="0.2">
      <c r="A87" s="294"/>
      <c r="B87" s="276"/>
      <c r="C87" s="293" t="s">
        <v>584</v>
      </c>
      <c r="D87" s="279" t="s">
        <v>586</v>
      </c>
      <c r="E87" s="297">
        <v>959</v>
      </c>
      <c r="F87" s="297">
        <v>0</v>
      </c>
      <c r="G87" s="297">
        <v>0</v>
      </c>
      <c r="H87" s="297"/>
      <c r="I87" s="297">
        <v>0</v>
      </c>
      <c r="J87" s="297">
        <v>0</v>
      </c>
      <c r="K87" s="297">
        <v>0</v>
      </c>
      <c r="L87" s="297"/>
      <c r="M87" s="297">
        <v>0</v>
      </c>
      <c r="N87" s="297">
        <v>959</v>
      </c>
      <c r="O87" s="299">
        <v>10</v>
      </c>
      <c r="P87" s="299">
        <v>0</v>
      </c>
      <c r="Q87" s="299">
        <v>0</v>
      </c>
      <c r="R87" s="299">
        <v>0</v>
      </c>
      <c r="S87" s="299">
        <v>0</v>
      </c>
      <c r="T87" s="299">
        <v>0</v>
      </c>
      <c r="U87" s="299">
        <v>0</v>
      </c>
      <c r="V87" s="280">
        <v>969</v>
      </c>
      <c r="W87" s="280">
        <v>0</v>
      </c>
      <c r="X87" s="280">
        <f>V87+W87</f>
        <v>969</v>
      </c>
    </row>
    <row r="88" spans="1:24" s="292" customFormat="1" ht="18" customHeight="1" x14ac:dyDescent="0.2">
      <c r="A88" s="287">
        <v>64</v>
      </c>
      <c r="B88" s="288" t="s">
        <v>18</v>
      </c>
      <c r="C88" s="289" t="s">
        <v>591</v>
      </c>
      <c r="D88" s="290" t="s">
        <v>586</v>
      </c>
      <c r="E88" s="291">
        <v>22862</v>
      </c>
      <c r="F88" s="291">
        <v>30</v>
      </c>
      <c r="G88" s="291">
        <v>0</v>
      </c>
      <c r="H88" s="291">
        <v>30</v>
      </c>
      <c r="I88" s="291">
        <v>0</v>
      </c>
      <c r="J88" s="291">
        <v>20</v>
      </c>
      <c r="K88" s="291">
        <v>458</v>
      </c>
      <c r="L88" s="291">
        <v>0</v>
      </c>
      <c r="M88" s="291">
        <v>0</v>
      </c>
      <c r="N88" s="291">
        <v>22354</v>
      </c>
      <c r="O88" s="291">
        <v>4</v>
      </c>
      <c r="P88" s="291">
        <v>0</v>
      </c>
      <c r="Q88" s="291">
        <v>4</v>
      </c>
      <c r="R88" s="291">
        <v>0</v>
      </c>
      <c r="S88" s="291">
        <v>0</v>
      </c>
      <c r="T88" s="291">
        <v>0</v>
      </c>
      <c r="U88" s="291">
        <v>0</v>
      </c>
      <c r="V88" s="291">
        <v>22866</v>
      </c>
      <c r="W88" s="291">
        <v>676</v>
      </c>
      <c r="X88" s="291">
        <f>SUM(X89:X90)</f>
        <v>23542</v>
      </c>
    </row>
    <row r="89" spans="1:24" x14ac:dyDescent="0.2">
      <c r="A89" s="294"/>
      <c r="B89" s="276"/>
      <c r="C89" s="293" t="s">
        <v>584</v>
      </c>
      <c r="D89" s="279" t="s">
        <v>577</v>
      </c>
      <c r="E89" s="280">
        <v>22256</v>
      </c>
      <c r="F89" s="280">
        <v>30</v>
      </c>
      <c r="G89" s="280">
        <v>0</v>
      </c>
      <c r="H89" s="280">
        <v>30</v>
      </c>
      <c r="I89" s="280">
        <v>0</v>
      </c>
      <c r="J89" s="280">
        <v>20</v>
      </c>
      <c r="K89" s="280">
        <v>0</v>
      </c>
      <c r="L89" s="280"/>
      <c r="M89" s="280">
        <v>0</v>
      </c>
      <c r="N89" s="280">
        <v>22206</v>
      </c>
      <c r="O89" s="279"/>
      <c r="P89" s="279"/>
      <c r="Q89" s="279"/>
      <c r="R89" s="279"/>
      <c r="S89" s="279"/>
      <c r="T89" s="279"/>
      <c r="U89" s="279"/>
      <c r="V89" s="280">
        <v>22256</v>
      </c>
      <c r="W89" s="280">
        <v>676</v>
      </c>
      <c r="X89" s="280">
        <f>V89+W89</f>
        <v>22932</v>
      </c>
    </row>
    <row r="90" spans="1:24" x14ac:dyDescent="0.2">
      <c r="A90" s="294"/>
      <c r="B90" s="276"/>
      <c r="C90" s="293" t="s">
        <v>584</v>
      </c>
      <c r="D90" s="279" t="s">
        <v>586</v>
      </c>
      <c r="E90" s="280">
        <v>606</v>
      </c>
      <c r="F90" s="280">
        <v>0</v>
      </c>
      <c r="G90" s="280">
        <v>0</v>
      </c>
      <c r="H90" s="280"/>
      <c r="I90" s="280">
        <v>0</v>
      </c>
      <c r="J90" s="280">
        <v>0</v>
      </c>
      <c r="K90" s="280">
        <v>458</v>
      </c>
      <c r="L90" s="280"/>
      <c r="M90" s="280">
        <v>0</v>
      </c>
      <c r="N90" s="280">
        <v>148</v>
      </c>
      <c r="O90" s="300">
        <v>4</v>
      </c>
      <c r="P90" s="300">
        <v>0</v>
      </c>
      <c r="Q90" s="300">
        <v>4</v>
      </c>
      <c r="R90" s="300">
        <v>0</v>
      </c>
      <c r="S90" s="300">
        <v>0</v>
      </c>
      <c r="T90" s="300">
        <v>0</v>
      </c>
      <c r="U90" s="300">
        <v>0</v>
      </c>
      <c r="V90" s="280">
        <v>610</v>
      </c>
      <c r="W90" s="280">
        <v>0</v>
      </c>
      <c r="X90" s="280">
        <f>V90+W90</f>
        <v>610</v>
      </c>
    </row>
    <row r="91" spans="1:24" s="292" customFormat="1" ht="18" customHeight="1" x14ac:dyDescent="0.2">
      <c r="A91" s="287">
        <v>65</v>
      </c>
      <c r="B91" s="301" t="s">
        <v>98</v>
      </c>
      <c r="C91" s="289" t="s">
        <v>592</v>
      </c>
      <c r="D91" s="290" t="s">
        <v>586</v>
      </c>
      <c r="E91" s="291">
        <v>19145</v>
      </c>
      <c r="F91" s="291">
        <v>24</v>
      </c>
      <c r="G91" s="291">
        <v>0</v>
      </c>
      <c r="H91" s="291">
        <v>24</v>
      </c>
      <c r="I91" s="291">
        <v>0</v>
      </c>
      <c r="J91" s="291">
        <v>0</v>
      </c>
      <c r="K91" s="291">
        <v>429</v>
      </c>
      <c r="L91" s="291">
        <v>0</v>
      </c>
      <c r="M91" s="291">
        <v>5</v>
      </c>
      <c r="N91" s="291">
        <v>18687</v>
      </c>
      <c r="O91" s="291">
        <v>152</v>
      </c>
      <c r="P91" s="291">
        <v>0</v>
      </c>
      <c r="Q91" s="291">
        <v>3</v>
      </c>
      <c r="R91" s="291">
        <v>0</v>
      </c>
      <c r="S91" s="291">
        <v>0</v>
      </c>
      <c r="T91" s="291">
        <v>0</v>
      </c>
      <c r="U91" s="291">
        <v>0</v>
      </c>
      <c r="V91" s="291">
        <v>19297</v>
      </c>
      <c r="W91" s="291">
        <v>0</v>
      </c>
      <c r="X91" s="291">
        <f>X92+X93</f>
        <v>19297</v>
      </c>
    </row>
    <row r="92" spans="1:24" x14ac:dyDescent="0.2">
      <c r="A92" s="294"/>
      <c r="B92" s="276"/>
      <c r="C92" s="293" t="s">
        <v>584</v>
      </c>
      <c r="D92" s="279" t="s">
        <v>576</v>
      </c>
      <c r="E92" s="280">
        <v>16135</v>
      </c>
      <c r="F92" s="280">
        <v>24</v>
      </c>
      <c r="G92" s="280">
        <v>0</v>
      </c>
      <c r="H92" s="280">
        <v>24</v>
      </c>
      <c r="I92" s="280">
        <v>0</v>
      </c>
      <c r="J92" s="280">
        <v>0</v>
      </c>
      <c r="K92" s="280">
        <v>0</v>
      </c>
      <c r="L92" s="280"/>
      <c r="M92" s="280">
        <v>0</v>
      </c>
      <c r="N92" s="280">
        <v>16111</v>
      </c>
      <c r="O92" s="279"/>
      <c r="P92" s="279"/>
      <c r="Q92" s="279"/>
      <c r="R92" s="279"/>
      <c r="S92" s="279"/>
      <c r="T92" s="279"/>
      <c r="U92" s="279"/>
      <c r="V92" s="280">
        <v>16135</v>
      </c>
      <c r="W92" s="280">
        <v>0</v>
      </c>
      <c r="X92" s="280">
        <f>V92+W92</f>
        <v>16135</v>
      </c>
    </row>
    <row r="93" spans="1:24" x14ac:dyDescent="0.2">
      <c r="A93" s="294"/>
      <c r="B93" s="276"/>
      <c r="C93" s="293" t="s">
        <v>584</v>
      </c>
      <c r="D93" s="294" t="s">
        <v>586</v>
      </c>
      <c r="E93" s="297">
        <v>3010</v>
      </c>
      <c r="F93" s="297">
        <v>0</v>
      </c>
      <c r="G93" s="297">
        <v>0</v>
      </c>
      <c r="H93" s="297"/>
      <c r="I93" s="297">
        <v>0</v>
      </c>
      <c r="J93" s="297">
        <v>0</v>
      </c>
      <c r="K93" s="297">
        <v>429</v>
      </c>
      <c r="L93" s="297"/>
      <c r="M93" s="297">
        <v>5</v>
      </c>
      <c r="N93" s="297">
        <v>2576</v>
      </c>
      <c r="O93" s="300">
        <v>152</v>
      </c>
      <c r="P93" s="300">
        <v>0</v>
      </c>
      <c r="Q93" s="300">
        <v>3</v>
      </c>
      <c r="R93" s="300">
        <v>0</v>
      </c>
      <c r="S93" s="300">
        <v>0</v>
      </c>
      <c r="T93" s="300">
        <v>0</v>
      </c>
      <c r="U93" s="300">
        <v>0</v>
      </c>
      <c r="V93" s="280">
        <v>3162</v>
      </c>
      <c r="W93" s="280">
        <v>0</v>
      </c>
      <c r="X93" s="280">
        <f>V93+W93</f>
        <v>3162</v>
      </c>
    </row>
    <row r="94" spans="1:24" s="292" customFormat="1" ht="18" customHeight="1" x14ac:dyDescent="0.2">
      <c r="A94" s="287">
        <v>66</v>
      </c>
      <c r="B94" s="301" t="s">
        <v>92</v>
      </c>
      <c r="C94" s="289" t="s">
        <v>593</v>
      </c>
      <c r="D94" s="290" t="s">
        <v>586</v>
      </c>
      <c r="E94" s="291">
        <v>45639</v>
      </c>
      <c r="F94" s="291">
        <v>970</v>
      </c>
      <c r="G94" s="291">
        <v>654</v>
      </c>
      <c r="H94" s="291">
        <v>316</v>
      </c>
      <c r="I94" s="291">
        <v>0</v>
      </c>
      <c r="J94" s="291">
        <v>0</v>
      </c>
      <c r="K94" s="291">
        <v>554</v>
      </c>
      <c r="L94" s="291">
        <v>0</v>
      </c>
      <c r="M94" s="291">
        <v>50</v>
      </c>
      <c r="N94" s="291">
        <v>44065</v>
      </c>
      <c r="O94" s="291">
        <v>819</v>
      </c>
      <c r="P94" s="291">
        <v>190</v>
      </c>
      <c r="Q94" s="291">
        <v>5</v>
      </c>
      <c r="R94" s="291">
        <v>0</v>
      </c>
      <c r="S94" s="291">
        <v>0</v>
      </c>
      <c r="T94" s="291">
        <v>105</v>
      </c>
      <c r="U94" s="291">
        <v>0</v>
      </c>
      <c r="V94" s="291">
        <v>46458</v>
      </c>
      <c r="W94" s="291">
        <v>1562</v>
      </c>
      <c r="X94" s="291">
        <f>X95+X96</f>
        <v>48020</v>
      </c>
    </row>
    <row r="95" spans="1:24" x14ac:dyDescent="0.2">
      <c r="A95" s="294"/>
      <c r="B95" s="276"/>
      <c r="C95" s="293" t="s">
        <v>584</v>
      </c>
      <c r="D95" s="279" t="s">
        <v>576</v>
      </c>
      <c r="E95" s="280">
        <v>34412</v>
      </c>
      <c r="F95" s="280">
        <v>244</v>
      </c>
      <c r="G95" s="280">
        <v>54</v>
      </c>
      <c r="H95" s="280">
        <v>190</v>
      </c>
      <c r="I95" s="280">
        <v>0</v>
      </c>
      <c r="J95" s="280">
        <v>0</v>
      </c>
      <c r="K95" s="280">
        <v>0</v>
      </c>
      <c r="L95" s="280"/>
      <c r="M95" s="280">
        <v>0</v>
      </c>
      <c r="N95" s="280">
        <v>34168</v>
      </c>
      <c r="O95" s="279"/>
      <c r="P95" s="279"/>
      <c r="Q95" s="279"/>
      <c r="R95" s="279"/>
      <c r="S95" s="279"/>
      <c r="T95" s="279"/>
      <c r="U95" s="279"/>
      <c r="V95" s="280">
        <v>34412</v>
      </c>
      <c r="W95" s="280">
        <v>1562</v>
      </c>
      <c r="X95" s="280">
        <f>V95+W95</f>
        <v>35974</v>
      </c>
    </row>
    <row r="96" spans="1:24" x14ac:dyDescent="0.2">
      <c r="A96" s="294"/>
      <c r="B96" s="276"/>
      <c r="C96" s="293" t="s">
        <v>584</v>
      </c>
      <c r="D96" s="294" t="s">
        <v>586</v>
      </c>
      <c r="E96" s="297">
        <v>11227</v>
      </c>
      <c r="F96" s="297">
        <v>726</v>
      </c>
      <c r="G96" s="297">
        <v>600</v>
      </c>
      <c r="H96" s="297">
        <v>126</v>
      </c>
      <c r="I96" s="297">
        <v>0</v>
      </c>
      <c r="J96" s="297">
        <v>0</v>
      </c>
      <c r="K96" s="297">
        <v>554</v>
      </c>
      <c r="L96" s="297"/>
      <c r="M96" s="297">
        <v>50</v>
      </c>
      <c r="N96" s="297">
        <v>9897</v>
      </c>
      <c r="O96" s="299">
        <v>819</v>
      </c>
      <c r="P96" s="299">
        <v>190</v>
      </c>
      <c r="Q96" s="299">
        <v>5</v>
      </c>
      <c r="R96" s="299">
        <v>0</v>
      </c>
      <c r="S96" s="299">
        <v>0</v>
      </c>
      <c r="T96" s="299">
        <v>105</v>
      </c>
      <c r="U96" s="299">
        <v>0</v>
      </c>
      <c r="V96" s="280">
        <v>12046</v>
      </c>
      <c r="W96" s="280">
        <v>0</v>
      </c>
      <c r="X96" s="280">
        <f>V96+W96</f>
        <v>12046</v>
      </c>
    </row>
    <row r="97" spans="1:25" s="292" customFormat="1" ht="18" customHeight="1" x14ac:dyDescent="0.2">
      <c r="A97" s="287">
        <v>67</v>
      </c>
      <c r="B97" s="301" t="s">
        <v>190</v>
      </c>
      <c r="C97" s="289" t="s">
        <v>432</v>
      </c>
      <c r="D97" s="290" t="s">
        <v>586</v>
      </c>
      <c r="E97" s="291">
        <v>11907</v>
      </c>
      <c r="F97" s="291">
        <v>1177</v>
      </c>
      <c r="G97" s="291">
        <v>1146</v>
      </c>
      <c r="H97" s="291">
        <v>31</v>
      </c>
      <c r="I97" s="291">
        <v>0</v>
      </c>
      <c r="J97" s="291">
        <v>15</v>
      </c>
      <c r="K97" s="291">
        <v>0</v>
      </c>
      <c r="L97" s="291">
        <v>0</v>
      </c>
      <c r="M97" s="291">
        <v>0</v>
      </c>
      <c r="N97" s="291">
        <v>10715</v>
      </c>
      <c r="O97" s="291">
        <v>405</v>
      </c>
      <c r="P97" s="291">
        <v>0</v>
      </c>
      <c r="Q97" s="291">
        <v>0</v>
      </c>
      <c r="R97" s="291">
        <v>0</v>
      </c>
      <c r="S97" s="291">
        <v>0</v>
      </c>
      <c r="T97" s="291">
        <v>0</v>
      </c>
      <c r="U97" s="291">
        <v>0</v>
      </c>
      <c r="V97" s="291">
        <v>12312</v>
      </c>
      <c r="W97" s="291">
        <v>768</v>
      </c>
      <c r="X97" s="291">
        <f>SUM(X98:X99)</f>
        <v>13080</v>
      </c>
    </row>
    <row r="98" spans="1:25" x14ac:dyDescent="0.2">
      <c r="A98" s="294"/>
      <c r="B98" s="276"/>
      <c r="C98" s="293" t="s">
        <v>584</v>
      </c>
      <c r="D98" s="279" t="s">
        <v>577</v>
      </c>
      <c r="E98" s="280">
        <v>5975</v>
      </c>
      <c r="F98" s="280">
        <v>38</v>
      </c>
      <c r="G98" s="280">
        <v>9</v>
      </c>
      <c r="H98" s="280">
        <v>29</v>
      </c>
      <c r="I98" s="280">
        <v>0</v>
      </c>
      <c r="J98" s="280">
        <v>15</v>
      </c>
      <c r="K98" s="280">
        <v>0</v>
      </c>
      <c r="L98" s="280"/>
      <c r="M98" s="280">
        <v>0</v>
      </c>
      <c r="N98" s="280">
        <v>5922</v>
      </c>
      <c r="O98" s="279"/>
      <c r="P98" s="279"/>
      <c r="Q98" s="279"/>
      <c r="R98" s="279"/>
      <c r="S98" s="279"/>
      <c r="T98" s="279"/>
      <c r="U98" s="279"/>
      <c r="V98" s="280">
        <v>5975</v>
      </c>
      <c r="W98" s="280">
        <v>768</v>
      </c>
      <c r="X98" s="280">
        <f>V98+W98</f>
        <v>6743</v>
      </c>
    </row>
    <row r="99" spans="1:25" x14ac:dyDescent="0.2">
      <c r="A99" s="294"/>
      <c r="B99" s="276"/>
      <c r="C99" s="293" t="s">
        <v>584</v>
      </c>
      <c r="D99" s="294" t="s">
        <v>586</v>
      </c>
      <c r="E99" s="297">
        <v>5932</v>
      </c>
      <c r="F99" s="297">
        <v>1139</v>
      </c>
      <c r="G99" s="297">
        <v>1137</v>
      </c>
      <c r="H99" s="297">
        <v>2</v>
      </c>
      <c r="I99" s="297">
        <v>0</v>
      </c>
      <c r="J99" s="297">
        <v>0</v>
      </c>
      <c r="K99" s="297">
        <v>0</v>
      </c>
      <c r="L99" s="297"/>
      <c r="M99" s="297">
        <v>0</v>
      </c>
      <c r="N99" s="297">
        <v>4793</v>
      </c>
      <c r="O99" s="299">
        <v>405</v>
      </c>
      <c r="P99" s="299">
        <v>0</v>
      </c>
      <c r="Q99" s="299">
        <v>0</v>
      </c>
      <c r="R99" s="299">
        <v>0</v>
      </c>
      <c r="S99" s="299">
        <v>0</v>
      </c>
      <c r="T99" s="299">
        <v>0</v>
      </c>
      <c r="U99" s="299">
        <v>0</v>
      </c>
      <c r="V99" s="280">
        <v>6337</v>
      </c>
      <c r="W99" s="280">
        <v>0</v>
      </c>
      <c r="X99" s="280">
        <f>V99+W99</f>
        <v>6337</v>
      </c>
    </row>
    <row r="100" spans="1:25" s="292" customFormat="1" ht="18" customHeight="1" x14ac:dyDescent="0.2">
      <c r="A100" s="287">
        <v>68</v>
      </c>
      <c r="B100" s="288" t="s">
        <v>186</v>
      </c>
      <c r="C100" s="289" t="s">
        <v>594</v>
      </c>
      <c r="D100" s="290" t="s">
        <v>586</v>
      </c>
      <c r="E100" s="291">
        <v>25027</v>
      </c>
      <c r="F100" s="291">
        <v>1</v>
      </c>
      <c r="G100" s="291">
        <v>0</v>
      </c>
      <c r="H100" s="291">
        <v>1</v>
      </c>
      <c r="I100" s="291">
        <v>0</v>
      </c>
      <c r="J100" s="291">
        <v>0</v>
      </c>
      <c r="K100" s="291">
        <v>0</v>
      </c>
      <c r="L100" s="291">
        <v>0</v>
      </c>
      <c r="M100" s="291">
        <v>0</v>
      </c>
      <c r="N100" s="291">
        <v>25026</v>
      </c>
      <c r="O100" s="291">
        <v>1409</v>
      </c>
      <c r="P100" s="291">
        <v>0</v>
      </c>
      <c r="Q100" s="291">
        <v>0</v>
      </c>
      <c r="R100" s="291">
        <v>0</v>
      </c>
      <c r="S100" s="291">
        <v>0</v>
      </c>
      <c r="T100" s="291">
        <v>0</v>
      </c>
      <c r="U100" s="291">
        <v>0</v>
      </c>
      <c r="V100" s="291">
        <v>26436</v>
      </c>
      <c r="W100" s="291">
        <v>1191</v>
      </c>
      <c r="X100" s="291">
        <f>SUM(X101:X102)</f>
        <v>27627</v>
      </c>
    </row>
    <row r="101" spans="1:25" x14ac:dyDescent="0.2">
      <c r="A101" s="294"/>
      <c r="B101" s="276"/>
      <c r="C101" s="293" t="s">
        <v>584</v>
      </c>
      <c r="D101" s="279" t="s">
        <v>577</v>
      </c>
      <c r="E101" s="280">
        <v>13564</v>
      </c>
      <c r="F101" s="280">
        <v>1</v>
      </c>
      <c r="G101" s="280">
        <v>0</v>
      </c>
      <c r="H101" s="280">
        <v>1</v>
      </c>
      <c r="I101" s="280">
        <v>0</v>
      </c>
      <c r="J101" s="280">
        <v>0</v>
      </c>
      <c r="K101" s="280">
        <v>0</v>
      </c>
      <c r="L101" s="280"/>
      <c r="M101" s="280">
        <v>0</v>
      </c>
      <c r="N101" s="280">
        <v>13563</v>
      </c>
      <c r="O101" s="279"/>
      <c r="P101" s="279"/>
      <c r="Q101" s="279"/>
      <c r="R101" s="279"/>
      <c r="S101" s="279"/>
      <c r="T101" s="279"/>
      <c r="U101" s="279"/>
      <c r="V101" s="280">
        <v>13564</v>
      </c>
      <c r="W101" s="280">
        <v>1191</v>
      </c>
      <c r="X101" s="280">
        <f>V101+W101</f>
        <v>14755</v>
      </c>
    </row>
    <row r="102" spans="1:25" x14ac:dyDescent="0.2">
      <c r="A102" s="294"/>
      <c r="B102" s="276"/>
      <c r="C102" s="293" t="s">
        <v>584</v>
      </c>
      <c r="D102" s="279" t="s">
        <v>586</v>
      </c>
      <c r="E102" s="280">
        <v>11463</v>
      </c>
      <c r="F102" s="280">
        <v>0</v>
      </c>
      <c r="G102" s="280">
        <v>0</v>
      </c>
      <c r="H102" s="280"/>
      <c r="I102" s="280">
        <v>0</v>
      </c>
      <c r="J102" s="280">
        <v>0</v>
      </c>
      <c r="K102" s="280">
        <v>0</v>
      </c>
      <c r="L102" s="280"/>
      <c r="M102" s="280">
        <v>0</v>
      </c>
      <c r="N102" s="280">
        <v>11463</v>
      </c>
      <c r="O102" s="300">
        <v>1409</v>
      </c>
      <c r="P102" s="300">
        <v>0</v>
      </c>
      <c r="Q102" s="300">
        <v>0</v>
      </c>
      <c r="R102" s="300">
        <v>0</v>
      </c>
      <c r="S102" s="300">
        <v>0</v>
      </c>
      <c r="T102" s="300">
        <v>0</v>
      </c>
      <c r="U102" s="300">
        <v>0</v>
      </c>
      <c r="V102" s="280">
        <v>12872</v>
      </c>
      <c r="W102" s="280">
        <v>0</v>
      </c>
      <c r="X102" s="280">
        <f>V102+W102</f>
        <v>12872</v>
      </c>
    </row>
    <row r="103" spans="1:25" s="292" customFormat="1" ht="18" customHeight="1" x14ac:dyDescent="0.2">
      <c r="A103" s="287">
        <v>69</v>
      </c>
      <c r="B103" s="301" t="s">
        <v>196</v>
      </c>
      <c r="C103" s="289" t="s">
        <v>197</v>
      </c>
      <c r="D103" s="290" t="s">
        <v>586</v>
      </c>
      <c r="E103" s="291">
        <v>11162</v>
      </c>
      <c r="F103" s="291">
        <v>0</v>
      </c>
      <c r="G103" s="291">
        <v>0</v>
      </c>
      <c r="H103" s="291">
        <v>0</v>
      </c>
      <c r="I103" s="291">
        <v>0</v>
      </c>
      <c r="J103" s="291">
        <v>0</v>
      </c>
      <c r="K103" s="291">
        <v>0</v>
      </c>
      <c r="L103" s="291">
        <v>0</v>
      </c>
      <c r="M103" s="291">
        <v>0</v>
      </c>
      <c r="N103" s="291">
        <v>11162</v>
      </c>
      <c r="O103" s="291">
        <v>100</v>
      </c>
      <c r="P103" s="291">
        <v>0</v>
      </c>
      <c r="Q103" s="291">
        <v>0</v>
      </c>
      <c r="R103" s="291">
        <v>0</v>
      </c>
      <c r="S103" s="291">
        <v>0</v>
      </c>
      <c r="T103" s="291">
        <v>0</v>
      </c>
      <c r="U103" s="291">
        <v>0</v>
      </c>
      <c r="V103" s="291">
        <v>11262</v>
      </c>
      <c r="W103" s="291">
        <v>0</v>
      </c>
      <c r="X103" s="291">
        <f>X104+X105</f>
        <v>11262</v>
      </c>
    </row>
    <row r="104" spans="1:25" x14ac:dyDescent="0.2">
      <c r="A104" s="294"/>
      <c r="B104" s="276"/>
      <c r="C104" s="293" t="s">
        <v>584</v>
      </c>
      <c r="D104" s="279" t="s">
        <v>576</v>
      </c>
      <c r="E104" s="280">
        <v>30</v>
      </c>
      <c r="F104" s="280">
        <v>0</v>
      </c>
      <c r="G104" s="280">
        <v>0</v>
      </c>
      <c r="H104" s="280"/>
      <c r="I104" s="280">
        <v>0</v>
      </c>
      <c r="J104" s="280">
        <v>0</v>
      </c>
      <c r="K104" s="280">
        <v>0</v>
      </c>
      <c r="L104" s="280"/>
      <c r="M104" s="280">
        <v>0</v>
      </c>
      <c r="N104" s="280">
        <v>30</v>
      </c>
      <c r="O104" s="279"/>
      <c r="P104" s="279"/>
      <c r="Q104" s="279"/>
      <c r="R104" s="279"/>
      <c r="S104" s="279"/>
      <c r="T104" s="279"/>
      <c r="U104" s="279"/>
      <c r="V104" s="280">
        <v>30</v>
      </c>
      <c r="W104" s="280">
        <v>0</v>
      </c>
      <c r="X104" s="280">
        <f>V104+W104</f>
        <v>30</v>
      </c>
    </row>
    <row r="105" spans="1:25" ht="15.75" customHeight="1" x14ac:dyDescent="0.2">
      <c r="A105" s="294"/>
      <c r="B105" s="276"/>
      <c r="C105" s="293" t="s">
        <v>584</v>
      </c>
      <c r="D105" s="294" t="s">
        <v>586</v>
      </c>
      <c r="E105" s="297">
        <v>11132</v>
      </c>
      <c r="F105" s="297">
        <v>0</v>
      </c>
      <c r="G105" s="297">
        <v>0</v>
      </c>
      <c r="H105" s="297"/>
      <c r="I105" s="297">
        <v>0</v>
      </c>
      <c r="J105" s="297">
        <v>0</v>
      </c>
      <c r="K105" s="297">
        <v>0</v>
      </c>
      <c r="L105" s="297"/>
      <c r="M105" s="297">
        <v>0</v>
      </c>
      <c r="N105" s="297">
        <v>11132</v>
      </c>
      <c r="O105" s="297">
        <v>100</v>
      </c>
      <c r="P105" s="297">
        <v>0</v>
      </c>
      <c r="Q105" s="297">
        <v>0</v>
      </c>
      <c r="R105" s="297">
        <v>0</v>
      </c>
      <c r="S105" s="297">
        <v>0</v>
      </c>
      <c r="T105" s="297">
        <v>0</v>
      </c>
      <c r="U105" s="297">
        <v>0</v>
      </c>
      <c r="V105" s="302">
        <v>11232</v>
      </c>
      <c r="W105" s="280">
        <v>0</v>
      </c>
      <c r="X105" s="280">
        <f>V105+W105</f>
        <v>11232</v>
      </c>
    </row>
    <row r="106" spans="1:25" s="292" customFormat="1" ht="18" customHeight="1" x14ac:dyDescent="0.2">
      <c r="A106" s="287">
        <v>70</v>
      </c>
      <c r="B106" s="295" t="s">
        <v>22</v>
      </c>
      <c r="C106" s="289" t="s">
        <v>595</v>
      </c>
      <c r="D106" s="290" t="s">
        <v>586</v>
      </c>
      <c r="E106" s="291">
        <v>11227</v>
      </c>
      <c r="F106" s="291">
        <v>1</v>
      </c>
      <c r="G106" s="291">
        <v>0</v>
      </c>
      <c r="H106" s="291">
        <v>1</v>
      </c>
      <c r="I106" s="291">
        <v>176</v>
      </c>
      <c r="J106" s="291">
        <v>0</v>
      </c>
      <c r="K106" s="291">
        <v>84</v>
      </c>
      <c r="L106" s="291">
        <v>0</v>
      </c>
      <c r="M106" s="291">
        <v>0</v>
      </c>
      <c r="N106" s="291">
        <v>10966</v>
      </c>
      <c r="O106" s="291">
        <v>97</v>
      </c>
      <c r="P106" s="291">
        <v>0</v>
      </c>
      <c r="Q106" s="291">
        <v>2</v>
      </c>
      <c r="R106" s="291">
        <v>0</v>
      </c>
      <c r="S106" s="291">
        <v>0</v>
      </c>
      <c r="T106" s="291">
        <v>0</v>
      </c>
      <c r="U106" s="291">
        <v>0</v>
      </c>
      <c r="V106" s="291">
        <v>11324</v>
      </c>
      <c r="W106" s="291">
        <v>240</v>
      </c>
      <c r="X106" s="291">
        <f>X107+X108</f>
        <v>11564</v>
      </c>
    </row>
    <row r="107" spans="1:25" x14ac:dyDescent="0.2">
      <c r="A107" s="294"/>
      <c r="B107" s="276"/>
      <c r="C107" s="293" t="s">
        <v>584</v>
      </c>
      <c r="D107" s="279" t="s">
        <v>577</v>
      </c>
      <c r="E107" s="280">
        <v>9673</v>
      </c>
      <c r="F107" s="280">
        <v>1</v>
      </c>
      <c r="G107" s="280">
        <v>0</v>
      </c>
      <c r="H107" s="280">
        <v>1</v>
      </c>
      <c r="I107" s="280">
        <v>176</v>
      </c>
      <c r="J107" s="280">
        <v>0</v>
      </c>
      <c r="K107" s="280">
        <v>0</v>
      </c>
      <c r="L107" s="280"/>
      <c r="M107" s="280">
        <v>0</v>
      </c>
      <c r="N107" s="280">
        <v>9496</v>
      </c>
      <c r="O107" s="279"/>
      <c r="P107" s="279"/>
      <c r="Q107" s="279"/>
      <c r="R107" s="279"/>
      <c r="S107" s="279"/>
      <c r="T107" s="279"/>
      <c r="U107" s="279"/>
      <c r="V107" s="280">
        <v>9673</v>
      </c>
      <c r="W107" s="280">
        <v>240</v>
      </c>
      <c r="X107" s="280">
        <f>V107+W107</f>
        <v>9913</v>
      </c>
    </row>
    <row r="108" spans="1:25" x14ac:dyDescent="0.2">
      <c r="A108" s="294"/>
      <c r="B108" s="276"/>
      <c r="C108" s="293" t="s">
        <v>584</v>
      </c>
      <c r="D108" s="294" t="s">
        <v>586</v>
      </c>
      <c r="E108" s="297">
        <v>1554</v>
      </c>
      <c r="F108" s="297">
        <v>0</v>
      </c>
      <c r="G108" s="297">
        <v>0</v>
      </c>
      <c r="H108" s="297"/>
      <c r="I108" s="297">
        <v>0</v>
      </c>
      <c r="J108" s="297">
        <v>0</v>
      </c>
      <c r="K108" s="297">
        <v>84</v>
      </c>
      <c r="L108" s="297"/>
      <c r="M108" s="297">
        <v>0</v>
      </c>
      <c r="N108" s="297">
        <v>1470</v>
      </c>
      <c r="O108" s="299">
        <v>97</v>
      </c>
      <c r="P108" s="299">
        <v>0</v>
      </c>
      <c r="Q108" s="299">
        <v>2</v>
      </c>
      <c r="R108" s="299">
        <v>0</v>
      </c>
      <c r="S108" s="299">
        <v>0</v>
      </c>
      <c r="T108" s="299">
        <v>0</v>
      </c>
      <c r="U108" s="299">
        <v>0</v>
      </c>
      <c r="V108" s="299">
        <v>1651</v>
      </c>
      <c r="W108" s="280">
        <v>0</v>
      </c>
      <c r="X108" s="280">
        <f>V108+W108</f>
        <v>1651</v>
      </c>
    </row>
    <row r="109" spans="1:25" s="292" customFormat="1" ht="18" customHeight="1" x14ac:dyDescent="0.2">
      <c r="A109" s="287">
        <v>71</v>
      </c>
      <c r="B109" s="288" t="s">
        <v>268</v>
      </c>
      <c r="C109" s="289" t="s">
        <v>596</v>
      </c>
      <c r="D109" s="290" t="s">
        <v>597</v>
      </c>
      <c r="E109" s="291">
        <v>30189</v>
      </c>
      <c r="F109" s="291">
        <v>28708</v>
      </c>
      <c r="G109" s="291">
        <v>27893</v>
      </c>
      <c r="H109" s="291">
        <v>815</v>
      </c>
      <c r="I109" s="291">
        <v>0</v>
      </c>
      <c r="J109" s="291">
        <v>0</v>
      </c>
      <c r="K109" s="291">
        <v>0</v>
      </c>
      <c r="L109" s="291">
        <v>0</v>
      </c>
      <c r="M109" s="291">
        <v>0</v>
      </c>
      <c r="N109" s="291">
        <v>1481</v>
      </c>
      <c r="O109" s="291">
        <v>1971</v>
      </c>
      <c r="P109" s="291">
        <v>1871</v>
      </c>
      <c r="Q109" s="291">
        <v>0</v>
      </c>
      <c r="R109" s="291">
        <v>0</v>
      </c>
      <c r="S109" s="291">
        <v>0</v>
      </c>
      <c r="T109" s="291">
        <v>0</v>
      </c>
      <c r="U109" s="291">
        <v>0</v>
      </c>
      <c r="V109" s="291">
        <v>32160</v>
      </c>
      <c r="W109" s="291">
        <v>266</v>
      </c>
      <c r="X109" s="291">
        <f>X110+X111</f>
        <v>32426</v>
      </c>
      <c r="Y109" s="296"/>
    </row>
    <row r="110" spans="1:25" x14ac:dyDescent="0.2">
      <c r="A110" s="294"/>
      <c r="B110" s="276"/>
      <c r="C110" s="293" t="s">
        <v>584</v>
      </c>
      <c r="D110" s="279" t="s">
        <v>576</v>
      </c>
      <c r="E110" s="280">
        <v>6533</v>
      </c>
      <c r="F110" s="280">
        <v>6530</v>
      </c>
      <c r="G110" s="280">
        <v>6528</v>
      </c>
      <c r="H110" s="280">
        <v>2</v>
      </c>
      <c r="I110" s="280">
        <v>0</v>
      </c>
      <c r="J110" s="280">
        <v>0</v>
      </c>
      <c r="K110" s="280">
        <v>0</v>
      </c>
      <c r="L110" s="280"/>
      <c r="M110" s="280">
        <v>0</v>
      </c>
      <c r="N110" s="280">
        <v>3</v>
      </c>
      <c r="O110" s="279"/>
      <c r="P110" s="279"/>
      <c r="Q110" s="279"/>
      <c r="R110" s="279"/>
      <c r="S110" s="279"/>
      <c r="T110" s="279"/>
      <c r="U110" s="279"/>
      <c r="V110" s="280">
        <v>6533</v>
      </c>
      <c r="W110" s="280">
        <v>266</v>
      </c>
      <c r="X110" s="280">
        <f>V110+W110</f>
        <v>6799</v>
      </c>
    </row>
    <row r="111" spans="1:25" x14ac:dyDescent="0.2">
      <c r="A111" s="294"/>
      <c r="B111" s="276"/>
      <c r="C111" s="293" t="s">
        <v>584</v>
      </c>
      <c r="D111" s="294" t="s">
        <v>597</v>
      </c>
      <c r="E111" s="297">
        <v>23656</v>
      </c>
      <c r="F111" s="297">
        <v>22178</v>
      </c>
      <c r="G111" s="297">
        <v>21365</v>
      </c>
      <c r="H111" s="297">
        <v>813</v>
      </c>
      <c r="I111" s="297">
        <v>0</v>
      </c>
      <c r="J111" s="297">
        <v>0</v>
      </c>
      <c r="K111" s="297">
        <v>0</v>
      </c>
      <c r="L111" s="297"/>
      <c r="M111" s="297">
        <v>0</v>
      </c>
      <c r="N111" s="297">
        <v>1478</v>
      </c>
      <c r="O111" s="280">
        <v>1971</v>
      </c>
      <c r="P111" s="280">
        <v>1871</v>
      </c>
      <c r="Q111" s="280">
        <v>0</v>
      </c>
      <c r="R111" s="280">
        <v>0</v>
      </c>
      <c r="S111" s="280">
        <v>0</v>
      </c>
      <c r="T111" s="280">
        <v>0</v>
      </c>
      <c r="U111" s="280">
        <v>0</v>
      </c>
      <c r="V111" s="280">
        <v>25627</v>
      </c>
      <c r="W111" s="280">
        <v>0</v>
      </c>
      <c r="X111" s="280">
        <f>V111+W111</f>
        <v>25627</v>
      </c>
    </row>
    <row r="112" spans="1:25" s="292" customFormat="1" ht="18" customHeight="1" x14ac:dyDescent="0.2">
      <c r="A112" s="287">
        <v>72</v>
      </c>
      <c r="B112" s="288" t="s">
        <v>270</v>
      </c>
      <c r="C112" s="289" t="s">
        <v>598</v>
      </c>
      <c r="D112" s="290" t="s">
        <v>597</v>
      </c>
      <c r="E112" s="291">
        <v>13069</v>
      </c>
      <c r="F112" s="291">
        <v>0</v>
      </c>
      <c r="G112" s="291">
        <v>0</v>
      </c>
      <c r="H112" s="291">
        <v>0</v>
      </c>
      <c r="I112" s="291">
        <v>0</v>
      </c>
      <c r="J112" s="291">
        <v>0</v>
      </c>
      <c r="K112" s="291">
        <v>2022</v>
      </c>
      <c r="L112" s="291">
        <v>350</v>
      </c>
      <c r="M112" s="291">
        <v>315</v>
      </c>
      <c r="N112" s="291">
        <v>10382</v>
      </c>
      <c r="O112" s="291">
        <v>3632</v>
      </c>
      <c r="P112" s="291">
        <v>0</v>
      </c>
      <c r="Q112" s="291">
        <v>1023</v>
      </c>
      <c r="R112" s="291">
        <v>1193</v>
      </c>
      <c r="S112" s="291">
        <v>725</v>
      </c>
      <c r="T112" s="291">
        <v>0</v>
      </c>
      <c r="U112" s="291">
        <v>0</v>
      </c>
      <c r="V112" s="291">
        <v>16701</v>
      </c>
      <c r="W112" s="291">
        <v>1002</v>
      </c>
      <c r="X112" s="291">
        <f t="shared" ref="X112" si="2">X113+X114</f>
        <v>17703</v>
      </c>
    </row>
    <row r="113" spans="1:24" x14ac:dyDescent="0.2">
      <c r="A113" s="294"/>
      <c r="B113" s="276"/>
      <c r="C113" s="293" t="s">
        <v>584</v>
      </c>
      <c r="D113" s="279" t="s">
        <v>576</v>
      </c>
      <c r="E113" s="280">
        <v>221</v>
      </c>
      <c r="F113" s="280">
        <v>0</v>
      </c>
      <c r="G113" s="280">
        <v>0</v>
      </c>
      <c r="H113" s="280"/>
      <c r="I113" s="280">
        <v>0</v>
      </c>
      <c r="J113" s="280">
        <v>0</v>
      </c>
      <c r="K113" s="280">
        <v>0</v>
      </c>
      <c r="L113" s="280"/>
      <c r="M113" s="280">
        <v>0</v>
      </c>
      <c r="N113" s="280">
        <v>221</v>
      </c>
      <c r="O113" s="279"/>
      <c r="P113" s="279"/>
      <c r="Q113" s="279"/>
      <c r="R113" s="279"/>
      <c r="S113" s="279"/>
      <c r="T113" s="279"/>
      <c r="U113" s="279"/>
      <c r="V113" s="280">
        <v>221</v>
      </c>
      <c r="W113" s="280">
        <v>1002</v>
      </c>
      <c r="X113" s="280">
        <f>V113+W113</f>
        <v>1223</v>
      </c>
    </row>
    <row r="114" spans="1:24" x14ac:dyDescent="0.2">
      <c r="A114" s="294"/>
      <c r="B114" s="276"/>
      <c r="C114" s="293" t="s">
        <v>584</v>
      </c>
      <c r="D114" s="298" t="s">
        <v>597</v>
      </c>
      <c r="E114" s="297">
        <v>12848</v>
      </c>
      <c r="F114" s="297">
        <v>0</v>
      </c>
      <c r="G114" s="297">
        <v>0</v>
      </c>
      <c r="H114" s="297"/>
      <c r="I114" s="297">
        <v>0</v>
      </c>
      <c r="J114" s="297">
        <v>0</v>
      </c>
      <c r="K114" s="297">
        <v>2022</v>
      </c>
      <c r="L114" s="297">
        <v>350</v>
      </c>
      <c r="M114" s="297">
        <v>315</v>
      </c>
      <c r="N114" s="297">
        <v>10161</v>
      </c>
      <c r="O114" s="280">
        <v>3632</v>
      </c>
      <c r="P114" s="280">
        <v>0</v>
      </c>
      <c r="Q114" s="280">
        <v>1023</v>
      </c>
      <c r="R114" s="280">
        <v>1193</v>
      </c>
      <c r="S114" s="280">
        <v>725</v>
      </c>
      <c r="T114" s="280">
        <v>0</v>
      </c>
      <c r="U114" s="280">
        <v>0</v>
      </c>
      <c r="V114" s="280">
        <v>16480</v>
      </c>
      <c r="W114" s="280">
        <v>0</v>
      </c>
      <c r="X114" s="280">
        <f>V114+W114</f>
        <v>16480</v>
      </c>
    </row>
    <row r="115" spans="1:24" s="292" customFormat="1" ht="18" customHeight="1" x14ac:dyDescent="0.2">
      <c r="A115" s="287">
        <v>73</v>
      </c>
      <c r="B115" s="301" t="s">
        <v>274</v>
      </c>
      <c r="C115" s="289" t="s">
        <v>275</v>
      </c>
      <c r="D115" s="290" t="s">
        <v>599</v>
      </c>
      <c r="E115" s="291">
        <v>6645</v>
      </c>
      <c r="F115" s="291">
        <v>0</v>
      </c>
      <c r="G115" s="291">
        <v>0</v>
      </c>
      <c r="H115" s="291">
        <v>0</v>
      </c>
      <c r="I115" s="291">
        <v>0</v>
      </c>
      <c r="J115" s="291">
        <v>0</v>
      </c>
      <c r="K115" s="291">
        <v>0</v>
      </c>
      <c r="L115" s="291">
        <v>0</v>
      </c>
      <c r="M115" s="291">
        <v>0</v>
      </c>
      <c r="N115" s="291">
        <v>6645</v>
      </c>
      <c r="O115" s="291">
        <v>52</v>
      </c>
      <c r="P115" s="291">
        <v>0</v>
      </c>
      <c r="Q115" s="291">
        <v>0</v>
      </c>
      <c r="R115" s="291">
        <v>0</v>
      </c>
      <c r="S115" s="291">
        <v>0</v>
      </c>
      <c r="T115" s="291">
        <v>0</v>
      </c>
      <c r="U115" s="291">
        <v>0</v>
      </c>
      <c r="V115" s="291">
        <v>6697</v>
      </c>
      <c r="W115" s="291">
        <v>0</v>
      </c>
      <c r="X115" s="291">
        <f>X116+X117</f>
        <v>6697</v>
      </c>
    </row>
    <row r="116" spans="1:24" x14ac:dyDescent="0.2">
      <c r="A116" s="294"/>
      <c r="B116" s="276"/>
      <c r="C116" s="293" t="s">
        <v>584</v>
      </c>
      <c r="D116" s="279" t="s">
        <v>576</v>
      </c>
      <c r="E116" s="280">
        <v>3310</v>
      </c>
      <c r="F116" s="280">
        <v>0</v>
      </c>
      <c r="G116" s="280">
        <v>0</v>
      </c>
      <c r="H116" s="280"/>
      <c r="I116" s="280">
        <v>0</v>
      </c>
      <c r="J116" s="280">
        <v>0</v>
      </c>
      <c r="K116" s="280">
        <v>0</v>
      </c>
      <c r="L116" s="280"/>
      <c r="M116" s="280">
        <v>0</v>
      </c>
      <c r="N116" s="280">
        <v>3310</v>
      </c>
      <c r="O116" s="279"/>
      <c r="P116" s="279"/>
      <c r="Q116" s="279"/>
      <c r="R116" s="279"/>
      <c r="S116" s="279"/>
      <c r="T116" s="279"/>
      <c r="U116" s="279"/>
      <c r="V116" s="280">
        <v>3310</v>
      </c>
      <c r="W116" s="280">
        <v>0</v>
      </c>
      <c r="X116" s="280">
        <f>V116+W116</f>
        <v>3310</v>
      </c>
    </row>
    <row r="117" spans="1:24" x14ac:dyDescent="0.2">
      <c r="A117" s="294"/>
      <c r="B117" s="276"/>
      <c r="C117" s="293" t="s">
        <v>584</v>
      </c>
      <c r="D117" s="298" t="s">
        <v>597</v>
      </c>
      <c r="E117" s="297">
        <v>3335</v>
      </c>
      <c r="F117" s="297">
        <v>0</v>
      </c>
      <c r="G117" s="297">
        <v>0</v>
      </c>
      <c r="H117" s="297"/>
      <c r="I117" s="297">
        <v>0</v>
      </c>
      <c r="J117" s="297">
        <v>0</v>
      </c>
      <c r="K117" s="297">
        <v>0</v>
      </c>
      <c r="L117" s="297"/>
      <c r="M117" s="297">
        <v>0</v>
      </c>
      <c r="N117" s="297">
        <v>3335</v>
      </c>
      <c r="O117" s="280">
        <v>52</v>
      </c>
      <c r="P117" s="280">
        <v>0</v>
      </c>
      <c r="Q117" s="280">
        <v>0</v>
      </c>
      <c r="R117" s="280">
        <v>0</v>
      </c>
      <c r="S117" s="280">
        <v>0</v>
      </c>
      <c r="T117" s="280">
        <v>0</v>
      </c>
      <c r="U117" s="280">
        <v>0</v>
      </c>
      <c r="V117" s="280">
        <v>3387</v>
      </c>
      <c r="W117" s="280">
        <v>0</v>
      </c>
      <c r="X117" s="280">
        <f>V117+W117</f>
        <v>3387</v>
      </c>
    </row>
    <row r="118" spans="1:24" s="292" customFormat="1" ht="18" customHeight="1" x14ac:dyDescent="0.2">
      <c r="A118" s="287">
        <v>74</v>
      </c>
      <c r="B118" s="301" t="s">
        <v>276</v>
      </c>
      <c r="C118" s="289" t="s">
        <v>600</v>
      </c>
      <c r="D118" s="290" t="s">
        <v>597</v>
      </c>
      <c r="E118" s="291">
        <v>22663</v>
      </c>
      <c r="F118" s="291">
        <v>0</v>
      </c>
      <c r="G118" s="291">
        <v>0</v>
      </c>
      <c r="H118" s="291">
        <v>0</v>
      </c>
      <c r="I118" s="291">
        <v>0</v>
      </c>
      <c r="J118" s="291">
        <v>0</v>
      </c>
      <c r="K118" s="291">
        <v>0</v>
      </c>
      <c r="L118" s="291">
        <v>0</v>
      </c>
      <c r="M118" s="291">
        <v>0</v>
      </c>
      <c r="N118" s="291">
        <v>22663</v>
      </c>
      <c r="O118" s="291">
        <v>905</v>
      </c>
      <c r="P118" s="291">
        <v>0</v>
      </c>
      <c r="Q118" s="291">
        <v>0</v>
      </c>
      <c r="R118" s="291">
        <v>0</v>
      </c>
      <c r="S118" s="291">
        <v>0</v>
      </c>
      <c r="T118" s="291">
        <v>0</v>
      </c>
      <c r="U118" s="291">
        <v>0</v>
      </c>
      <c r="V118" s="291">
        <v>23568</v>
      </c>
      <c r="W118" s="291">
        <v>0</v>
      </c>
      <c r="X118" s="291">
        <f>X119+X120</f>
        <v>23568</v>
      </c>
    </row>
    <row r="119" spans="1:24" ht="15" customHeight="1" x14ac:dyDescent="0.2">
      <c r="A119" s="294"/>
      <c r="B119" s="276"/>
      <c r="C119" s="293" t="s">
        <v>584</v>
      </c>
      <c r="D119" s="279" t="s">
        <v>576</v>
      </c>
      <c r="E119" s="280">
        <v>180</v>
      </c>
      <c r="F119" s="280">
        <v>0</v>
      </c>
      <c r="G119" s="280">
        <v>0</v>
      </c>
      <c r="H119" s="280"/>
      <c r="I119" s="280">
        <v>0</v>
      </c>
      <c r="J119" s="280">
        <v>0</v>
      </c>
      <c r="K119" s="280">
        <v>0</v>
      </c>
      <c r="L119" s="280"/>
      <c r="M119" s="280">
        <v>0</v>
      </c>
      <c r="N119" s="280">
        <v>180</v>
      </c>
      <c r="O119" s="279"/>
      <c r="P119" s="279"/>
      <c r="Q119" s="279"/>
      <c r="R119" s="279"/>
      <c r="S119" s="279"/>
      <c r="T119" s="279"/>
      <c r="U119" s="279"/>
      <c r="V119" s="280">
        <v>180</v>
      </c>
      <c r="W119" s="280">
        <v>0</v>
      </c>
      <c r="X119" s="280">
        <f>V119+W119</f>
        <v>180</v>
      </c>
    </row>
    <row r="120" spans="1:24" ht="15" customHeight="1" x14ac:dyDescent="0.2">
      <c r="A120" s="294"/>
      <c r="B120" s="276"/>
      <c r="C120" s="293" t="s">
        <v>584</v>
      </c>
      <c r="D120" s="294" t="s">
        <v>597</v>
      </c>
      <c r="E120" s="297">
        <v>22483</v>
      </c>
      <c r="F120" s="297">
        <v>0</v>
      </c>
      <c r="G120" s="297">
        <v>0</v>
      </c>
      <c r="H120" s="297"/>
      <c r="I120" s="297">
        <v>0</v>
      </c>
      <c r="J120" s="297">
        <v>0</v>
      </c>
      <c r="K120" s="297">
        <v>0</v>
      </c>
      <c r="L120" s="297"/>
      <c r="M120" s="297">
        <v>0</v>
      </c>
      <c r="N120" s="297">
        <v>22483</v>
      </c>
      <c r="O120" s="299">
        <v>905</v>
      </c>
      <c r="P120" s="299">
        <v>0</v>
      </c>
      <c r="Q120" s="299">
        <v>0</v>
      </c>
      <c r="R120" s="299">
        <v>0</v>
      </c>
      <c r="S120" s="299">
        <v>0</v>
      </c>
      <c r="T120" s="299">
        <v>0</v>
      </c>
      <c r="U120" s="299">
        <v>0</v>
      </c>
      <c r="V120" s="280">
        <v>23388</v>
      </c>
      <c r="W120" s="280">
        <v>0</v>
      </c>
      <c r="X120" s="280">
        <f>V120+W120</f>
        <v>23388</v>
      </c>
    </row>
    <row r="121" spans="1:24" s="292" customFormat="1" ht="18" customHeight="1" x14ac:dyDescent="0.2">
      <c r="A121" s="287">
        <v>75</v>
      </c>
      <c r="B121" s="301" t="s">
        <v>283</v>
      </c>
      <c r="C121" s="289" t="s">
        <v>601</v>
      </c>
      <c r="D121" s="290" t="s">
        <v>597</v>
      </c>
      <c r="E121" s="291">
        <v>23800</v>
      </c>
      <c r="F121" s="291">
        <v>30</v>
      </c>
      <c r="G121" s="291">
        <v>0</v>
      </c>
      <c r="H121" s="291">
        <v>30</v>
      </c>
      <c r="I121" s="291">
        <v>0</v>
      </c>
      <c r="J121" s="291">
        <v>6</v>
      </c>
      <c r="K121" s="291">
        <v>774</v>
      </c>
      <c r="L121" s="291">
        <v>0</v>
      </c>
      <c r="M121" s="291">
        <v>228</v>
      </c>
      <c r="N121" s="291">
        <v>22762</v>
      </c>
      <c r="O121" s="291">
        <v>809</v>
      </c>
      <c r="P121" s="291">
        <v>0</v>
      </c>
      <c r="Q121" s="291">
        <v>5</v>
      </c>
      <c r="R121" s="291">
        <v>0</v>
      </c>
      <c r="S121" s="291">
        <v>0</v>
      </c>
      <c r="T121" s="291">
        <v>468</v>
      </c>
      <c r="U121" s="291">
        <v>0</v>
      </c>
      <c r="V121" s="291">
        <v>24609</v>
      </c>
      <c r="W121" s="291">
        <v>1524</v>
      </c>
      <c r="X121" s="291">
        <f t="shared" ref="X121" si="3">X122+X123</f>
        <v>26133</v>
      </c>
    </row>
    <row r="122" spans="1:24" x14ac:dyDescent="0.2">
      <c r="A122" s="294"/>
      <c r="B122" s="276"/>
      <c r="C122" s="293" t="s">
        <v>584</v>
      </c>
      <c r="D122" s="279" t="s">
        <v>576</v>
      </c>
      <c r="E122" s="280">
        <v>8737</v>
      </c>
      <c r="F122" s="280">
        <v>30</v>
      </c>
      <c r="G122" s="280">
        <v>0</v>
      </c>
      <c r="H122" s="280">
        <v>30</v>
      </c>
      <c r="I122" s="280">
        <v>0</v>
      </c>
      <c r="J122" s="280">
        <v>6</v>
      </c>
      <c r="K122" s="280">
        <v>0</v>
      </c>
      <c r="L122" s="280"/>
      <c r="M122" s="280">
        <v>0</v>
      </c>
      <c r="N122" s="280">
        <v>8701</v>
      </c>
      <c r="O122" s="279"/>
      <c r="P122" s="279"/>
      <c r="Q122" s="279"/>
      <c r="R122" s="279"/>
      <c r="S122" s="279"/>
      <c r="T122" s="279"/>
      <c r="U122" s="279"/>
      <c r="V122" s="280">
        <v>8737</v>
      </c>
      <c r="W122" s="280">
        <v>1524</v>
      </c>
      <c r="X122" s="280">
        <f>V122+W122</f>
        <v>10261</v>
      </c>
    </row>
    <row r="123" spans="1:24" ht="15.75" customHeight="1" x14ac:dyDescent="0.2">
      <c r="A123" s="294"/>
      <c r="B123" s="276"/>
      <c r="C123" s="293" t="s">
        <v>584</v>
      </c>
      <c r="D123" s="298" t="s">
        <v>597</v>
      </c>
      <c r="E123" s="297">
        <v>15063</v>
      </c>
      <c r="F123" s="297">
        <v>0</v>
      </c>
      <c r="G123" s="297">
        <v>0</v>
      </c>
      <c r="H123" s="297"/>
      <c r="I123" s="297">
        <v>0</v>
      </c>
      <c r="J123" s="297">
        <v>0</v>
      </c>
      <c r="K123" s="297">
        <v>774</v>
      </c>
      <c r="L123" s="297"/>
      <c r="M123" s="297">
        <v>228</v>
      </c>
      <c r="N123" s="297">
        <v>14061</v>
      </c>
      <c r="O123" s="299">
        <v>809</v>
      </c>
      <c r="P123" s="299">
        <v>0</v>
      </c>
      <c r="Q123" s="299">
        <v>5</v>
      </c>
      <c r="R123" s="299">
        <v>0</v>
      </c>
      <c r="S123" s="299">
        <v>0</v>
      </c>
      <c r="T123" s="299">
        <v>468</v>
      </c>
      <c r="U123" s="299">
        <v>0</v>
      </c>
      <c r="V123" s="280">
        <v>15872</v>
      </c>
      <c r="W123" s="280">
        <v>0</v>
      </c>
      <c r="X123" s="280">
        <f>V123+W123</f>
        <v>15872</v>
      </c>
    </row>
    <row r="124" spans="1:24" s="292" customFormat="1" ht="18" customHeight="1" x14ac:dyDescent="0.2">
      <c r="A124" s="287">
        <v>76</v>
      </c>
      <c r="B124" s="301" t="s">
        <v>192</v>
      </c>
      <c r="C124" s="289" t="s">
        <v>602</v>
      </c>
      <c r="D124" s="290" t="s">
        <v>597</v>
      </c>
      <c r="E124" s="291">
        <v>11005</v>
      </c>
      <c r="F124" s="291">
        <v>0</v>
      </c>
      <c r="G124" s="291">
        <v>0</v>
      </c>
      <c r="H124" s="291">
        <v>0</v>
      </c>
      <c r="I124" s="291">
        <v>0</v>
      </c>
      <c r="J124" s="291">
        <v>0</v>
      </c>
      <c r="K124" s="291">
        <v>0</v>
      </c>
      <c r="L124" s="291">
        <v>0</v>
      </c>
      <c r="M124" s="291">
        <v>0</v>
      </c>
      <c r="N124" s="291">
        <v>11005</v>
      </c>
      <c r="O124" s="291">
        <v>440</v>
      </c>
      <c r="P124" s="291">
        <v>0</v>
      </c>
      <c r="Q124" s="291">
        <v>0</v>
      </c>
      <c r="R124" s="291">
        <v>0</v>
      </c>
      <c r="S124" s="291">
        <v>0</v>
      </c>
      <c r="T124" s="291">
        <v>0</v>
      </c>
      <c r="U124" s="291">
        <v>0</v>
      </c>
      <c r="V124" s="291">
        <v>11445</v>
      </c>
      <c r="W124" s="291">
        <v>3088</v>
      </c>
      <c r="X124" s="291">
        <f>X125+X126</f>
        <v>14533</v>
      </c>
    </row>
    <row r="125" spans="1:24" x14ac:dyDescent="0.2">
      <c r="A125" s="294"/>
      <c r="B125" s="276"/>
      <c r="C125" s="293" t="s">
        <v>584</v>
      </c>
      <c r="D125" s="279" t="s">
        <v>576</v>
      </c>
      <c r="E125" s="280">
        <v>0</v>
      </c>
      <c r="F125" s="280">
        <v>0</v>
      </c>
      <c r="G125" s="280">
        <v>0</v>
      </c>
      <c r="H125" s="280"/>
      <c r="I125" s="280">
        <v>0</v>
      </c>
      <c r="J125" s="280">
        <v>0</v>
      </c>
      <c r="K125" s="280">
        <v>0</v>
      </c>
      <c r="L125" s="280"/>
      <c r="M125" s="280">
        <v>0</v>
      </c>
      <c r="N125" s="280">
        <v>0</v>
      </c>
      <c r="O125" s="279"/>
      <c r="P125" s="279"/>
      <c r="Q125" s="279"/>
      <c r="R125" s="279"/>
      <c r="S125" s="279"/>
      <c r="T125" s="279"/>
      <c r="U125" s="279"/>
      <c r="V125" s="280">
        <v>0</v>
      </c>
      <c r="W125" s="280">
        <v>3088</v>
      </c>
      <c r="X125" s="280">
        <f>V125+W125</f>
        <v>3088</v>
      </c>
    </row>
    <row r="126" spans="1:24" x14ac:dyDescent="0.2">
      <c r="A126" s="294"/>
      <c r="B126" s="276"/>
      <c r="C126" s="293" t="s">
        <v>584</v>
      </c>
      <c r="D126" s="294" t="s">
        <v>597</v>
      </c>
      <c r="E126" s="297">
        <v>11005</v>
      </c>
      <c r="F126" s="297">
        <v>0</v>
      </c>
      <c r="G126" s="297">
        <v>0</v>
      </c>
      <c r="H126" s="297"/>
      <c r="I126" s="297">
        <v>0</v>
      </c>
      <c r="J126" s="297">
        <v>0</v>
      </c>
      <c r="K126" s="297">
        <v>0</v>
      </c>
      <c r="L126" s="297"/>
      <c r="M126" s="297">
        <v>0</v>
      </c>
      <c r="N126" s="297">
        <v>11005</v>
      </c>
      <c r="O126" s="299">
        <v>440</v>
      </c>
      <c r="P126" s="299">
        <v>0</v>
      </c>
      <c r="Q126" s="299">
        <v>0</v>
      </c>
      <c r="R126" s="299">
        <v>0</v>
      </c>
      <c r="S126" s="299">
        <v>0</v>
      </c>
      <c r="T126" s="299">
        <v>0</v>
      </c>
      <c r="U126" s="299">
        <v>0</v>
      </c>
      <c r="V126" s="280">
        <v>11445</v>
      </c>
      <c r="W126" s="280">
        <v>0</v>
      </c>
      <c r="X126" s="280">
        <f>V126+W126</f>
        <v>11445</v>
      </c>
    </row>
    <row r="127" spans="1:24" s="292" customFormat="1" ht="18" customHeight="1" x14ac:dyDescent="0.2">
      <c r="A127" s="287">
        <v>77</v>
      </c>
      <c r="B127" s="301" t="s">
        <v>194</v>
      </c>
      <c r="C127" s="289" t="s">
        <v>603</v>
      </c>
      <c r="D127" s="290" t="s">
        <v>597</v>
      </c>
      <c r="E127" s="291">
        <v>11712</v>
      </c>
      <c r="F127" s="291">
        <v>2</v>
      </c>
      <c r="G127" s="291">
        <v>0</v>
      </c>
      <c r="H127" s="291">
        <v>2</v>
      </c>
      <c r="I127" s="291">
        <v>352</v>
      </c>
      <c r="J127" s="291">
        <v>4</v>
      </c>
      <c r="K127" s="291">
        <v>556</v>
      </c>
      <c r="L127" s="291">
        <v>15</v>
      </c>
      <c r="M127" s="291">
        <v>0</v>
      </c>
      <c r="N127" s="291">
        <v>10783</v>
      </c>
      <c r="O127" s="291">
        <v>605</v>
      </c>
      <c r="P127" s="291">
        <v>0</v>
      </c>
      <c r="Q127" s="291">
        <v>80</v>
      </c>
      <c r="R127" s="291">
        <v>38</v>
      </c>
      <c r="S127" s="291">
        <v>0</v>
      </c>
      <c r="T127" s="291">
        <v>0</v>
      </c>
      <c r="U127" s="291">
        <v>0</v>
      </c>
      <c r="V127" s="291">
        <v>12317</v>
      </c>
      <c r="W127" s="291">
        <v>1450</v>
      </c>
      <c r="X127" s="291">
        <f>X128+X129</f>
        <v>13767</v>
      </c>
    </row>
    <row r="128" spans="1:24" x14ac:dyDescent="0.2">
      <c r="A128" s="294"/>
      <c r="B128" s="276"/>
      <c r="C128" s="293" t="s">
        <v>584</v>
      </c>
      <c r="D128" s="279" t="s">
        <v>576</v>
      </c>
      <c r="E128" s="280">
        <v>4437</v>
      </c>
      <c r="F128" s="280">
        <v>2</v>
      </c>
      <c r="G128" s="280">
        <v>0</v>
      </c>
      <c r="H128" s="280">
        <v>2</v>
      </c>
      <c r="I128" s="280">
        <v>352</v>
      </c>
      <c r="J128" s="280">
        <v>4</v>
      </c>
      <c r="K128" s="280">
        <v>0</v>
      </c>
      <c r="L128" s="280"/>
      <c r="M128" s="280">
        <v>0</v>
      </c>
      <c r="N128" s="280">
        <v>4079</v>
      </c>
      <c r="O128" s="280"/>
      <c r="P128" s="280"/>
      <c r="Q128" s="280"/>
      <c r="R128" s="280"/>
      <c r="S128" s="280"/>
      <c r="T128" s="280"/>
      <c r="U128" s="280"/>
      <c r="V128" s="280">
        <v>4437</v>
      </c>
      <c r="W128" s="280">
        <v>1450</v>
      </c>
      <c r="X128" s="280">
        <f>V128+W128</f>
        <v>5887</v>
      </c>
    </row>
    <row r="129" spans="1:24" x14ac:dyDescent="0.2">
      <c r="A129" s="294"/>
      <c r="B129" s="276"/>
      <c r="C129" s="293" t="s">
        <v>584</v>
      </c>
      <c r="D129" s="279" t="s">
        <v>597</v>
      </c>
      <c r="E129" s="280">
        <v>7275</v>
      </c>
      <c r="F129" s="280">
        <v>0</v>
      </c>
      <c r="G129" s="280">
        <v>0</v>
      </c>
      <c r="H129" s="280"/>
      <c r="I129" s="280">
        <v>0</v>
      </c>
      <c r="J129" s="280">
        <v>0</v>
      </c>
      <c r="K129" s="280">
        <v>556</v>
      </c>
      <c r="L129" s="280">
        <v>15</v>
      </c>
      <c r="M129" s="280">
        <v>0</v>
      </c>
      <c r="N129" s="280">
        <v>6704</v>
      </c>
      <c r="O129" s="280">
        <v>605</v>
      </c>
      <c r="P129" s="280">
        <v>0</v>
      </c>
      <c r="Q129" s="280">
        <v>80</v>
      </c>
      <c r="R129" s="280">
        <v>38</v>
      </c>
      <c r="S129" s="280">
        <v>0</v>
      </c>
      <c r="T129" s="280">
        <v>0</v>
      </c>
      <c r="U129" s="280">
        <v>0</v>
      </c>
      <c r="V129" s="280">
        <v>7880</v>
      </c>
      <c r="W129" s="280">
        <v>0</v>
      </c>
      <c r="X129" s="280">
        <f>V129+W129</f>
        <v>7880</v>
      </c>
    </row>
    <row r="130" spans="1:24" s="292" customFormat="1" ht="28.5" customHeight="1" x14ac:dyDescent="0.2">
      <c r="A130" s="287">
        <v>78</v>
      </c>
      <c r="B130" s="295" t="s">
        <v>285</v>
      </c>
      <c r="C130" s="289" t="s">
        <v>737</v>
      </c>
      <c r="D130" s="290" t="s">
        <v>597</v>
      </c>
      <c r="E130" s="291">
        <v>20526</v>
      </c>
      <c r="F130" s="291">
        <v>70</v>
      </c>
      <c r="G130" s="291">
        <v>0</v>
      </c>
      <c r="H130" s="291">
        <v>70</v>
      </c>
      <c r="I130" s="291">
        <v>0</v>
      </c>
      <c r="J130" s="291">
        <v>1</v>
      </c>
      <c r="K130" s="291">
        <v>621</v>
      </c>
      <c r="L130" s="291">
        <v>0</v>
      </c>
      <c r="M130" s="291">
        <v>62</v>
      </c>
      <c r="N130" s="291">
        <v>19772</v>
      </c>
      <c r="O130" s="291">
        <v>840</v>
      </c>
      <c r="P130" s="291">
        <v>0</v>
      </c>
      <c r="Q130" s="291">
        <v>5</v>
      </c>
      <c r="R130" s="291">
        <v>0</v>
      </c>
      <c r="S130" s="291">
        <v>0</v>
      </c>
      <c r="T130" s="291">
        <v>98</v>
      </c>
      <c r="U130" s="291">
        <v>0</v>
      </c>
      <c r="V130" s="291">
        <v>21366</v>
      </c>
      <c r="W130" s="291">
        <v>1028</v>
      </c>
      <c r="X130" s="291">
        <f>X131+X132</f>
        <v>22394</v>
      </c>
    </row>
    <row r="131" spans="1:24" x14ac:dyDescent="0.2">
      <c r="A131" s="294"/>
      <c r="B131" s="276"/>
      <c r="C131" s="293" t="s">
        <v>584</v>
      </c>
      <c r="D131" s="279" t="s">
        <v>576</v>
      </c>
      <c r="E131" s="280">
        <v>3793</v>
      </c>
      <c r="F131" s="280">
        <v>70</v>
      </c>
      <c r="G131" s="280">
        <v>0</v>
      </c>
      <c r="H131" s="280">
        <v>70</v>
      </c>
      <c r="I131" s="280">
        <v>0</v>
      </c>
      <c r="J131" s="280">
        <v>1</v>
      </c>
      <c r="K131" s="280">
        <v>0</v>
      </c>
      <c r="L131" s="280"/>
      <c r="M131" s="280">
        <v>0</v>
      </c>
      <c r="N131" s="280">
        <v>3722</v>
      </c>
      <c r="O131" s="280"/>
      <c r="P131" s="280"/>
      <c r="Q131" s="280"/>
      <c r="R131" s="280"/>
      <c r="S131" s="280"/>
      <c r="T131" s="280"/>
      <c r="U131" s="280"/>
      <c r="V131" s="280">
        <v>3793</v>
      </c>
      <c r="W131" s="280">
        <v>1028</v>
      </c>
      <c r="X131" s="280">
        <f>V131+W131</f>
        <v>4821</v>
      </c>
    </row>
    <row r="132" spans="1:24" x14ac:dyDescent="0.2">
      <c r="A132" s="294"/>
      <c r="B132" s="276"/>
      <c r="C132" s="293" t="s">
        <v>584</v>
      </c>
      <c r="D132" s="280" t="s">
        <v>597</v>
      </c>
      <c r="E132" s="280">
        <v>16733</v>
      </c>
      <c r="F132" s="280">
        <v>0</v>
      </c>
      <c r="G132" s="280">
        <v>0</v>
      </c>
      <c r="H132" s="280"/>
      <c r="I132" s="280">
        <v>0</v>
      </c>
      <c r="J132" s="280">
        <v>0</v>
      </c>
      <c r="K132" s="280">
        <v>621</v>
      </c>
      <c r="L132" s="280"/>
      <c r="M132" s="280">
        <v>62</v>
      </c>
      <c r="N132" s="280">
        <v>16050</v>
      </c>
      <c r="O132" s="280">
        <v>840</v>
      </c>
      <c r="P132" s="280">
        <v>0</v>
      </c>
      <c r="Q132" s="280">
        <v>5</v>
      </c>
      <c r="R132" s="280">
        <v>0</v>
      </c>
      <c r="S132" s="280">
        <v>0</v>
      </c>
      <c r="T132" s="280">
        <v>98</v>
      </c>
      <c r="U132" s="280">
        <v>0</v>
      </c>
      <c r="V132" s="280">
        <v>17573</v>
      </c>
      <c r="W132" s="280">
        <v>0</v>
      </c>
      <c r="X132" s="280">
        <f>V132+W132</f>
        <v>17573</v>
      </c>
    </row>
    <row r="133" spans="1:24" ht="18" customHeight="1" x14ac:dyDescent="0.2">
      <c r="A133" s="303">
        <v>79</v>
      </c>
      <c r="B133" s="295" t="s">
        <v>248</v>
      </c>
      <c r="C133" s="289" t="s">
        <v>604</v>
      </c>
      <c r="D133" s="290" t="s">
        <v>605</v>
      </c>
      <c r="E133" s="291">
        <v>1083</v>
      </c>
      <c r="F133" s="291">
        <v>1000</v>
      </c>
      <c r="G133" s="291">
        <v>1000</v>
      </c>
      <c r="H133" s="291"/>
      <c r="I133" s="291">
        <v>0</v>
      </c>
      <c r="J133" s="291">
        <v>0</v>
      </c>
      <c r="K133" s="291">
        <v>0</v>
      </c>
      <c r="L133" s="291">
        <v>0</v>
      </c>
      <c r="M133" s="291">
        <v>0</v>
      </c>
      <c r="N133" s="291">
        <v>83</v>
      </c>
      <c r="O133" s="291">
        <v>275</v>
      </c>
      <c r="P133" s="291">
        <v>0</v>
      </c>
      <c r="Q133" s="291">
        <v>0</v>
      </c>
      <c r="R133" s="291">
        <v>0</v>
      </c>
      <c r="S133" s="291">
        <v>0</v>
      </c>
      <c r="T133" s="291">
        <v>0</v>
      </c>
      <c r="U133" s="291">
        <v>0</v>
      </c>
      <c r="V133" s="291">
        <v>1358</v>
      </c>
      <c r="W133" s="291">
        <v>0</v>
      </c>
      <c r="X133" s="291">
        <f t="shared" ref="X133" si="4">V133+W133</f>
        <v>1358</v>
      </c>
    </row>
    <row r="134" spans="1:24" ht="44.25" customHeight="1" x14ac:dyDescent="0.2">
      <c r="A134" s="303">
        <v>80</v>
      </c>
      <c r="B134" s="304" t="s">
        <v>199</v>
      </c>
      <c r="C134" s="309" t="s">
        <v>203</v>
      </c>
      <c r="D134" s="290" t="s">
        <v>605</v>
      </c>
      <c r="E134" s="291">
        <v>500</v>
      </c>
      <c r="F134" s="291">
        <v>0</v>
      </c>
      <c r="G134" s="291">
        <v>0</v>
      </c>
      <c r="H134" s="291"/>
      <c r="I134" s="291">
        <v>0</v>
      </c>
      <c r="J134" s="291">
        <v>0</v>
      </c>
      <c r="K134" s="291">
        <v>0</v>
      </c>
      <c r="L134" s="291"/>
      <c r="M134" s="291"/>
      <c r="N134" s="291">
        <v>500</v>
      </c>
      <c r="O134" s="291">
        <v>0</v>
      </c>
      <c r="P134" s="291">
        <v>0</v>
      </c>
      <c r="Q134" s="291">
        <v>0</v>
      </c>
      <c r="R134" s="291">
        <v>0</v>
      </c>
      <c r="S134" s="291">
        <v>0</v>
      </c>
      <c r="T134" s="291">
        <v>0</v>
      </c>
      <c r="U134" s="291">
        <v>0</v>
      </c>
      <c r="V134" s="291">
        <v>500</v>
      </c>
      <c r="W134" s="291">
        <v>0</v>
      </c>
      <c r="X134" s="291">
        <f>V134+W134</f>
        <v>500</v>
      </c>
    </row>
    <row r="135" spans="1:24" s="292" customFormat="1" ht="18" customHeight="1" x14ac:dyDescent="0.2">
      <c r="A135" s="845">
        <v>81</v>
      </c>
      <c r="B135" s="288" t="s">
        <v>266</v>
      </c>
      <c r="C135" s="289" t="s">
        <v>267</v>
      </c>
      <c r="D135" s="290" t="s">
        <v>606</v>
      </c>
      <c r="E135" s="291">
        <v>26573</v>
      </c>
      <c r="F135" s="291">
        <v>2329</v>
      </c>
      <c r="G135" s="291">
        <v>2073</v>
      </c>
      <c r="H135" s="291">
        <v>256</v>
      </c>
      <c r="I135" s="291">
        <v>0</v>
      </c>
      <c r="J135" s="291">
        <v>0</v>
      </c>
      <c r="K135" s="291">
        <v>986</v>
      </c>
      <c r="L135" s="291">
        <v>0</v>
      </c>
      <c r="M135" s="291">
        <v>60</v>
      </c>
      <c r="N135" s="291">
        <v>23198</v>
      </c>
      <c r="O135" s="291">
        <v>3006</v>
      </c>
      <c r="P135" s="291">
        <v>320</v>
      </c>
      <c r="Q135" s="291">
        <v>100</v>
      </c>
      <c r="R135" s="291">
        <v>0</v>
      </c>
      <c r="S135" s="291">
        <v>0</v>
      </c>
      <c r="T135" s="291">
        <v>420</v>
      </c>
      <c r="U135" s="291">
        <v>96</v>
      </c>
      <c r="V135" s="291">
        <v>29579</v>
      </c>
      <c r="W135" s="291">
        <v>1142</v>
      </c>
      <c r="X135" s="291">
        <f>X136+X137</f>
        <v>30721</v>
      </c>
    </row>
    <row r="136" spans="1:24" x14ac:dyDescent="0.2">
      <c r="A136" s="846"/>
      <c r="B136" s="305"/>
      <c r="C136" s="293" t="s">
        <v>584</v>
      </c>
      <c r="D136" s="279" t="s">
        <v>576</v>
      </c>
      <c r="E136" s="280">
        <v>2106</v>
      </c>
      <c r="F136" s="280">
        <v>0</v>
      </c>
      <c r="G136" s="280">
        <v>0</v>
      </c>
      <c r="H136" s="280"/>
      <c r="I136" s="280">
        <v>0</v>
      </c>
      <c r="J136" s="280">
        <v>0</v>
      </c>
      <c r="K136" s="280">
        <v>0</v>
      </c>
      <c r="L136" s="280"/>
      <c r="M136" s="280">
        <v>0</v>
      </c>
      <c r="N136" s="280">
        <v>2106</v>
      </c>
      <c r="O136" s="279"/>
      <c r="P136" s="279"/>
      <c r="Q136" s="279"/>
      <c r="R136" s="279"/>
      <c r="S136" s="279"/>
      <c r="T136" s="279"/>
      <c r="U136" s="279"/>
      <c r="V136" s="280">
        <v>2106</v>
      </c>
      <c r="W136" s="280">
        <v>1142</v>
      </c>
      <c r="X136" s="280">
        <f>V136+W136</f>
        <v>3248</v>
      </c>
    </row>
    <row r="137" spans="1:24" ht="12.75" customHeight="1" x14ac:dyDescent="0.2">
      <c r="A137" s="847"/>
      <c r="B137" s="305"/>
      <c r="C137" s="293" t="s">
        <v>584</v>
      </c>
      <c r="D137" s="280" t="s">
        <v>606</v>
      </c>
      <c r="E137" s="280">
        <v>24467</v>
      </c>
      <c r="F137" s="280">
        <v>2329</v>
      </c>
      <c r="G137" s="280">
        <v>2073</v>
      </c>
      <c r="H137" s="280">
        <v>256</v>
      </c>
      <c r="I137" s="280">
        <v>0</v>
      </c>
      <c r="J137" s="280">
        <v>0</v>
      </c>
      <c r="K137" s="280">
        <v>986</v>
      </c>
      <c r="L137" s="280"/>
      <c r="M137" s="280">
        <v>60</v>
      </c>
      <c r="N137" s="280">
        <v>21092</v>
      </c>
      <c r="O137" s="280">
        <v>3006</v>
      </c>
      <c r="P137" s="280">
        <v>320</v>
      </c>
      <c r="Q137" s="280">
        <v>100</v>
      </c>
      <c r="R137" s="280">
        <v>0</v>
      </c>
      <c r="S137" s="280">
        <v>0</v>
      </c>
      <c r="T137" s="280">
        <v>420</v>
      </c>
      <c r="U137" s="280">
        <v>96</v>
      </c>
      <c r="V137" s="280">
        <v>27473</v>
      </c>
      <c r="W137" s="280">
        <v>0</v>
      </c>
      <c r="X137" s="280">
        <f>V137+W137</f>
        <v>27473</v>
      </c>
    </row>
    <row r="138" spans="1:24" s="292" customFormat="1" ht="18" customHeight="1" x14ac:dyDescent="0.2">
      <c r="A138" s="845">
        <v>82</v>
      </c>
      <c r="B138" s="301" t="s">
        <v>272</v>
      </c>
      <c r="C138" s="289" t="s">
        <v>273</v>
      </c>
      <c r="D138" s="290" t="s">
        <v>606</v>
      </c>
      <c r="E138" s="291">
        <v>19486</v>
      </c>
      <c r="F138" s="291">
        <v>1522</v>
      </c>
      <c r="G138" s="291">
        <v>1172</v>
      </c>
      <c r="H138" s="291">
        <v>350</v>
      </c>
      <c r="I138" s="291">
        <v>0</v>
      </c>
      <c r="J138" s="291">
        <v>0</v>
      </c>
      <c r="K138" s="291">
        <v>0</v>
      </c>
      <c r="L138" s="291">
        <v>0</v>
      </c>
      <c r="M138" s="291">
        <v>0</v>
      </c>
      <c r="N138" s="291">
        <v>17964</v>
      </c>
      <c r="O138" s="291">
        <v>1266</v>
      </c>
      <c r="P138" s="291">
        <v>218</v>
      </c>
      <c r="Q138" s="291">
        <v>0</v>
      </c>
      <c r="R138" s="291">
        <v>0</v>
      </c>
      <c r="S138" s="291">
        <v>0</v>
      </c>
      <c r="T138" s="291">
        <v>0</v>
      </c>
      <c r="U138" s="291">
        <v>0</v>
      </c>
      <c r="V138" s="291">
        <v>20752</v>
      </c>
      <c r="W138" s="280">
        <v>1320</v>
      </c>
      <c r="X138" s="291">
        <f>X139+X140</f>
        <v>22072</v>
      </c>
    </row>
    <row r="139" spans="1:24" x14ac:dyDescent="0.2">
      <c r="A139" s="846"/>
      <c r="B139" s="276"/>
      <c r="C139" s="293" t="s">
        <v>584</v>
      </c>
      <c r="D139" s="279" t="s">
        <v>576</v>
      </c>
      <c r="E139" s="280">
        <v>461</v>
      </c>
      <c r="F139" s="280">
        <v>0</v>
      </c>
      <c r="G139" s="280">
        <v>0</v>
      </c>
      <c r="H139" s="280"/>
      <c r="I139" s="280">
        <v>0</v>
      </c>
      <c r="J139" s="280">
        <v>0</v>
      </c>
      <c r="K139" s="280">
        <v>0</v>
      </c>
      <c r="L139" s="280"/>
      <c r="M139" s="280">
        <v>0</v>
      </c>
      <c r="N139" s="280">
        <v>461</v>
      </c>
      <c r="O139" s="279"/>
      <c r="P139" s="279"/>
      <c r="Q139" s="279"/>
      <c r="R139" s="279"/>
      <c r="S139" s="279"/>
      <c r="T139" s="279"/>
      <c r="U139" s="279"/>
      <c r="V139" s="280">
        <v>461</v>
      </c>
      <c r="W139" s="280">
        <v>1320</v>
      </c>
      <c r="X139" s="280">
        <f>V139+W139</f>
        <v>1781</v>
      </c>
    </row>
    <row r="140" spans="1:24" x14ac:dyDescent="0.2">
      <c r="A140" s="847"/>
      <c r="B140" s="276"/>
      <c r="C140" s="293" t="s">
        <v>584</v>
      </c>
      <c r="D140" s="279" t="s">
        <v>606</v>
      </c>
      <c r="E140" s="297">
        <v>19025</v>
      </c>
      <c r="F140" s="297">
        <v>1522</v>
      </c>
      <c r="G140" s="297">
        <v>1172</v>
      </c>
      <c r="H140" s="297">
        <v>350</v>
      </c>
      <c r="I140" s="297">
        <v>0</v>
      </c>
      <c r="J140" s="297">
        <v>0</v>
      </c>
      <c r="K140" s="297">
        <v>0</v>
      </c>
      <c r="L140" s="297"/>
      <c r="M140" s="297">
        <v>0</v>
      </c>
      <c r="N140" s="297">
        <v>17503</v>
      </c>
      <c r="O140" s="280">
        <v>1266</v>
      </c>
      <c r="P140" s="280">
        <v>218</v>
      </c>
      <c r="Q140" s="280">
        <v>0</v>
      </c>
      <c r="R140" s="280">
        <v>0</v>
      </c>
      <c r="S140" s="280">
        <v>0</v>
      </c>
      <c r="T140" s="280">
        <v>0</v>
      </c>
      <c r="U140" s="280">
        <v>0</v>
      </c>
      <c r="V140" s="280">
        <v>20291</v>
      </c>
      <c r="W140" s="280">
        <v>0</v>
      </c>
      <c r="X140" s="280">
        <f>V140+W140</f>
        <v>20291</v>
      </c>
    </row>
    <row r="141" spans="1:24" s="292" customFormat="1" ht="18" customHeight="1" x14ac:dyDescent="0.2">
      <c r="A141" s="287">
        <v>83</v>
      </c>
      <c r="B141" s="288" t="s">
        <v>282</v>
      </c>
      <c r="C141" s="289" t="s">
        <v>783</v>
      </c>
      <c r="D141" s="290" t="s">
        <v>606</v>
      </c>
      <c r="E141" s="291">
        <v>4442</v>
      </c>
      <c r="F141" s="291">
        <v>0</v>
      </c>
      <c r="G141" s="291">
        <v>0</v>
      </c>
      <c r="H141" s="291"/>
      <c r="I141" s="291">
        <v>0</v>
      </c>
      <c r="J141" s="291">
        <v>0</v>
      </c>
      <c r="K141" s="291">
        <v>0</v>
      </c>
      <c r="L141" s="291">
        <v>0</v>
      </c>
      <c r="M141" s="291">
        <v>0</v>
      </c>
      <c r="N141" s="291">
        <v>4442</v>
      </c>
      <c r="O141" s="291">
        <v>300</v>
      </c>
      <c r="P141" s="291">
        <v>0</v>
      </c>
      <c r="Q141" s="291">
        <v>0</v>
      </c>
      <c r="R141" s="291">
        <v>0</v>
      </c>
      <c r="S141" s="291">
        <v>0</v>
      </c>
      <c r="T141" s="291">
        <v>0</v>
      </c>
      <c r="U141" s="291">
        <v>0</v>
      </c>
      <c r="V141" s="291">
        <v>4742</v>
      </c>
      <c r="W141" s="280">
        <v>2085</v>
      </c>
      <c r="X141" s="291">
        <f>V141+W141</f>
        <v>6827</v>
      </c>
    </row>
    <row r="142" spans="1:24" s="292" customFormat="1" ht="30" customHeight="1" x14ac:dyDescent="0.2">
      <c r="A142" s="287"/>
      <c r="B142" s="304"/>
      <c r="C142" s="306" t="s">
        <v>15</v>
      </c>
      <c r="D142" s="290"/>
      <c r="E142" s="291">
        <f>SUM(E9:E63)+E64+E67+E76+E79+E82+E85+E88+E91+E94+E97+E100+E103+E106+E109+E112+E115+E118+E121+E124+E127+E130+E133+E134+E135+E138+E141+E70+E73</f>
        <v>638488</v>
      </c>
      <c r="F142" s="291">
        <f t="shared" ref="F142:X142" si="5">SUM(F9:F63)+F64+F67+F76+F79+F82+F85+F88+F91+F94+F97+F100+F103+F106+F109+F112+F115+F118+F121+F124+F127+F130+F133+F134+F135+F138+F141+F70+F73</f>
        <v>36059</v>
      </c>
      <c r="G142" s="291">
        <f t="shared" si="5"/>
        <v>33938</v>
      </c>
      <c r="H142" s="291">
        <f t="shared" si="5"/>
        <v>2121</v>
      </c>
      <c r="I142" s="291">
        <f t="shared" si="5"/>
        <v>3169</v>
      </c>
      <c r="J142" s="291">
        <f t="shared" ref="J142" si="6">SUM(J9:J63)+J64+J67+J76+J79+J82+J85+J88+J91+J94+J97+J100+J103+J106+J109+J112+J115+J118+J121+J124+J127+J130+J133+J134+J135+J138+J141+J70+J73</f>
        <v>219</v>
      </c>
      <c r="K142" s="291">
        <f t="shared" si="5"/>
        <v>7775</v>
      </c>
      <c r="L142" s="291">
        <f t="shared" si="5"/>
        <v>379</v>
      </c>
      <c r="M142" s="291">
        <f t="shared" si="5"/>
        <v>720</v>
      </c>
      <c r="N142" s="291">
        <f t="shared" si="5"/>
        <v>590167</v>
      </c>
      <c r="O142" s="291">
        <f t="shared" si="5"/>
        <v>17709</v>
      </c>
      <c r="P142" s="291">
        <f t="shared" si="5"/>
        <v>2599</v>
      </c>
      <c r="Q142" s="291">
        <f t="shared" si="5"/>
        <v>1292</v>
      </c>
      <c r="R142" s="291">
        <f t="shared" si="5"/>
        <v>1277</v>
      </c>
      <c r="S142" s="291">
        <f t="shared" si="5"/>
        <v>725</v>
      </c>
      <c r="T142" s="291">
        <f t="shared" si="5"/>
        <v>1091</v>
      </c>
      <c r="U142" s="291">
        <f t="shared" si="5"/>
        <v>96</v>
      </c>
      <c r="V142" s="291">
        <f t="shared" si="5"/>
        <v>656197</v>
      </c>
      <c r="W142" s="291">
        <f>'[17]Свод по уровням'!$E138</f>
        <v>22498</v>
      </c>
      <c r="X142" s="291">
        <f t="shared" si="5"/>
        <v>678695</v>
      </c>
    </row>
    <row r="143" spans="1:24" ht="25.5" x14ac:dyDescent="0.2">
      <c r="A143" s="276"/>
      <c r="B143" s="276"/>
      <c r="C143" s="278" t="s">
        <v>607</v>
      </c>
      <c r="D143" s="279"/>
      <c r="E143" s="291">
        <v>20954</v>
      </c>
      <c r="F143" s="291">
        <v>730</v>
      </c>
      <c r="G143" s="291">
        <v>730</v>
      </c>
      <c r="H143" s="291"/>
      <c r="I143" s="291"/>
      <c r="J143" s="291"/>
      <c r="K143" s="291"/>
      <c r="L143" s="291"/>
      <c r="M143" s="291"/>
      <c r="N143" s="291">
        <f>E143-F143</f>
        <v>20224</v>
      </c>
      <c r="O143" s="291"/>
      <c r="P143" s="291"/>
      <c r="Q143" s="291"/>
      <c r="R143" s="291"/>
      <c r="S143" s="291"/>
      <c r="T143" s="291"/>
      <c r="U143" s="291"/>
      <c r="V143" s="291">
        <f>E143+O143</f>
        <v>20954</v>
      </c>
      <c r="W143" s="291">
        <v>16</v>
      </c>
      <c r="X143" s="291">
        <f>V143+W143</f>
        <v>20970</v>
      </c>
    </row>
    <row r="144" spans="1:24" ht="19.5" customHeight="1" x14ac:dyDescent="0.2">
      <c r="A144" s="848" t="s">
        <v>439</v>
      </c>
      <c r="B144" s="849"/>
      <c r="C144" s="849"/>
      <c r="D144" s="307"/>
      <c r="E144" s="291">
        <f>E142+E143</f>
        <v>659442</v>
      </c>
      <c r="F144" s="291">
        <f t="shared" ref="F144:X144" si="7">F142+F143</f>
        <v>36789</v>
      </c>
      <c r="G144" s="291">
        <f t="shared" si="7"/>
        <v>34668</v>
      </c>
      <c r="H144" s="291">
        <f t="shared" si="7"/>
        <v>2121</v>
      </c>
      <c r="I144" s="291">
        <f t="shared" si="7"/>
        <v>3169</v>
      </c>
      <c r="J144" s="291">
        <f t="shared" ref="J144" si="8">J142+J143</f>
        <v>219</v>
      </c>
      <c r="K144" s="291">
        <f t="shared" si="7"/>
        <v>7775</v>
      </c>
      <c r="L144" s="291">
        <f t="shared" si="7"/>
        <v>379</v>
      </c>
      <c r="M144" s="291">
        <f t="shared" si="7"/>
        <v>720</v>
      </c>
      <c r="N144" s="291">
        <f t="shared" si="7"/>
        <v>610391</v>
      </c>
      <c r="O144" s="291">
        <f t="shared" si="7"/>
        <v>17709</v>
      </c>
      <c r="P144" s="291">
        <f t="shared" si="7"/>
        <v>2599</v>
      </c>
      <c r="Q144" s="291">
        <f t="shared" si="7"/>
        <v>1292</v>
      </c>
      <c r="R144" s="291">
        <f t="shared" si="7"/>
        <v>1277</v>
      </c>
      <c r="S144" s="291">
        <f t="shared" si="7"/>
        <v>725</v>
      </c>
      <c r="T144" s="291">
        <f t="shared" si="7"/>
        <v>1091</v>
      </c>
      <c r="U144" s="291">
        <f t="shared" si="7"/>
        <v>96</v>
      </c>
      <c r="V144" s="291">
        <f t="shared" si="7"/>
        <v>677151</v>
      </c>
      <c r="W144" s="291">
        <f t="shared" si="7"/>
        <v>22514</v>
      </c>
      <c r="X144" s="291">
        <f t="shared" si="7"/>
        <v>699665</v>
      </c>
    </row>
    <row r="146" spans="5:24" s="365" customFormat="1" ht="11.25" x14ac:dyDescent="0.2">
      <c r="E146" s="364"/>
      <c r="O146" s="366"/>
      <c r="P146" s="366"/>
      <c r="Q146" s="366"/>
      <c r="R146" s="366"/>
      <c r="S146" s="366"/>
      <c r="T146" s="366"/>
      <c r="U146" s="366"/>
      <c r="X146" s="367"/>
    </row>
    <row r="147" spans="5:24" s="717" customFormat="1" ht="12" x14ac:dyDescent="0.2">
      <c r="O147" s="718"/>
      <c r="P147" s="718"/>
      <c r="Q147" s="718"/>
      <c r="R147" s="718"/>
      <c r="S147" s="718"/>
      <c r="T147" s="718"/>
      <c r="U147" s="718"/>
      <c r="X147" s="719"/>
    </row>
    <row r="148" spans="5:24" s="365" customFormat="1" ht="11.25" x14ac:dyDescent="0.2">
      <c r="E148" s="364"/>
      <c r="O148" s="366"/>
      <c r="P148" s="366"/>
      <c r="Q148" s="366"/>
      <c r="R148" s="366"/>
      <c r="S148" s="366"/>
      <c r="T148" s="366"/>
      <c r="U148" s="366"/>
      <c r="X148" s="367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zoomScale="70" zoomScaleNormal="70" workbookViewId="0">
      <pane xSplit="3" ySplit="5" topLeftCell="D53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7"/>
    <col min="2" max="2" width="54.28515625" style="730" customWidth="1"/>
    <col min="3" max="3" width="12.140625" style="77" customWidth="1"/>
    <col min="4" max="4" width="11.42578125" style="77" customWidth="1"/>
    <col min="5" max="5" width="11.7109375" style="77" customWidth="1"/>
    <col min="6" max="7" width="12.42578125" style="77" customWidth="1"/>
    <col min="8" max="8" width="13.140625" style="77" customWidth="1"/>
    <col min="9" max="9" width="16.42578125" style="77" customWidth="1"/>
    <col min="10" max="10" width="11.28515625" style="77" customWidth="1"/>
    <col min="11" max="11" width="12.140625" style="77" customWidth="1"/>
    <col min="12" max="12" width="13.42578125" style="77" customWidth="1"/>
    <col min="13" max="13" width="11.42578125" style="77" customWidth="1"/>
    <col min="14" max="14" width="19" style="77" customWidth="1"/>
    <col min="15" max="15" width="19.28515625" style="77" customWidth="1"/>
    <col min="16" max="16" width="19.7109375" style="77" customWidth="1"/>
    <col min="17" max="17" width="24.85546875" style="77" customWidth="1"/>
    <col min="18" max="18" width="17.42578125" style="77" customWidth="1"/>
    <col min="19" max="16384" width="9.140625" style="77"/>
  </cols>
  <sheetData>
    <row r="1" spans="1:21" ht="33.75" customHeight="1" x14ac:dyDescent="0.25">
      <c r="A1" s="76"/>
      <c r="B1" s="972" t="s">
        <v>325</v>
      </c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</row>
    <row r="2" spans="1:21" ht="15.75" customHeight="1" x14ac:dyDescent="0.25"/>
    <row r="3" spans="1:21" ht="15.75" customHeight="1" x14ac:dyDescent="0.25">
      <c r="A3" s="973" t="s">
        <v>0</v>
      </c>
      <c r="B3" s="974" t="s">
        <v>309</v>
      </c>
      <c r="C3" s="975" t="s">
        <v>326</v>
      </c>
      <c r="D3" s="976" t="s">
        <v>327</v>
      </c>
      <c r="E3" s="976"/>
      <c r="F3" s="976"/>
      <c r="G3" s="976"/>
      <c r="H3" s="976"/>
      <c r="I3" s="976" t="s">
        <v>328</v>
      </c>
      <c r="J3" s="976"/>
      <c r="K3" s="976"/>
      <c r="L3" s="976"/>
      <c r="M3" s="976"/>
      <c r="N3" s="976"/>
      <c r="O3" s="976"/>
      <c r="P3" s="976"/>
      <c r="Q3" s="976"/>
      <c r="R3" s="976"/>
    </row>
    <row r="4" spans="1:21" ht="16.5" customHeight="1" x14ac:dyDescent="0.25">
      <c r="A4" s="973"/>
      <c r="B4" s="974"/>
      <c r="C4" s="975"/>
      <c r="D4" s="977" t="s">
        <v>13</v>
      </c>
      <c r="E4" s="976" t="s">
        <v>329</v>
      </c>
      <c r="F4" s="976" t="s">
        <v>6</v>
      </c>
      <c r="G4" s="976"/>
      <c r="H4" s="976" t="s">
        <v>330</v>
      </c>
      <c r="I4" s="968" t="s">
        <v>329</v>
      </c>
      <c r="J4" s="969"/>
      <c r="K4" s="969"/>
      <c r="L4" s="969"/>
      <c r="M4" s="969"/>
      <c r="N4" s="970"/>
      <c r="O4" s="971" t="s">
        <v>330</v>
      </c>
      <c r="P4" s="971"/>
      <c r="Q4" s="971"/>
      <c r="R4" s="971"/>
    </row>
    <row r="5" spans="1:21" ht="90" customHeight="1" x14ac:dyDescent="0.25">
      <c r="A5" s="973"/>
      <c r="B5" s="974"/>
      <c r="C5" s="975"/>
      <c r="D5" s="977"/>
      <c r="E5" s="976"/>
      <c r="F5" s="78" t="s">
        <v>331</v>
      </c>
      <c r="G5" s="78" t="s">
        <v>332</v>
      </c>
      <c r="H5" s="976"/>
      <c r="I5" s="79" t="s">
        <v>333</v>
      </c>
      <c r="J5" s="79" t="s">
        <v>334</v>
      </c>
      <c r="K5" s="79" t="s">
        <v>332</v>
      </c>
      <c r="L5" s="79" t="s">
        <v>335</v>
      </c>
      <c r="M5" s="79" t="s">
        <v>336</v>
      </c>
      <c r="N5" s="79" t="s">
        <v>337</v>
      </c>
      <c r="O5" s="79" t="s">
        <v>338</v>
      </c>
      <c r="P5" s="79" t="s">
        <v>339</v>
      </c>
      <c r="Q5" s="79" t="s">
        <v>340</v>
      </c>
      <c r="R5" s="79" t="s">
        <v>341</v>
      </c>
      <c r="S5" s="80"/>
    </row>
    <row r="6" spans="1:21" ht="15.75" x14ac:dyDescent="0.25">
      <c r="A6" s="81">
        <v>1</v>
      </c>
      <c r="B6" s="731" t="s">
        <v>207</v>
      </c>
      <c r="C6" s="88" t="s">
        <v>206</v>
      </c>
      <c r="D6" s="82">
        <v>740</v>
      </c>
      <c r="E6" s="82">
        <v>440</v>
      </c>
      <c r="F6" s="82">
        <v>70</v>
      </c>
      <c r="G6" s="82">
        <v>370</v>
      </c>
      <c r="H6" s="82">
        <v>300</v>
      </c>
      <c r="I6" s="82">
        <v>88</v>
      </c>
      <c r="J6" s="82">
        <v>14</v>
      </c>
      <c r="K6" s="82">
        <v>74</v>
      </c>
      <c r="L6" s="82">
        <v>88</v>
      </c>
      <c r="M6" s="82">
        <v>88</v>
      </c>
      <c r="N6" s="82">
        <v>74</v>
      </c>
      <c r="O6" s="82">
        <v>60</v>
      </c>
      <c r="P6" s="82">
        <v>60</v>
      </c>
      <c r="Q6" s="82">
        <v>60</v>
      </c>
      <c r="R6" s="82">
        <v>60</v>
      </c>
      <c r="U6" s="83"/>
    </row>
    <row r="7" spans="1:21" ht="15.75" x14ac:dyDescent="0.25">
      <c r="A7" s="81">
        <v>2</v>
      </c>
      <c r="B7" s="731" t="s">
        <v>342</v>
      </c>
      <c r="C7" s="88" t="s">
        <v>132</v>
      </c>
      <c r="D7" s="82">
        <v>2321</v>
      </c>
      <c r="E7" s="82">
        <v>1071</v>
      </c>
      <c r="F7" s="82">
        <v>208</v>
      </c>
      <c r="G7" s="82">
        <v>863</v>
      </c>
      <c r="H7" s="82">
        <v>1250</v>
      </c>
      <c r="I7" s="82">
        <v>215</v>
      </c>
      <c r="J7" s="82">
        <v>42</v>
      </c>
      <c r="K7" s="82">
        <v>173</v>
      </c>
      <c r="L7" s="82">
        <v>215</v>
      </c>
      <c r="M7" s="82">
        <v>215</v>
      </c>
      <c r="N7" s="82">
        <v>173</v>
      </c>
      <c r="O7" s="82">
        <v>250</v>
      </c>
      <c r="P7" s="82">
        <v>250</v>
      </c>
      <c r="Q7" s="82">
        <v>250</v>
      </c>
      <c r="R7" s="82">
        <v>250</v>
      </c>
    </row>
    <row r="8" spans="1:21" ht="15.75" x14ac:dyDescent="0.25">
      <c r="A8" s="81">
        <v>3</v>
      </c>
      <c r="B8" s="731" t="s">
        <v>343</v>
      </c>
      <c r="C8" s="88" t="s">
        <v>128</v>
      </c>
      <c r="D8" s="82">
        <v>4348</v>
      </c>
      <c r="E8" s="82">
        <v>2117</v>
      </c>
      <c r="F8" s="82">
        <v>518</v>
      </c>
      <c r="G8" s="82">
        <v>1599</v>
      </c>
      <c r="H8" s="82">
        <v>2231</v>
      </c>
      <c r="I8" s="82">
        <v>424</v>
      </c>
      <c r="J8" s="82">
        <v>104</v>
      </c>
      <c r="K8" s="82">
        <v>320</v>
      </c>
      <c r="L8" s="82">
        <v>424</v>
      </c>
      <c r="M8" s="82">
        <v>424</v>
      </c>
      <c r="N8" s="82">
        <v>320</v>
      </c>
      <c r="O8" s="82">
        <v>446</v>
      </c>
      <c r="P8" s="82">
        <v>446</v>
      </c>
      <c r="Q8" s="82">
        <v>446</v>
      </c>
      <c r="R8" s="82">
        <v>446</v>
      </c>
    </row>
    <row r="9" spans="1:21" ht="15.75" x14ac:dyDescent="0.25">
      <c r="A9" s="81">
        <v>4</v>
      </c>
      <c r="B9" s="731" t="s">
        <v>344</v>
      </c>
      <c r="C9" s="88" t="s">
        <v>134</v>
      </c>
      <c r="D9" s="82">
        <v>4191</v>
      </c>
      <c r="E9" s="82">
        <v>1944</v>
      </c>
      <c r="F9" s="82">
        <v>405</v>
      </c>
      <c r="G9" s="82">
        <v>1539</v>
      </c>
      <c r="H9" s="82">
        <v>2247</v>
      </c>
      <c r="I9" s="82">
        <v>389</v>
      </c>
      <c r="J9" s="82">
        <v>81</v>
      </c>
      <c r="K9" s="82">
        <v>308</v>
      </c>
      <c r="L9" s="82">
        <v>389</v>
      </c>
      <c r="M9" s="82">
        <v>389</v>
      </c>
      <c r="N9" s="82">
        <v>308</v>
      </c>
      <c r="O9" s="82">
        <v>449</v>
      </c>
      <c r="P9" s="82">
        <v>449</v>
      </c>
      <c r="Q9" s="82">
        <v>449</v>
      </c>
      <c r="R9" s="82">
        <v>449</v>
      </c>
    </row>
    <row r="10" spans="1:21" ht="15.75" x14ac:dyDescent="0.25">
      <c r="A10" s="81">
        <v>5</v>
      </c>
      <c r="B10" s="731" t="s">
        <v>345</v>
      </c>
      <c r="C10" s="88" t="s">
        <v>108</v>
      </c>
      <c r="D10" s="82">
        <v>3249</v>
      </c>
      <c r="E10" s="82">
        <v>1459</v>
      </c>
      <c r="F10" s="82">
        <v>390</v>
      </c>
      <c r="G10" s="82">
        <v>1069</v>
      </c>
      <c r="H10" s="82">
        <v>1790</v>
      </c>
      <c r="I10" s="82">
        <v>292</v>
      </c>
      <c r="J10" s="82">
        <v>78</v>
      </c>
      <c r="K10" s="82">
        <v>214</v>
      </c>
      <c r="L10" s="82">
        <v>292</v>
      </c>
      <c r="M10" s="82">
        <v>292</v>
      </c>
      <c r="N10" s="82">
        <v>214</v>
      </c>
      <c r="O10" s="82">
        <v>358</v>
      </c>
      <c r="P10" s="82">
        <v>358</v>
      </c>
      <c r="Q10" s="82">
        <v>358</v>
      </c>
      <c r="R10" s="82">
        <v>358</v>
      </c>
    </row>
    <row r="11" spans="1:21" ht="15.75" x14ac:dyDescent="0.25">
      <c r="A11" s="81">
        <v>6</v>
      </c>
      <c r="B11" s="731" t="s">
        <v>346</v>
      </c>
      <c r="C11" s="88" t="s">
        <v>106</v>
      </c>
      <c r="D11" s="82">
        <v>10597</v>
      </c>
      <c r="E11" s="82">
        <v>5239</v>
      </c>
      <c r="F11" s="82">
        <v>1281</v>
      </c>
      <c r="G11" s="82">
        <v>3958</v>
      </c>
      <c r="H11" s="82">
        <v>5358</v>
      </c>
      <c r="I11" s="82">
        <v>1048</v>
      </c>
      <c r="J11" s="82">
        <v>256</v>
      </c>
      <c r="K11" s="82">
        <v>792</v>
      </c>
      <c r="L11" s="82">
        <v>1048</v>
      </c>
      <c r="M11" s="82">
        <v>1048</v>
      </c>
      <c r="N11" s="82">
        <v>792</v>
      </c>
      <c r="O11" s="82">
        <v>1072</v>
      </c>
      <c r="P11" s="82">
        <v>1072</v>
      </c>
      <c r="Q11" s="82">
        <v>1072</v>
      </c>
      <c r="R11" s="82">
        <v>1072</v>
      </c>
    </row>
    <row r="12" spans="1:21" ht="15.75" x14ac:dyDescent="0.25">
      <c r="A12" s="81">
        <v>7</v>
      </c>
      <c r="B12" s="731" t="s">
        <v>347</v>
      </c>
      <c r="C12" s="88" t="s">
        <v>100</v>
      </c>
      <c r="D12" s="82">
        <v>2793</v>
      </c>
      <c r="E12" s="82">
        <v>1254</v>
      </c>
      <c r="F12" s="82">
        <v>325</v>
      </c>
      <c r="G12" s="82">
        <v>929</v>
      </c>
      <c r="H12" s="82">
        <v>1539</v>
      </c>
      <c r="I12" s="82">
        <v>251</v>
      </c>
      <c r="J12" s="82">
        <v>65</v>
      </c>
      <c r="K12" s="82">
        <v>186</v>
      </c>
      <c r="L12" s="82">
        <v>251</v>
      </c>
      <c r="M12" s="82">
        <v>251</v>
      </c>
      <c r="N12" s="82">
        <v>186</v>
      </c>
      <c r="O12" s="82">
        <v>308</v>
      </c>
      <c r="P12" s="82">
        <v>308</v>
      </c>
      <c r="Q12" s="82">
        <v>308</v>
      </c>
      <c r="R12" s="82">
        <v>308</v>
      </c>
    </row>
    <row r="13" spans="1:21" ht="15.75" x14ac:dyDescent="0.25">
      <c r="A13" s="81">
        <v>8</v>
      </c>
      <c r="B13" s="731" t="s">
        <v>348</v>
      </c>
      <c r="C13" s="88" t="s">
        <v>26</v>
      </c>
      <c r="D13" s="82">
        <v>10304</v>
      </c>
      <c r="E13" s="82">
        <v>5182</v>
      </c>
      <c r="F13" s="82">
        <v>1251</v>
      </c>
      <c r="G13" s="82">
        <v>3931</v>
      </c>
      <c r="H13" s="82">
        <v>5122</v>
      </c>
      <c r="I13" s="82">
        <v>1036</v>
      </c>
      <c r="J13" s="82">
        <v>250</v>
      </c>
      <c r="K13" s="82">
        <v>786</v>
      </c>
      <c r="L13" s="82">
        <v>1036</v>
      </c>
      <c r="M13" s="82">
        <v>1036</v>
      </c>
      <c r="N13" s="82">
        <v>786</v>
      </c>
      <c r="O13" s="82">
        <v>1024</v>
      </c>
      <c r="P13" s="82">
        <v>1024</v>
      </c>
      <c r="Q13" s="82">
        <v>1024</v>
      </c>
      <c r="R13" s="82">
        <v>1024</v>
      </c>
    </row>
    <row r="14" spans="1:21" ht="15.75" x14ac:dyDescent="0.25">
      <c r="A14" s="81">
        <v>9</v>
      </c>
      <c r="B14" s="731" t="s">
        <v>349</v>
      </c>
      <c r="C14" s="88" t="s">
        <v>18</v>
      </c>
      <c r="D14" s="82">
        <v>22024</v>
      </c>
      <c r="E14" s="82">
        <v>11524</v>
      </c>
      <c r="F14" s="82">
        <v>2792</v>
      </c>
      <c r="G14" s="82">
        <v>8732</v>
      </c>
      <c r="H14" s="82">
        <v>10500</v>
      </c>
      <c r="I14" s="82">
        <v>2304</v>
      </c>
      <c r="J14" s="82">
        <v>558</v>
      </c>
      <c r="K14" s="82">
        <v>1746</v>
      </c>
      <c r="L14" s="82">
        <v>2304</v>
      </c>
      <c r="M14" s="82">
        <v>2304</v>
      </c>
      <c r="N14" s="82">
        <v>1746</v>
      </c>
      <c r="O14" s="82">
        <v>2100</v>
      </c>
      <c r="P14" s="82">
        <v>2100</v>
      </c>
      <c r="Q14" s="82">
        <v>2100</v>
      </c>
      <c r="R14" s="82">
        <v>2100</v>
      </c>
    </row>
    <row r="15" spans="1:21" ht="15.75" x14ac:dyDescent="0.25">
      <c r="A15" s="81">
        <v>10</v>
      </c>
      <c r="B15" s="731" t="s">
        <v>350</v>
      </c>
      <c r="C15" s="88" t="s">
        <v>68</v>
      </c>
      <c r="D15" s="82">
        <v>3533</v>
      </c>
      <c r="E15" s="82">
        <v>1625</v>
      </c>
      <c r="F15" s="82">
        <v>395</v>
      </c>
      <c r="G15" s="82">
        <v>1230</v>
      </c>
      <c r="H15" s="82">
        <v>1908</v>
      </c>
      <c r="I15" s="82">
        <v>325</v>
      </c>
      <c r="J15" s="82">
        <v>79</v>
      </c>
      <c r="K15" s="82">
        <v>246</v>
      </c>
      <c r="L15" s="82">
        <v>325</v>
      </c>
      <c r="M15" s="82">
        <v>325</v>
      </c>
      <c r="N15" s="82">
        <v>246</v>
      </c>
      <c r="O15" s="82">
        <v>382</v>
      </c>
      <c r="P15" s="82">
        <v>382</v>
      </c>
      <c r="Q15" s="82">
        <v>382</v>
      </c>
      <c r="R15" s="82">
        <v>382</v>
      </c>
    </row>
    <row r="16" spans="1:21" ht="15.75" x14ac:dyDescent="0.25">
      <c r="A16" s="81">
        <v>11</v>
      </c>
      <c r="B16" s="731" t="s">
        <v>351</v>
      </c>
      <c r="C16" s="88" t="s">
        <v>64</v>
      </c>
      <c r="D16" s="82">
        <v>2758</v>
      </c>
      <c r="E16" s="82">
        <v>1230</v>
      </c>
      <c r="F16" s="82">
        <v>345</v>
      </c>
      <c r="G16" s="82">
        <v>885</v>
      </c>
      <c r="H16" s="82">
        <v>1528</v>
      </c>
      <c r="I16" s="82">
        <v>246</v>
      </c>
      <c r="J16" s="82">
        <v>69</v>
      </c>
      <c r="K16" s="82">
        <v>177</v>
      </c>
      <c r="L16" s="82">
        <v>246</v>
      </c>
      <c r="M16" s="82">
        <v>246</v>
      </c>
      <c r="N16" s="82">
        <v>177</v>
      </c>
      <c r="O16" s="82">
        <v>306</v>
      </c>
      <c r="P16" s="82">
        <v>306</v>
      </c>
      <c r="Q16" s="82">
        <v>306</v>
      </c>
      <c r="R16" s="82">
        <v>306</v>
      </c>
    </row>
    <row r="17" spans="1:18" ht="15.75" x14ac:dyDescent="0.25">
      <c r="A17" s="81">
        <v>12</v>
      </c>
      <c r="B17" s="731" t="s">
        <v>352</v>
      </c>
      <c r="C17" s="88" t="s">
        <v>28</v>
      </c>
      <c r="D17" s="82">
        <v>14959</v>
      </c>
      <c r="E17" s="82">
        <v>7709</v>
      </c>
      <c r="F17" s="82">
        <v>1766</v>
      </c>
      <c r="G17" s="82">
        <v>5943</v>
      </c>
      <c r="H17" s="82">
        <v>7250</v>
      </c>
      <c r="I17" s="82">
        <v>1542</v>
      </c>
      <c r="J17" s="82">
        <v>353</v>
      </c>
      <c r="K17" s="82">
        <v>1189</v>
      </c>
      <c r="L17" s="82">
        <v>1542</v>
      </c>
      <c r="M17" s="82">
        <v>1542</v>
      </c>
      <c r="N17" s="82">
        <v>1189</v>
      </c>
      <c r="O17" s="82">
        <v>1450</v>
      </c>
      <c r="P17" s="82">
        <v>1450</v>
      </c>
      <c r="Q17" s="82">
        <v>1450</v>
      </c>
      <c r="R17" s="82">
        <v>1450</v>
      </c>
    </row>
    <row r="18" spans="1:18" ht="15.75" x14ac:dyDescent="0.25">
      <c r="A18" s="81">
        <v>13</v>
      </c>
      <c r="B18" s="731" t="s">
        <v>353</v>
      </c>
      <c r="C18" s="88" t="s">
        <v>116</v>
      </c>
      <c r="D18" s="82">
        <v>2126</v>
      </c>
      <c r="E18" s="82">
        <v>836</v>
      </c>
      <c r="F18" s="82">
        <v>97</v>
      </c>
      <c r="G18" s="82">
        <v>739</v>
      </c>
      <c r="H18" s="82">
        <v>1290</v>
      </c>
      <c r="I18" s="82">
        <v>167</v>
      </c>
      <c r="J18" s="82">
        <v>19</v>
      </c>
      <c r="K18" s="82">
        <v>148</v>
      </c>
      <c r="L18" s="82">
        <v>167</v>
      </c>
      <c r="M18" s="82">
        <v>167</v>
      </c>
      <c r="N18" s="82">
        <v>148</v>
      </c>
      <c r="O18" s="82">
        <v>258</v>
      </c>
      <c r="P18" s="82">
        <v>258</v>
      </c>
      <c r="Q18" s="82">
        <v>258</v>
      </c>
      <c r="R18" s="82">
        <v>258</v>
      </c>
    </row>
    <row r="19" spans="1:18" ht="15.75" x14ac:dyDescent="0.25">
      <c r="A19" s="81">
        <v>14</v>
      </c>
      <c r="B19" s="731" t="s">
        <v>354</v>
      </c>
      <c r="C19" s="88" t="s">
        <v>114</v>
      </c>
      <c r="D19" s="82">
        <v>1434</v>
      </c>
      <c r="E19" s="82">
        <v>637</v>
      </c>
      <c r="F19" s="82">
        <v>178</v>
      </c>
      <c r="G19" s="82">
        <v>459</v>
      </c>
      <c r="H19" s="82">
        <v>797</v>
      </c>
      <c r="I19" s="82">
        <v>128</v>
      </c>
      <c r="J19" s="82">
        <v>36</v>
      </c>
      <c r="K19" s="82">
        <v>92</v>
      </c>
      <c r="L19" s="82">
        <v>128</v>
      </c>
      <c r="M19" s="82">
        <v>128</v>
      </c>
      <c r="N19" s="82">
        <v>92</v>
      </c>
      <c r="O19" s="82">
        <v>159</v>
      </c>
      <c r="P19" s="82">
        <v>159</v>
      </c>
      <c r="Q19" s="82">
        <v>159</v>
      </c>
      <c r="R19" s="82">
        <v>159</v>
      </c>
    </row>
    <row r="20" spans="1:18" ht="15.75" x14ac:dyDescent="0.25">
      <c r="A20" s="81">
        <v>15</v>
      </c>
      <c r="B20" s="731" t="s">
        <v>355</v>
      </c>
      <c r="C20" s="88" t="s">
        <v>98</v>
      </c>
      <c r="D20" s="82">
        <v>16719</v>
      </c>
      <c r="E20" s="82">
        <v>8848</v>
      </c>
      <c r="F20" s="82">
        <v>2517</v>
      </c>
      <c r="G20" s="82">
        <v>6331</v>
      </c>
      <c r="H20" s="82">
        <v>7871</v>
      </c>
      <c r="I20" s="82">
        <v>1769</v>
      </c>
      <c r="J20" s="82">
        <v>503</v>
      </c>
      <c r="K20" s="82">
        <v>1266</v>
      </c>
      <c r="L20" s="82">
        <v>1769</v>
      </c>
      <c r="M20" s="82">
        <v>1769</v>
      </c>
      <c r="N20" s="82">
        <v>1266</v>
      </c>
      <c r="O20" s="82">
        <v>1574</v>
      </c>
      <c r="P20" s="82">
        <v>1574</v>
      </c>
      <c r="Q20" s="82">
        <v>1574</v>
      </c>
      <c r="R20" s="82">
        <v>1574</v>
      </c>
    </row>
    <row r="21" spans="1:18" ht="15.75" x14ac:dyDescent="0.25">
      <c r="A21" s="81">
        <v>16</v>
      </c>
      <c r="B21" s="731" t="s">
        <v>356</v>
      </c>
      <c r="C21" s="88" t="s">
        <v>76</v>
      </c>
      <c r="D21" s="82">
        <v>3542</v>
      </c>
      <c r="E21" s="82">
        <v>1632</v>
      </c>
      <c r="F21" s="82">
        <v>470</v>
      </c>
      <c r="G21" s="82">
        <v>1162</v>
      </c>
      <c r="H21" s="82">
        <v>1910</v>
      </c>
      <c r="I21" s="82">
        <v>326</v>
      </c>
      <c r="J21" s="82">
        <v>94</v>
      </c>
      <c r="K21" s="82">
        <v>232</v>
      </c>
      <c r="L21" s="82">
        <v>326</v>
      </c>
      <c r="M21" s="82">
        <v>326</v>
      </c>
      <c r="N21" s="82">
        <v>232</v>
      </c>
      <c r="O21" s="82">
        <v>382</v>
      </c>
      <c r="P21" s="82">
        <v>382</v>
      </c>
      <c r="Q21" s="82">
        <v>382</v>
      </c>
      <c r="R21" s="82">
        <v>382</v>
      </c>
    </row>
    <row r="22" spans="1:18" ht="15.75" x14ac:dyDescent="0.25">
      <c r="A22" s="81">
        <v>17</v>
      </c>
      <c r="B22" s="731" t="s">
        <v>357</v>
      </c>
      <c r="C22" s="88" t="s">
        <v>22</v>
      </c>
      <c r="D22" s="82">
        <v>8120</v>
      </c>
      <c r="E22" s="82">
        <v>4326</v>
      </c>
      <c r="F22" s="82">
        <v>1217</v>
      </c>
      <c r="G22" s="82">
        <v>3109</v>
      </c>
      <c r="H22" s="82">
        <v>3794</v>
      </c>
      <c r="I22" s="82">
        <v>865</v>
      </c>
      <c r="J22" s="82">
        <v>243</v>
      </c>
      <c r="K22" s="82">
        <v>622</v>
      </c>
      <c r="L22" s="82">
        <v>865</v>
      </c>
      <c r="M22" s="82">
        <v>865</v>
      </c>
      <c r="N22" s="82">
        <v>622</v>
      </c>
      <c r="O22" s="82">
        <v>759</v>
      </c>
      <c r="P22" s="82">
        <v>759</v>
      </c>
      <c r="Q22" s="82">
        <v>759</v>
      </c>
      <c r="R22" s="82">
        <v>759</v>
      </c>
    </row>
    <row r="23" spans="1:18" ht="15.75" x14ac:dyDescent="0.25">
      <c r="A23" s="81">
        <v>18</v>
      </c>
      <c r="B23" s="731" t="s">
        <v>358</v>
      </c>
      <c r="C23" s="88" t="s">
        <v>92</v>
      </c>
      <c r="D23" s="82">
        <v>44346</v>
      </c>
      <c r="E23" s="82">
        <v>23282</v>
      </c>
      <c r="F23" s="82">
        <v>6549</v>
      </c>
      <c r="G23" s="82">
        <v>16733</v>
      </c>
      <c r="H23" s="82">
        <v>21064</v>
      </c>
      <c r="I23" s="82">
        <v>4657</v>
      </c>
      <c r="J23" s="82">
        <v>1310</v>
      </c>
      <c r="K23" s="82">
        <v>3347</v>
      </c>
      <c r="L23" s="82">
        <v>4657</v>
      </c>
      <c r="M23" s="82">
        <v>4657</v>
      </c>
      <c r="N23" s="82">
        <v>3347</v>
      </c>
      <c r="O23" s="82">
        <v>4213</v>
      </c>
      <c r="P23" s="82">
        <v>4213</v>
      </c>
      <c r="Q23" s="82">
        <v>4213</v>
      </c>
      <c r="R23" s="82">
        <v>4213</v>
      </c>
    </row>
    <row r="24" spans="1:18" ht="15.75" x14ac:dyDescent="0.25">
      <c r="A24" s="81">
        <v>19</v>
      </c>
      <c r="B24" s="731" t="s">
        <v>359</v>
      </c>
      <c r="C24" s="88" t="s">
        <v>104</v>
      </c>
      <c r="D24" s="82">
        <v>3731</v>
      </c>
      <c r="E24" s="82">
        <v>1658</v>
      </c>
      <c r="F24" s="82">
        <v>464</v>
      </c>
      <c r="G24" s="82">
        <v>1194</v>
      </c>
      <c r="H24" s="82">
        <v>2073</v>
      </c>
      <c r="I24" s="82">
        <v>332</v>
      </c>
      <c r="J24" s="82">
        <v>93</v>
      </c>
      <c r="K24" s="82">
        <v>239</v>
      </c>
      <c r="L24" s="82">
        <v>332</v>
      </c>
      <c r="M24" s="82">
        <v>332</v>
      </c>
      <c r="N24" s="82">
        <v>239</v>
      </c>
      <c r="O24" s="82">
        <v>415</v>
      </c>
      <c r="P24" s="82">
        <v>415</v>
      </c>
      <c r="Q24" s="82">
        <v>415</v>
      </c>
      <c r="R24" s="82">
        <v>415</v>
      </c>
    </row>
    <row r="25" spans="1:18" ht="15.75" x14ac:dyDescent="0.25">
      <c r="A25" s="81">
        <v>20</v>
      </c>
      <c r="B25" s="731" t="s">
        <v>360</v>
      </c>
      <c r="C25" s="88" t="s">
        <v>110</v>
      </c>
      <c r="D25" s="82">
        <v>1772</v>
      </c>
      <c r="E25" s="82">
        <v>803</v>
      </c>
      <c r="F25" s="82">
        <v>222</v>
      </c>
      <c r="G25" s="82">
        <v>581</v>
      </c>
      <c r="H25" s="82">
        <v>969</v>
      </c>
      <c r="I25" s="82">
        <v>160</v>
      </c>
      <c r="J25" s="82">
        <v>44</v>
      </c>
      <c r="K25" s="82">
        <v>116</v>
      </c>
      <c r="L25" s="82">
        <v>160</v>
      </c>
      <c r="M25" s="82">
        <v>160</v>
      </c>
      <c r="N25" s="82">
        <v>116</v>
      </c>
      <c r="O25" s="82">
        <v>194</v>
      </c>
      <c r="P25" s="82">
        <v>194</v>
      </c>
      <c r="Q25" s="82">
        <v>194</v>
      </c>
      <c r="R25" s="82">
        <v>194</v>
      </c>
    </row>
    <row r="26" spans="1:18" ht="15.75" x14ac:dyDescent="0.25">
      <c r="A26" s="81">
        <v>21</v>
      </c>
      <c r="B26" s="731" t="s">
        <v>361</v>
      </c>
      <c r="C26" s="88" t="s">
        <v>112</v>
      </c>
      <c r="D26" s="82">
        <v>3322</v>
      </c>
      <c r="E26" s="82">
        <v>1481</v>
      </c>
      <c r="F26" s="82">
        <v>392</v>
      </c>
      <c r="G26" s="82">
        <v>1089</v>
      </c>
      <c r="H26" s="82">
        <v>1841</v>
      </c>
      <c r="I26" s="82">
        <v>296</v>
      </c>
      <c r="J26" s="82">
        <v>78</v>
      </c>
      <c r="K26" s="82">
        <v>218</v>
      </c>
      <c r="L26" s="82">
        <v>296</v>
      </c>
      <c r="M26" s="82">
        <v>296</v>
      </c>
      <c r="N26" s="82">
        <v>218</v>
      </c>
      <c r="O26" s="82">
        <v>368</v>
      </c>
      <c r="P26" s="82">
        <v>368</v>
      </c>
      <c r="Q26" s="82">
        <v>368</v>
      </c>
      <c r="R26" s="82">
        <v>368</v>
      </c>
    </row>
    <row r="27" spans="1:18" ht="15.75" x14ac:dyDescent="0.25">
      <c r="A27" s="81">
        <v>22</v>
      </c>
      <c r="B27" s="731" t="s">
        <v>362</v>
      </c>
      <c r="C27" s="88" t="s">
        <v>136</v>
      </c>
      <c r="D27" s="82">
        <v>16919</v>
      </c>
      <c r="E27" s="82">
        <v>8499</v>
      </c>
      <c r="F27" s="82">
        <v>2199</v>
      </c>
      <c r="G27" s="82">
        <v>6300</v>
      </c>
      <c r="H27" s="82">
        <v>8420</v>
      </c>
      <c r="I27" s="82">
        <v>1700</v>
      </c>
      <c r="J27" s="82">
        <v>440</v>
      </c>
      <c r="K27" s="82">
        <v>1260</v>
      </c>
      <c r="L27" s="82">
        <v>1700</v>
      </c>
      <c r="M27" s="82">
        <v>1700</v>
      </c>
      <c r="N27" s="82">
        <v>1260</v>
      </c>
      <c r="O27" s="82">
        <v>1684</v>
      </c>
      <c r="P27" s="82">
        <v>1684</v>
      </c>
      <c r="Q27" s="82">
        <v>1684</v>
      </c>
      <c r="R27" s="82">
        <v>1684</v>
      </c>
    </row>
    <row r="28" spans="1:18" ht="15.75" x14ac:dyDescent="0.25">
      <c r="A28" s="81">
        <v>23</v>
      </c>
      <c r="B28" s="731" t="s">
        <v>363</v>
      </c>
      <c r="C28" s="88" t="s">
        <v>140</v>
      </c>
      <c r="D28" s="82">
        <v>2223</v>
      </c>
      <c r="E28" s="82">
        <v>948</v>
      </c>
      <c r="F28" s="82">
        <v>257</v>
      </c>
      <c r="G28" s="82">
        <v>691</v>
      </c>
      <c r="H28" s="82">
        <v>1275</v>
      </c>
      <c r="I28" s="82">
        <v>189</v>
      </c>
      <c r="J28" s="82">
        <v>51</v>
      </c>
      <c r="K28" s="82">
        <v>138</v>
      </c>
      <c r="L28" s="82">
        <v>189</v>
      </c>
      <c r="M28" s="82">
        <v>189</v>
      </c>
      <c r="N28" s="82">
        <v>138</v>
      </c>
      <c r="O28" s="82">
        <v>255</v>
      </c>
      <c r="P28" s="82">
        <v>255</v>
      </c>
      <c r="Q28" s="82">
        <v>255</v>
      </c>
      <c r="R28" s="82">
        <v>255</v>
      </c>
    </row>
    <row r="29" spans="1:18" ht="15.75" x14ac:dyDescent="0.25">
      <c r="A29" s="81">
        <v>24</v>
      </c>
      <c r="B29" s="731" t="s">
        <v>364</v>
      </c>
      <c r="C29" s="88" t="s">
        <v>186</v>
      </c>
      <c r="D29" s="82">
        <v>16783</v>
      </c>
      <c r="E29" s="82">
        <v>8785</v>
      </c>
      <c r="F29" s="82">
        <v>2275</v>
      </c>
      <c r="G29" s="82">
        <v>6510</v>
      </c>
      <c r="H29" s="82">
        <v>7998</v>
      </c>
      <c r="I29" s="82">
        <v>1757</v>
      </c>
      <c r="J29" s="82">
        <v>455</v>
      </c>
      <c r="K29" s="82">
        <v>1302</v>
      </c>
      <c r="L29" s="82">
        <v>1757</v>
      </c>
      <c r="M29" s="82">
        <v>1757</v>
      </c>
      <c r="N29" s="82">
        <v>1302</v>
      </c>
      <c r="O29" s="82">
        <v>1600</v>
      </c>
      <c r="P29" s="82">
        <v>1600</v>
      </c>
      <c r="Q29" s="82">
        <v>1600</v>
      </c>
      <c r="R29" s="82">
        <v>1600</v>
      </c>
    </row>
    <row r="30" spans="1:18" ht="15.75" x14ac:dyDescent="0.25">
      <c r="A30" s="81">
        <v>25</v>
      </c>
      <c r="B30" s="731" t="s">
        <v>365</v>
      </c>
      <c r="C30" s="88" t="s">
        <v>86</v>
      </c>
      <c r="D30" s="82">
        <v>8681</v>
      </c>
      <c r="E30" s="82">
        <v>4229</v>
      </c>
      <c r="F30" s="82">
        <v>1010</v>
      </c>
      <c r="G30" s="82">
        <v>3219</v>
      </c>
      <c r="H30" s="82">
        <v>4452</v>
      </c>
      <c r="I30" s="82">
        <v>846</v>
      </c>
      <c r="J30" s="82">
        <v>202</v>
      </c>
      <c r="K30" s="82">
        <v>644</v>
      </c>
      <c r="L30" s="82">
        <v>846</v>
      </c>
      <c r="M30" s="82">
        <v>846</v>
      </c>
      <c r="N30" s="82">
        <v>644</v>
      </c>
      <c r="O30" s="82">
        <v>890</v>
      </c>
      <c r="P30" s="82">
        <v>890</v>
      </c>
      <c r="Q30" s="82">
        <v>890</v>
      </c>
      <c r="R30" s="82">
        <v>890</v>
      </c>
    </row>
    <row r="31" spans="1:18" ht="15.75" x14ac:dyDescent="0.25">
      <c r="A31" s="81">
        <v>26</v>
      </c>
      <c r="B31" s="731" t="s">
        <v>366</v>
      </c>
      <c r="C31" s="88" t="s">
        <v>230</v>
      </c>
      <c r="D31" s="82">
        <v>5792</v>
      </c>
      <c r="E31" s="82">
        <v>2771</v>
      </c>
      <c r="F31" s="82">
        <v>638</v>
      </c>
      <c r="G31" s="82">
        <v>2133</v>
      </c>
      <c r="H31" s="82">
        <v>3021</v>
      </c>
      <c r="I31" s="82">
        <v>555</v>
      </c>
      <c r="J31" s="82">
        <v>128</v>
      </c>
      <c r="K31" s="82">
        <v>427</v>
      </c>
      <c r="L31" s="82">
        <v>555</v>
      </c>
      <c r="M31" s="82">
        <v>555</v>
      </c>
      <c r="N31" s="82">
        <v>427</v>
      </c>
      <c r="O31" s="82">
        <v>604</v>
      </c>
      <c r="P31" s="82">
        <v>604</v>
      </c>
      <c r="Q31" s="82">
        <v>604</v>
      </c>
      <c r="R31" s="82">
        <v>604</v>
      </c>
    </row>
    <row r="32" spans="1:18" ht="15.75" x14ac:dyDescent="0.25">
      <c r="A32" s="81">
        <v>27</v>
      </c>
      <c r="B32" s="731" t="s">
        <v>367</v>
      </c>
      <c r="C32" s="88" t="s">
        <v>80</v>
      </c>
      <c r="D32" s="82">
        <v>6609</v>
      </c>
      <c r="E32" s="82">
        <v>3034</v>
      </c>
      <c r="F32" s="82">
        <v>819</v>
      </c>
      <c r="G32" s="82">
        <v>2215</v>
      </c>
      <c r="H32" s="82">
        <v>3575</v>
      </c>
      <c r="I32" s="82">
        <v>607</v>
      </c>
      <c r="J32" s="82">
        <v>164</v>
      </c>
      <c r="K32" s="82">
        <v>443</v>
      </c>
      <c r="L32" s="82">
        <v>607</v>
      </c>
      <c r="M32" s="82">
        <v>607</v>
      </c>
      <c r="N32" s="82">
        <v>443</v>
      </c>
      <c r="O32" s="82">
        <v>715</v>
      </c>
      <c r="P32" s="82">
        <v>715</v>
      </c>
      <c r="Q32" s="82">
        <v>715</v>
      </c>
      <c r="R32" s="82">
        <v>715</v>
      </c>
    </row>
    <row r="33" spans="1:18" ht="15.75" x14ac:dyDescent="0.25">
      <c r="A33" s="81">
        <v>28</v>
      </c>
      <c r="B33" s="731" t="s">
        <v>368</v>
      </c>
      <c r="C33" s="88" t="s">
        <v>124</v>
      </c>
      <c r="D33" s="82">
        <v>2798</v>
      </c>
      <c r="E33" s="82">
        <v>1282</v>
      </c>
      <c r="F33" s="82">
        <v>338</v>
      </c>
      <c r="G33" s="82">
        <v>944</v>
      </c>
      <c r="H33" s="82">
        <v>1516</v>
      </c>
      <c r="I33" s="82">
        <v>257</v>
      </c>
      <c r="J33" s="82">
        <v>68</v>
      </c>
      <c r="K33" s="82">
        <v>189</v>
      </c>
      <c r="L33" s="82">
        <v>257</v>
      </c>
      <c r="M33" s="82">
        <v>257</v>
      </c>
      <c r="N33" s="82">
        <v>189</v>
      </c>
      <c r="O33" s="82">
        <v>303</v>
      </c>
      <c r="P33" s="82">
        <v>303</v>
      </c>
      <c r="Q33" s="82">
        <v>303</v>
      </c>
      <c r="R33" s="82">
        <v>303</v>
      </c>
    </row>
    <row r="34" spans="1:18" ht="15.75" x14ac:dyDescent="0.25">
      <c r="A34" s="81">
        <v>29</v>
      </c>
      <c r="B34" s="731" t="s">
        <v>369</v>
      </c>
      <c r="C34" s="88" t="s">
        <v>142</v>
      </c>
      <c r="D34" s="82">
        <v>2585</v>
      </c>
      <c r="E34" s="82">
        <v>1206</v>
      </c>
      <c r="F34" s="82">
        <v>320</v>
      </c>
      <c r="G34" s="82">
        <v>886</v>
      </c>
      <c r="H34" s="82">
        <v>1379</v>
      </c>
      <c r="I34" s="82">
        <v>241</v>
      </c>
      <c r="J34" s="82">
        <v>64</v>
      </c>
      <c r="K34" s="82">
        <v>177</v>
      </c>
      <c r="L34" s="82">
        <v>241</v>
      </c>
      <c r="M34" s="82">
        <v>241</v>
      </c>
      <c r="N34" s="82">
        <v>177</v>
      </c>
      <c r="O34" s="82">
        <v>276</v>
      </c>
      <c r="P34" s="82">
        <v>276</v>
      </c>
      <c r="Q34" s="82">
        <v>276</v>
      </c>
      <c r="R34" s="82">
        <v>276</v>
      </c>
    </row>
    <row r="35" spans="1:18" ht="15.75" x14ac:dyDescent="0.25">
      <c r="A35" s="81">
        <v>30</v>
      </c>
      <c r="B35" s="731" t="s">
        <v>370</v>
      </c>
      <c r="C35" s="88" t="s">
        <v>84</v>
      </c>
      <c r="D35" s="82">
        <v>1615</v>
      </c>
      <c r="E35" s="82">
        <v>731</v>
      </c>
      <c r="F35" s="82">
        <v>200</v>
      </c>
      <c r="G35" s="82">
        <v>531</v>
      </c>
      <c r="H35" s="82">
        <v>884</v>
      </c>
      <c r="I35" s="82">
        <v>146</v>
      </c>
      <c r="J35" s="82">
        <v>40</v>
      </c>
      <c r="K35" s="82">
        <v>106</v>
      </c>
      <c r="L35" s="82">
        <v>146</v>
      </c>
      <c r="M35" s="82">
        <v>146</v>
      </c>
      <c r="N35" s="82">
        <v>106</v>
      </c>
      <c r="O35" s="82">
        <v>177</v>
      </c>
      <c r="P35" s="82">
        <v>177</v>
      </c>
      <c r="Q35" s="82">
        <v>177</v>
      </c>
      <c r="R35" s="82">
        <v>177</v>
      </c>
    </row>
    <row r="36" spans="1:18" ht="15.75" x14ac:dyDescent="0.25">
      <c r="A36" s="81">
        <v>31</v>
      </c>
      <c r="B36" s="731" t="s">
        <v>371</v>
      </c>
      <c r="C36" s="88" t="s">
        <v>60</v>
      </c>
      <c r="D36" s="82">
        <v>2552</v>
      </c>
      <c r="E36" s="82">
        <v>1181</v>
      </c>
      <c r="F36" s="82">
        <v>296</v>
      </c>
      <c r="G36" s="82">
        <v>885</v>
      </c>
      <c r="H36" s="82">
        <v>1371</v>
      </c>
      <c r="I36" s="82">
        <v>236</v>
      </c>
      <c r="J36" s="82">
        <v>59</v>
      </c>
      <c r="K36" s="82">
        <v>177</v>
      </c>
      <c r="L36" s="82">
        <v>236</v>
      </c>
      <c r="M36" s="82">
        <v>236</v>
      </c>
      <c r="N36" s="82">
        <v>177</v>
      </c>
      <c r="O36" s="82">
        <v>274</v>
      </c>
      <c r="P36" s="82">
        <v>274</v>
      </c>
      <c r="Q36" s="82">
        <v>274</v>
      </c>
      <c r="R36" s="82">
        <v>274</v>
      </c>
    </row>
    <row r="37" spans="1:18" ht="15.75" x14ac:dyDescent="0.25">
      <c r="A37" s="81">
        <v>32</v>
      </c>
      <c r="B37" s="731" t="s">
        <v>372</v>
      </c>
      <c r="C37" s="88" t="s">
        <v>56</v>
      </c>
      <c r="D37" s="82">
        <v>1990</v>
      </c>
      <c r="E37" s="82">
        <v>894</v>
      </c>
      <c r="F37" s="82">
        <v>230</v>
      </c>
      <c r="G37" s="82">
        <v>664</v>
      </c>
      <c r="H37" s="82">
        <v>1096</v>
      </c>
      <c r="I37" s="82">
        <v>179</v>
      </c>
      <c r="J37" s="82">
        <v>46</v>
      </c>
      <c r="K37" s="82">
        <v>133</v>
      </c>
      <c r="L37" s="82">
        <v>179</v>
      </c>
      <c r="M37" s="82">
        <v>179</v>
      </c>
      <c r="N37" s="82">
        <v>133</v>
      </c>
      <c r="O37" s="82">
        <v>219</v>
      </c>
      <c r="P37" s="82">
        <v>219</v>
      </c>
      <c r="Q37" s="82">
        <v>219</v>
      </c>
      <c r="R37" s="82">
        <v>219</v>
      </c>
    </row>
    <row r="38" spans="1:18" ht="15.75" x14ac:dyDescent="0.25">
      <c r="A38" s="81">
        <v>33</v>
      </c>
      <c r="B38" s="731" t="s">
        <v>373</v>
      </c>
      <c r="C38" s="88" t="s">
        <v>72</v>
      </c>
      <c r="D38" s="82">
        <v>5082</v>
      </c>
      <c r="E38" s="82">
        <v>2444</v>
      </c>
      <c r="F38" s="82">
        <v>530</v>
      </c>
      <c r="G38" s="82">
        <v>1914</v>
      </c>
      <c r="H38" s="82">
        <v>2638</v>
      </c>
      <c r="I38" s="82">
        <v>489</v>
      </c>
      <c r="J38" s="82">
        <v>106</v>
      </c>
      <c r="K38" s="82">
        <v>383</v>
      </c>
      <c r="L38" s="82">
        <v>489</v>
      </c>
      <c r="M38" s="82">
        <v>489</v>
      </c>
      <c r="N38" s="82">
        <v>383</v>
      </c>
      <c r="O38" s="82">
        <v>528</v>
      </c>
      <c r="P38" s="82">
        <v>528</v>
      </c>
      <c r="Q38" s="82">
        <v>528</v>
      </c>
      <c r="R38" s="82">
        <v>528</v>
      </c>
    </row>
    <row r="39" spans="1:18" ht="15.75" x14ac:dyDescent="0.25">
      <c r="A39" s="81">
        <v>34</v>
      </c>
      <c r="B39" s="731" t="s">
        <v>374</v>
      </c>
      <c r="C39" s="88" t="s">
        <v>208</v>
      </c>
      <c r="D39" s="82">
        <v>5990</v>
      </c>
      <c r="E39" s="82">
        <f>3019-1</f>
        <v>3018</v>
      </c>
      <c r="F39" s="82">
        <f>749-1</f>
        <v>748</v>
      </c>
      <c r="G39" s="82">
        <v>2270</v>
      </c>
      <c r="H39" s="82">
        <f>2971+1</f>
        <v>2972</v>
      </c>
      <c r="I39" s="82">
        <v>604</v>
      </c>
      <c r="J39" s="82">
        <v>150</v>
      </c>
      <c r="K39" s="82">
        <v>454</v>
      </c>
      <c r="L39" s="82">
        <v>604</v>
      </c>
      <c r="M39" s="82">
        <v>604</v>
      </c>
      <c r="N39" s="82">
        <v>454</v>
      </c>
      <c r="O39" s="82">
        <v>594</v>
      </c>
      <c r="P39" s="82">
        <v>594</v>
      </c>
      <c r="Q39" s="82">
        <v>594</v>
      </c>
      <c r="R39" s="82">
        <v>594</v>
      </c>
    </row>
    <row r="40" spans="1:18" ht="15.75" x14ac:dyDescent="0.25">
      <c r="A40" s="81">
        <v>35</v>
      </c>
      <c r="B40" s="731" t="s">
        <v>375</v>
      </c>
      <c r="C40" s="88" t="s">
        <v>218</v>
      </c>
      <c r="D40" s="82">
        <v>8650</v>
      </c>
      <c r="E40" s="82">
        <v>4232</v>
      </c>
      <c r="F40" s="82">
        <v>1043</v>
      </c>
      <c r="G40" s="82">
        <v>3189</v>
      </c>
      <c r="H40" s="82">
        <v>4418</v>
      </c>
      <c r="I40" s="82">
        <v>847</v>
      </c>
      <c r="J40" s="82">
        <v>209</v>
      </c>
      <c r="K40" s="82">
        <v>638</v>
      </c>
      <c r="L40" s="82">
        <v>847</v>
      </c>
      <c r="M40" s="82">
        <v>847</v>
      </c>
      <c r="N40" s="82">
        <v>638</v>
      </c>
      <c r="O40" s="82">
        <v>884</v>
      </c>
      <c r="P40" s="82">
        <v>884</v>
      </c>
      <c r="Q40" s="82">
        <v>884</v>
      </c>
      <c r="R40" s="82">
        <v>884</v>
      </c>
    </row>
    <row r="41" spans="1:18" ht="15.75" x14ac:dyDescent="0.25">
      <c r="A41" s="81">
        <v>36</v>
      </c>
      <c r="B41" s="731" t="s">
        <v>376</v>
      </c>
      <c r="C41" s="88" t="s">
        <v>214</v>
      </c>
      <c r="D41" s="82">
        <v>6821</v>
      </c>
      <c r="E41" s="82">
        <v>3362</v>
      </c>
      <c r="F41" s="82">
        <v>859</v>
      </c>
      <c r="G41" s="82">
        <v>2503</v>
      </c>
      <c r="H41" s="82">
        <v>3459</v>
      </c>
      <c r="I41" s="82">
        <v>673</v>
      </c>
      <c r="J41" s="82">
        <v>172</v>
      </c>
      <c r="K41" s="82">
        <v>501</v>
      </c>
      <c r="L41" s="82">
        <v>673</v>
      </c>
      <c r="M41" s="82">
        <v>673</v>
      </c>
      <c r="N41" s="82">
        <v>501</v>
      </c>
      <c r="O41" s="82">
        <v>692</v>
      </c>
      <c r="P41" s="82">
        <v>692</v>
      </c>
      <c r="Q41" s="82">
        <v>692</v>
      </c>
      <c r="R41" s="82">
        <v>692</v>
      </c>
    </row>
    <row r="42" spans="1:18" ht="15.75" x14ac:dyDescent="0.25">
      <c r="A42" s="81">
        <v>37</v>
      </c>
      <c r="B42" s="731" t="s">
        <v>377</v>
      </c>
      <c r="C42" s="88" t="s">
        <v>228</v>
      </c>
      <c r="D42" s="82">
        <v>2110</v>
      </c>
      <c r="E42" s="82">
        <v>967</v>
      </c>
      <c r="F42" s="82">
        <v>225</v>
      </c>
      <c r="G42" s="82">
        <v>742</v>
      </c>
      <c r="H42" s="82">
        <v>1143</v>
      </c>
      <c r="I42" s="82">
        <v>193</v>
      </c>
      <c r="J42" s="82">
        <v>45</v>
      </c>
      <c r="K42" s="82">
        <v>148</v>
      </c>
      <c r="L42" s="82">
        <v>193</v>
      </c>
      <c r="M42" s="82">
        <v>193</v>
      </c>
      <c r="N42" s="82">
        <v>148</v>
      </c>
      <c r="O42" s="82">
        <v>229</v>
      </c>
      <c r="P42" s="82">
        <v>229</v>
      </c>
      <c r="Q42" s="82">
        <v>229</v>
      </c>
      <c r="R42" s="82">
        <v>229</v>
      </c>
    </row>
    <row r="43" spans="1:18" ht="15.75" x14ac:dyDescent="0.25">
      <c r="A43" s="81">
        <v>38</v>
      </c>
      <c r="B43" s="731" t="s">
        <v>378</v>
      </c>
      <c r="C43" s="88" t="s">
        <v>210</v>
      </c>
      <c r="D43" s="82">
        <v>1912</v>
      </c>
      <c r="E43" s="82">
        <v>835</v>
      </c>
      <c r="F43" s="82">
        <v>203</v>
      </c>
      <c r="G43" s="82">
        <v>632</v>
      </c>
      <c r="H43" s="82">
        <v>1077</v>
      </c>
      <c r="I43" s="82">
        <v>167</v>
      </c>
      <c r="J43" s="82">
        <v>41</v>
      </c>
      <c r="K43" s="82">
        <v>126</v>
      </c>
      <c r="L43" s="82">
        <v>167</v>
      </c>
      <c r="M43" s="82">
        <v>167</v>
      </c>
      <c r="N43" s="82">
        <v>126</v>
      </c>
      <c r="O43" s="82">
        <v>215</v>
      </c>
      <c r="P43" s="82">
        <v>215</v>
      </c>
      <c r="Q43" s="82">
        <v>215</v>
      </c>
      <c r="R43" s="82">
        <v>215</v>
      </c>
    </row>
    <row r="44" spans="1:18" ht="15.75" x14ac:dyDescent="0.25">
      <c r="A44" s="81">
        <v>39</v>
      </c>
      <c r="B44" s="731" t="s">
        <v>379</v>
      </c>
      <c r="C44" s="88" t="s">
        <v>220</v>
      </c>
      <c r="D44" s="82">
        <v>5703</v>
      </c>
      <c r="E44" s="82">
        <v>2706</v>
      </c>
      <c r="F44" s="82">
        <v>687</v>
      </c>
      <c r="G44" s="82">
        <v>2019</v>
      </c>
      <c r="H44" s="82">
        <v>2997</v>
      </c>
      <c r="I44" s="82">
        <v>541</v>
      </c>
      <c r="J44" s="82">
        <v>137</v>
      </c>
      <c r="K44" s="82">
        <v>404</v>
      </c>
      <c r="L44" s="82">
        <v>541</v>
      </c>
      <c r="M44" s="82">
        <v>541</v>
      </c>
      <c r="N44" s="82">
        <v>404</v>
      </c>
      <c r="O44" s="82">
        <v>599</v>
      </c>
      <c r="P44" s="82">
        <v>599</v>
      </c>
      <c r="Q44" s="82">
        <v>599</v>
      </c>
      <c r="R44" s="82">
        <v>599</v>
      </c>
    </row>
    <row r="45" spans="1:18" ht="15.75" x14ac:dyDescent="0.25">
      <c r="A45" s="81">
        <v>40</v>
      </c>
      <c r="B45" s="731" t="s">
        <v>380</v>
      </c>
      <c r="C45" s="88" t="s">
        <v>224</v>
      </c>
      <c r="D45" s="82">
        <v>2734</v>
      </c>
      <c r="E45" s="82">
        <v>1332</v>
      </c>
      <c r="F45" s="82">
        <v>337</v>
      </c>
      <c r="G45" s="82">
        <v>995</v>
      </c>
      <c r="H45" s="82">
        <v>1402</v>
      </c>
      <c r="I45" s="82">
        <v>266</v>
      </c>
      <c r="J45" s="82">
        <v>67</v>
      </c>
      <c r="K45" s="82">
        <v>199</v>
      </c>
      <c r="L45" s="82">
        <v>266</v>
      </c>
      <c r="M45" s="82">
        <v>266</v>
      </c>
      <c r="N45" s="82">
        <v>199</v>
      </c>
      <c r="O45" s="82">
        <v>280</v>
      </c>
      <c r="P45" s="82">
        <v>280</v>
      </c>
      <c r="Q45" s="82">
        <v>280</v>
      </c>
      <c r="R45" s="82">
        <v>280</v>
      </c>
    </row>
    <row r="46" spans="1:18" ht="15.75" x14ac:dyDescent="0.25">
      <c r="A46" s="81">
        <v>41</v>
      </c>
      <c r="B46" s="731" t="s">
        <v>381</v>
      </c>
      <c r="C46" s="88" t="s">
        <v>190</v>
      </c>
      <c r="D46" s="82">
        <v>28789</v>
      </c>
      <c r="E46" s="82">
        <v>14907</v>
      </c>
      <c r="F46" s="82">
        <v>3661</v>
      </c>
      <c r="G46" s="82">
        <v>11246</v>
      </c>
      <c r="H46" s="82">
        <v>13882</v>
      </c>
      <c r="I46" s="82">
        <v>2981</v>
      </c>
      <c r="J46" s="82">
        <v>732</v>
      </c>
      <c r="K46" s="82">
        <v>2249</v>
      </c>
      <c r="L46" s="82">
        <v>2981</v>
      </c>
      <c r="M46" s="82">
        <v>2981</v>
      </c>
      <c r="N46" s="82">
        <v>2249</v>
      </c>
      <c r="O46" s="82">
        <v>2776</v>
      </c>
      <c r="P46" s="82">
        <v>2776</v>
      </c>
      <c r="Q46" s="82">
        <v>2776</v>
      </c>
      <c r="R46" s="82">
        <v>2776</v>
      </c>
    </row>
    <row r="47" spans="1:18" ht="15.75" x14ac:dyDescent="0.25">
      <c r="A47" s="81">
        <v>42</v>
      </c>
      <c r="B47" s="731" t="s">
        <v>382</v>
      </c>
      <c r="C47" s="88" t="s">
        <v>283</v>
      </c>
      <c r="D47" s="82">
        <v>12294</v>
      </c>
      <c r="E47" s="82">
        <v>6824</v>
      </c>
      <c r="F47" s="82">
        <v>1757</v>
      </c>
      <c r="G47" s="82">
        <v>5067</v>
      </c>
      <c r="H47" s="82">
        <v>5470</v>
      </c>
      <c r="I47" s="82">
        <v>1364</v>
      </c>
      <c r="J47" s="82">
        <v>351</v>
      </c>
      <c r="K47" s="82">
        <v>1013</v>
      </c>
      <c r="L47" s="82">
        <v>1364</v>
      </c>
      <c r="M47" s="82">
        <v>1364</v>
      </c>
      <c r="N47" s="82">
        <v>1013</v>
      </c>
      <c r="O47" s="82">
        <v>1094</v>
      </c>
      <c r="P47" s="82">
        <v>1094</v>
      </c>
      <c r="Q47" s="82">
        <v>1094</v>
      </c>
      <c r="R47" s="82">
        <v>1094</v>
      </c>
    </row>
    <row r="48" spans="1:18" ht="15.75" x14ac:dyDescent="0.25">
      <c r="A48" s="81">
        <v>43</v>
      </c>
      <c r="B48" s="731" t="s">
        <v>737</v>
      </c>
      <c r="C48" s="88" t="s">
        <v>285</v>
      </c>
      <c r="D48" s="82">
        <v>15668</v>
      </c>
      <c r="E48" s="82">
        <v>8711</v>
      </c>
      <c r="F48" s="82">
        <v>1913</v>
      </c>
      <c r="G48" s="82">
        <v>6798</v>
      </c>
      <c r="H48" s="82">
        <v>6957</v>
      </c>
      <c r="I48" s="82">
        <v>1743</v>
      </c>
      <c r="J48" s="82">
        <v>383</v>
      </c>
      <c r="K48" s="82">
        <v>1360</v>
      </c>
      <c r="L48" s="82">
        <v>1743</v>
      </c>
      <c r="M48" s="82">
        <v>1743</v>
      </c>
      <c r="N48" s="82">
        <v>1360</v>
      </c>
      <c r="O48" s="82">
        <v>1391</v>
      </c>
      <c r="P48" s="82">
        <v>1391</v>
      </c>
      <c r="Q48" s="82">
        <v>1391</v>
      </c>
      <c r="R48" s="82">
        <v>1391</v>
      </c>
    </row>
    <row r="49" spans="1:18" ht="15.75" x14ac:dyDescent="0.25">
      <c r="A49" s="81">
        <v>44</v>
      </c>
      <c r="B49" s="731" t="s">
        <v>383</v>
      </c>
      <c r="C49" s="88" t="s">
        <v>199</v>
      </c>
      <c r="D49" s="82">
        <v>2126</v>
      </c>
      <c r="E49" s="82">
        <v>1624</v>
      </c>
      <c r="F49" s="82">
        <v>1483</v>
      </c>
      <c r="G49" s="82">
        <v>141</v>
      </c>
      <c r="H49" s="82">
        <v>502</v>
      </c>
      <c r="I49" s="82">
        <v>325</v>
      </c>
      <c r="J49" s="82">
        <v>297</v>
      </c>
      <c r="K49" s="82">
        <v>28</v>
      </c>
      <c r="L49" s="82">
        <v>325</v>
      </c>
      <c r="M49" s="82">
        <v>325</v>
      </c>
      <c r="N49" s="82">
        <v>28</v>
      </c>
      <c r="O49" s="82">
        <v>100</v>
      </c>
      <c r="P49" s="82">
        <v>100</v>
      </c>
      <c r="Q49" s="82">
        <v>100</v>
      </c>
      <c r="R49" s="82">
        <v>100</v>
      </c>
    </row>
    <row r="50" spans="1:18" ht="15.75" x14ac:dyDescent="0.25">
      <c r="A50" s="81">
        <v>45</v>
      </c>
      <c r="B50" s="731" t="s">
        <v>384</v>
      </c>
      <c r="C50" s="88" t="s">
        <v>120</v>
      </c>
      <c r="D50" s="82">
        <v>10968</v>
      </c>
      <c r="E50" s="82">
        <v>5551</v>
      </c>
      <c r="F50" s="82">
        <v>1298</v>
      </c>
      <c r="G50" s="82">
        <v>4253</v>
      </c>
      <c r="H50" s="82">
        <v>5417</v>
      </c>
      <c r="I50" s="82">
        <v>1111</v>
      </c>
      <c r="J50" s="82">
        <v>260</v>
      </c>
      <c r="K50" s="82">
        <v>851</v>
      </c>
      <c r="L50" s="82">
        <v>1111</v>
      </c>
      <c r="M50" s="82">
        <v>1111</v>
      </c>
      <c r="N50" s="82">
        <v>851</v>
      </c>
      <c r="O50" s="82">
        <v>1083</v>
      </c>
      <c r="P50" s="82">
        <v>1083</v>
      </c>
      <c r="Q50" s="82">
        <v>1083</v>
      </c>
      <c r="R50" s="82">
        <v>1083</v>
      </c>
    </row>
    <row r="51" spans="1:18" ht="15.75" x14ac:dyDescent="0.25">
      <c r="A51" s="81">
        <v>46</v>
      </c>
      <c r="B51" s="731" t="s">
        <v>385</v>
      </c>
      <c r="C51" s="88" t="s">
        <v>122</v>
      </c>
      <c r="D51" s="82">
        <v>1895</v>
      </c>
      <c r="E51" s="82">
        <v>861</v>
      </c>
      <c r="F51" s="82">
        <v>196</v>
      </c>
      <c r="G51" s="82">
        <v>665</v>
      </c>
      <c r="H51" s="82">
        <v>1034</v>
      </c>
      <c r="I51" s="82">
        <v>172</v>
      </c>
      <c r="J51" s="82">
        <v>39</v>
      </c>
      <c r="K51" s="82">
        <v>133</v>
      </c>
      <c r="L51" s="82">
        <v>172</v>
      </c>
      <c r="M51" s="82">
        <v>172</v>
      </c>
      <c r="N51" s="82">
        <v>133</v>
      </c>
      <c r="O51" s="82">
        <v>207</v>
      </c>
      <c r="P51" s="82">
        <v>207</v>
      </c>
      <c r="Q51" s="82">
        <v>207</v>
      </c>
      <c r="R51" s="82">
        <v>207</v>
      </c>
    </row>
    <row r="52" spans="1:18" ht="15.75" x14ac:dyDescent="0.25">
      <c r="A52" s="81">
        <v>47</v>
      </c>
      <c r="B52" s="731" t="s">
        <v>386</v>
      </c>
      <c r="C52" s="88" t="s">
        <v>130</v>
      </c>
      <c r="D52" s="82">
        <v>1317</v>
      </c>
      <c r="E52" s="82">
        <v>568</v>
      </c>
      <c r="F52" s="82">
        <v>167</v>
      </c>
      <c r="G52" s="82">
        <v>401</v>
      </c>
      <c r="H52" s="82">
        <v>749</v>
      </c>
      <c r="I52" s="82">
        <v>113</v>
      </c>
      <c r="J52" s="82">
        <v>33</v>
      </c>
      <c r="K52" s="82">
        <v>80</v>
      </c>
      <c r="L52" s="82">
        <v>113</v>
      </c>
      <c r="M52" s="82">
        <v>113</v>
      </c>
      <c r="N52" s="82">
        <v>80</v>
      </c>
      <c r="O52" s="82">
        <v>150</v>
      </c>
      <c r="P52" s="82">
        <v>150</v>
      </c>
      <c r="Q52" s="82">
        <v>150</v>
      </c>
      <c r="R52" s="82">
        <v>150</v>
      </c>
    </row>
    <row r="53" spans="1:18" ht="15.75" x14ac:dyDescent="0.25">
      <c r="A53" s="81">
        <v>48</v>
      </c>
      <c r="B53" s="731" t="s">
        <v>387</v>
      </c>
      <c r="C53" s="88" t="s">
        <v>184</v>
      </c>
      <c r="D53" s="82">
        <v>34561</v>
      </c>
      <c r="E53" s="82">
        <v>19396</v>
      </c>
      <c r="F53" s="82">
        <v>8991</v>
      </c>
      <c r="G53" s="82">
        <v>10405</v>
      </c>
      <c r="H53" s="82">
        <v>15165</v>
      </c>
      <c r="I53" s="82">
        <v>3879</v>
      </c>
      <c r="J53" s="82">
        <v>1798</v>
      </c>
      <c r="K53" s="82">
        <v>2081</v>
      </c>
      <c r="L53" s="82">
        <v>3879</v>
      </c>
      <c r="M53" s="82">
        <v>3879</v>
      </c>
      <c r="N53" s="82">
        <v>2081</v>
      </c>
      <c r="O53" s="82">
        <v>3033</v>
      </c>
      <c r="P53" s="82">
        <v>3033</v>
      </c>
      <c r="Q53" s="82">
        <v>3033</v>
      </c>
      <c r="R53" s="82">
        <v>3033</v>
      </c>
    </row>
    <row r="54" spans="1:18" ht="15.75" x14ac:dyDescent="0.25">
      <c r="A54" s="81">
        <v>49</v>
      </c>
      <c r="B54" s="731" t="s">
        <v>388</v>
      </c>
      <c r="C54" s="88" t="s">
        <v>78</v>
      </c>
      <c r="D54" s="82">
        <v>5229</v>
      </c>
      <c r="E54" s="82">
        <v>2334</v>
      </c>
      <c r="F54" s="82">
        <v>591</v>
      </c>
      <c r="G54" s="82">
        <v>1743</v>
      </c>
      <c r="H54" s="82">
        <v>2895</v>
      </c>
      <c r="I54" s="82">
        <v>467</v>
      </c>
      <c r="J54" s="82">
        <v>118</v>
      </c>
      <c r="K54" s="82">
        <v>349</v>
      </c>
      <c r="L54" s="82">
        <v>467</v>
      </c>
      <c r="M54" s="82">
        <v>467</v>
      </c>
      <c r="N54" s="82">
        <v>349</v>
      </c>
      <c r="O54" s="82">
        <v>579</v>
      </c>
      <c r="P54" s="82">
        <v>579</v>
      </c>
      <c r="Q54" s="82">
        <v>579</v>
      </c>
      <c r="R54" s="82">
        <v>579</v>
      </c>
    </row>
    <row r="55" spans="1:18" ht="15.75" x14ac:dyDescent="0.25">
      <c r="A55" s="81">
        <v>50</v>
      </c>
      <c r="B55" s="731" t="s">
        <v>389</v>
      </c>
      <c r="C55" s="88" t="s">
        <v>82</v>
      </c>
      <c r="D55" s="82">
        <v>2190</v>
      </c>
      <c r="E55" s="82">
        <v>971</v>
      </c>
      <c r="F55" s="82">
        <v>284</v>
      </c>
      <c r="G55" s="82">
        <v>687</v>
      </c>
      <c r="H55" s="82">
        <v>1219</v>
      </c>
      <c r="I55" s="82">
        <v>194</v>
      </c>
      <c r="J55" s="82">
        <v>57</v>
      </c>
      <c r="K55" s="82">
        <v>137</v>
      </c>
      <c r="L55" s="82">
        <v>194</v>
      </c>
      <c r="M55" s="82">
        <v>194</v>
      </c>
      <c r="N55" s="82">
        <v>137</v>
      </c>
      <c r="O55" s="82">
        <v>244</v>
      </c>
      <c r="P55" s="82">
        <v>244</v>
      </c>
      <c r="Q55" s="82">
        <v>244</v>
      </c>
      <c r="R55" s="82">
        <v>244</v>
      </c>
    </row>
    <row r="56" spans="1:18" ht="15.75" x14ac:dyDescent="0.25">
      <c r="A56" s="81">
        <v>51</v>
      </c>
      <c r="B56" s="731" t="s">
        <v>390</v>
      </c>
      <c r="C56" s="88" t="s">
        <v>20</v>
      </c>
      <c r="D56" s="82">
        <v>12494</v>
      </c>
      <c r="E56" s="82">
        <v>6402</v>
      </c>
      <c r="F56" s="82">
        <v>1602</v>
      </c>
      <c r="G56" s="82">
        <v>4800</v>
      </c>
      <c r="H56" s="82">
        <v>6092</v>
      </c>
      <c r="I56" s="82">
        <v>1280</v>
      </c>
      <c r="J56" s="82">
        <v>320</v>
      </c>
      <c r="K56" s="82">
        <v>960</v>
      </c>
      <c r="L56" s="82">
        <v>1280</v>
      </c>
      <c r="M56" s="82">
        <v>1280</v>
      </c>
      <c r="N56" s="82">
        <v>960</v>
      </c>
      <c r="O56" s="82">
        <v>1218</v>
      </c>
      <c r="P56" s="82">
        <v>1218</v>
      </c>
      <c r="Q56" s="82">
        <v>1218</v>
      </c>
      <c r="R56" s="82">
        <v>1218</v>
      </c>
    </row>
    <row r="57" spans="1:18" ht="15.75" x14ac:dyDescent="0.25">
      <c r="A57" s="81">
        <v>52</v>
      </c>
      <c r="B57" s="731" t="s">
        <v>391</v>
      </c>
      <c r="C57" s="88" t="s">
        <v>24</v>
      </c>
      <c r="D57" s="82">
        <v>1830</v>
      </c>
      <c r="E57" s="82">
        <v>907</v>
      </c>
      <c r="F57" s="82">
        <v>231</v>
      </c>
      <c r="G57" s="82">
        <v>676</v>
      </c>
      <c r="H57" s="82">
        <v>923</v>
      </c>
      <c r="I57" s="82">
        <v>181</v>
      </c>
      <c r="J57" s="82">
        <v>46</v>
      </c>
      <c r="K57" s="82">
        <v>135</v>
      </c>
      <c r="L57" s="82">
        <v>181</v>
      </c>
      <c r="M57" s="82">
        <v>181</v>
      </c>
      <c r="N57" s="82">
        <v>135</v>
      </c>
      <c r="O57" s="82">
        <v>185</v>
      </c>
      <c r="P57" s="82">
        <v>185</v>
      </c>
      <c r="Q57" s="82">
        <v>185</v>
      </c>
      <c r="R57" s="82">
        <v>185</v>
      </c>
    </row>
    <row r="58" spans="1:18" ht="15.75" x14ac:dyDescent="0.25">
      <c r="A58" s="81">
        <v>53</v>
      </c>
      <c r="B58" s="731" t="s">
        <v>392</v>
      </c>
      <c r="C58" s="88" t="s">
        <v>188</v>
      </c>
      <c r="D58" s="82">
        <v>12143</v>
      </c>
      <c r="E58" s="82">
        <v>6612</v>
      </c>
      <c r="F58" s="82">
        <v>1660</v>
      </c>
      <c r="G58" s="82">
        <v>4952</v>
      </c>
      <c r="H58" s="82">
        <v>5531</v>
      </c>
      <c r="I58" s="82">
        <v>1322</v>
      </c>
      <c r="J58" s="82">
        <v>332</v>
      </c>
      <c r="K58" s="82">
        <v>990</v>
      </c>
      <c r="L58" s="82">
        <v>1322</v>
      </c>
      <c r="M58" s="82">
        <v>1322</v>
      </c>
      <c r="N58" s="82">
        <v>990</v>
      </c>
      <c r="O58" s="82">
        <v>1106</v>
      </c>
      <c r="P58" s="82">
        <v>1106</v>
      </c>
      <c r="Q58" s="82">
        <v>1106</v>
      </c>
      <c r="R58" s="82">
        <v>1106</v>
      </c>
    </row>
    <row r="59" spans="1:18" ht="15.75" x14ac:dyDescent="0.25">
      <c r="A59" s="81">
        <v>54</v>
      </c>
      <c r="B59" s="731" t="s">
        <v>393</v>
      </c>
      <c r="C59" s="88" t="s">
        <v>16</v>
      </c>
      <c r="D59" s="82">
        <v>7828</v>
      </c>
      <c r="E59" s="82">
        <v>4173</v>
      </c>
      <c r="F59" s="82">
        <v>1491</v>
      </c>
      <c r="G59" s="82">
        <v>2682</v>
      </c>
      <c r="H59" s="82">
        <v>3655</v>
      </c>
      <c r="I59" s="82">
        <v>834</v>
      </c>
      <c r="J59" s="82">
        <v>298</v>
      </c>
      <c r="K59" s="82">
        <v>536</v>
      </c>
      <c r="L59" s="82">
        <v>834</v>
      </c>
      <c r="M59" s="82">
        <v>834</v>
      </c>
      <c r="N59" s="82">
        <v>536</v>
      </c>
      <c r="O59" s="82">
        <v>731</v>
      </c>
      <c r="P59" s="82">
        <v>731</v>
      </c>
      <c r="Q59" s="82">
        <v>731</v>
      </c>
      <c r="R59" s="82">
        <v>731</v>
      </c>
    </row>
    <row r="60" spans="1:18" ht="15.75" x14ac:dyDescent="0.25">
      <c r="A60" s="81">
        <v>55</v>
      </c>
      <c r="B60" s="731" t="s">
        <v>394</v>
      </c>
      <c r="C60" s="88" t="s">
        <v>70</v>
      </c>
      <c r="D60" s="82">
        <v>2461</v>
      </c>
      <c r="E60" s="82">
        <v>1070</v>
      </c>
      <c r="F60" s="82">
        <v>283</v>
      </c>
      <c r="G60" s="82">
        <v>787</v>
      </c>
      <c r="H60" s="82">
        <v>1391</v>
      </c>
      <c r="I60" s="82">
        <v>214</v>
      </c>
      <c r="J60" s="82">
        <v>57</v>
      </c>
      <c r="K60" s="82">
        <v>157</v>
      </c>
      <c r="L60" s="82">
        <v>214</v>
      </c>
      <c r="M60" s="82">
        <v>214</v>
      </c>
      <c r="N60" s="82">
        <v>157</v>
      </c>
      <c r="O60" s="82">
        <v>278</v>
      </c>
      <c r="P60" s="82">
        <v>278</v>
      </c>
      <c r="Q60" s="82">
        <v>278</v>
      </c>
      <c r="R60" s="82">
        <v>278</v>
      </c>
    </row>
    <row r="61" spans="1:18" ht="15.75" x14ac:dyDescent="0.25">
      <c r="A61" s="81">
        <v>56</v>
      </c>
      <c r="B61" s="731" t="s">
        <v>395</v>
      </c>
      <c r="C61" s="88" t="s">
        <v>66</v>
      </c>
      <c r="D61" s="82">
        <v>2303</v>
      </c>
      <c r="E61" s="82">
        <v>1035</v>
      </c>
      <c r="F61" s="82">
        <v>234</v>
      </c>
      <c r="G61" s="82">
        <v>801</v>
      </c>
      <c r="H61" s="82">
        <v>1268</v>
      </c>
      <c r="I61" s="82">
        <v>207</v>
      </c>
      <c r="J61" s="82">
        <v>47</v>
      </c>
      <c r="K61" s="82">
        <v>160</v>
      </c>
      <c r="L61" s="82">
        <v>207</v>
      </c>
      <c r="M61" s="82">
        <v>207</v>
      </c>
      <c r="N61" s="82">
        <v>160</v>
      </c>
      <c r="O61" s="82">
        <v>254</v>
      </c>
      <c r="P61" s="82">
        <v>254</v>
      </c>
      <c r="Q61" s="82">
        <v>254</v>
      </c>
      <c r="R61" s="82">
        <v>254</v>
      </c>
    </row>
    <row r="62" spans="1:18" ht="15.75" x14ac:dyDescent="0.25">
      <c r="A62" s="81">
        <v>57</v>
      </c>
      <c r="B62" s="731" t="s">
        <v>396</v>
      </c>
      <c r="C62" s="88" t="s">
        <v>54</v>
      </c>
      <c r="D62" s="82">
        <v>2144</v>
      </c>
      <c r="E62" s="82">
        <v>970</v>
      </c>
      <c r="F62" s="82">
        <v>228</v>
      </c>
      <c r="G62" s="82">
        <v>742</v>
      </c>
      <c r="H62" s="82">
        <v>1174</v>
      </c>
      <c r="I62" s="82">
        <v>194</v>
      </c>
      <c r="J62" s="82">
        <v>46</v>
      </c>
      <c r="K62" s="82">
        <v>148</v>
      </c>
      <c r="L62" s="82">
        <v>194</v>
      </c>
      <c r="M62" s="82">
        <v>194</v>
      </c>
      <c r="N62" s="82">
        <v>148</v>
      </c>
      <c r="O62" s="82">
        <v>235</v>
      </c>
      <c r="P62" s="82">
        <v>235</v>
      </c>
      <c r="Q62" s="82">
        <v>235</v>
      </c>
      <c r="R62" s="82">
        <v>235</v>
      </c>
    </row>
    <row r="63" spans="1:18" ht="15.75" x14ac:dyDescent="0.25">
      <c r="A63" s="81">
        <v>58</v>
      </c>
      <c r="B63" s="731" t="s">
        <v>397</v>
      </c>
      <c r="C63" s="88" t="s">
        <v>58</v>
      </c>
      <c r="D63" s="82">
        <v>1886</v>
      </c>
      <c r="E63" s="82">
        <v>864</v>
      </c>
      <c r="F63" s="82">
        <v>210</v>
      </c>
      <c r="G63" s="82">
        <v>654</v>
      </c>
      <c r="H63" s="82">
        <v>1022</v>
      </c>
      <c r="I63" s="82">
        <v>173</v>
      </c>
      <c r="J63" s="82">
        <v>42</v>
      </c>
      <c r="K63" s="82">
        <v>131</v>
      </c>
      <c r="L63" s="82">
        <v>173</v>
      </c>
      <c r="M63" s="82">
        <v>173</v>
      </c>
      <c r="N63" s="82">
        <v>131</v>
      </c>
      <c r="O63" s="82">
        <v>204</v>
      </c>
      <c r="P63" s="82">
        <v>204</v>
      </c>
      <c r="Q63" s="82">
        <v>204</v>
      </c>
      <c r="R63" s="82">
        <v>204</v>
      </c>
    </row>
    <row r="64" spans="1:18" ht="15.75" x14ac:dyDescent="0.25">
      <c r="A64" s="81">
        <v>59</v>
      </c>
      <c r="B64" s="731" t="s">
        <v>398</v>
      </c>
      <c r="C64" s="88" t="s">
        <v>32</v>
      </c>
      <c r="D64" s="82">
        <v>3637</v>
      </c>
      <c r="E64" s="82">
        <v>1814</v>
      </c>
      <c r="F64" s="82">
        <v>485</v>
      </c>
      <c r="G64" s="82">
        <v>1329</v>
      </c>
      <c r="H64" s="82">
        <v>1823</v>
      </c>
      <c r="I64" s="82">
        <v>363</v>
      </c>
      <c r="J64" s="82">
        <v>97</v>
      </c>
      <c r="K64" s="82">
        <v>266</v>
      </c>
      <c r="L64" s="82">
        <v>363</v>
      </c>
      <c r="M64" s="82">
        <v>363</v>
      </c>
      <c r="N64" s="82">
        <v>266</v>
      </c>
      <c r="O64" s="82">
        <v>365</v>
      </c>
      <c r="P64" s="82">
        <v>365</v>
      </c>
      <c r="Q64" s="82">
        <v>365</v>
      </c>
      <c r="R64" s="82">
        <v>365</v>
      </c>
    </row>
    <row r="65" spans="1:18" ht="15.75" x14ac:dyDescent="0.25">
      <c r="A65" s="81">
        <v>60</v>
      </c>
      <c r="B65" s="731" t="s">
        <v>399</v>
      </c>
      <c r="C65" s="88" t="s">
        <v>216</v>
      </c>
      <c r="D65" s="82">
        <v>2313</v>
      </c>
      <c r="E65" s="82">
        <v>1063</v>
      </c>
      <c r="F65" s="82">
        <v>275</v>
      </c>
      <c r="G65" s="82">
        <v>788</v>
      </c>
      <c r="H65" s="82">
        <v>1250</v>
      </c>
      <c r="I65" s="82">
        <v>213</v>
      </c>
      <c r="J65" s="82">
        <v>55</v>
      </c>
      <c r="K65" s="82">
        <v>158</v>
      </c>
      <c r="L65" s="82">
        <v>213</v>
      </c>
      <c r="M65" s="82">
        <v>213</v>
      </c>
      <c r="N65" s="82">
        <v>158</v>
      </c>
      <c r="O65" s="82">
        <v>250</v>
      </c>
      <c r="P65" s="82">
        <v>250</v>
      </c>
      <c r="Q65" s="82">
        <v>250</v>
      </c>
      <c r="R65" s="82">
        <v>250</v>
      </c>
    </row>
    <row r="66" spans="1:18" ht="15.75" x14ac:dyDescent="0.25">
      <c r="A66" s="81">
        <v>61</v>
      </c>
      <c r="B66" s="731" t="s">
        <v>400</v>
      </c>
      <c r="C66" s="88" t="s">
        <v>226</v>
      </c>
      <c r="D66" s="82">
        <v>2789</v>
      </c>
      <c r="E66" s="82">
        <v>1300</v>
      </c>
      <c r="F66" s="82">
        <v>333</v>
      </c>
      <c r="G66" s="82">
        <v>967</v>
      </c>
      <c r="H66" s="82">
        <v>1489</v>
      </c>
      <c r="I66" s="82">
        <v>260</v>
      </c>
      <c r="J66" s="82">
        <v>67</v>
      </c>
      <c r="K66" s="82">
        <v>193</v>
      </c>
      <c r="L66" s="82">
        <v>260</v>
      </c>
      <c r="M66" s="82">
        <v>260</v>
      </c>
      <c r="N66" s="82">
        <v>193</v>
      </c>
      <c r="O66" s="82">
        <v>298</v>
      </c>
      <c r="P66" s="82">
        <v>298</v>
      </c>
      <c r="Q66" s="82">
        <v>298</v>
      </c>
      <c r="R66" s="82">
        <v>298</v>
      </c>
    </row>
    <row r="67" spans="1:18" ht="15.75" x14ac:dyDescent="0.25">
      <c r="A67" s="81">
        <v>62</v>
      </c>
      <c r="B67" s="731" t="s">
        <v>401</v>
      </c>
      <c r="C67" s="88" t="s">
        <v>222</v>
      </c>
      <c r="D67" s="82">
        <v>1837</v>
      </c>
      <c r="E67" s="82">
        <v>829</v>
      </c>
      <c r="F67" s="82">
        <v>234</v>
      </c>
      <c r="G67" s="82">
        <v>595</v>
      </c>
      <c r="H67" s="82">
        <v>1008</v>
      </c>
      <c r="I67" s="82">
        <v>166</v>
      </c>
      <c r="J67" s="82">
        <v>47</v>
      </c>
      <c r="K67" s="82">
        <v>119</v>
      </c>
      <c r="L67" s="82">
        <v>166</v>
      </c>
      <c r="M67" s="82">
        <v>166</v>
      </c>
      <c r="N67" s="82">
        <v>119</v>
      </c>
      <c r="O67" s="82">
        <v>202</v>
      </c>
      <c r="P67" s="82">
        <v>202</v>
      </c>
      <c r="Q67" s="82">
        <v>202</v>
      </c>
      <c r="R67" s="82">
        <v>202</v>
      </c>
    </row>
    <row r="68" spans="1:18" ht="15.75" x14ac:dyDescent="0.25">
      <c r="A68" s="81">
        <v>63</v>
      </c>
      <c r="B68" s="731" t="s">
        <v>402</v>
      </c>
      <c r="C68" s="88" t="s">
        <v>212</v>
      </c>
      <c r="D68" s="82">
        <v>2073</v>
      </c>
      <c r="E68" s="82">
        <v>947</v>
      </c>
      <c r="F68" s="82">
        <v>254</v>
      </c>
      <c r="G68" s="82">
        <v>693</v>
      </c>
      <c r="H68" s="82">
        <v>1126</v>
      </c>
      <c r="I68" s="82">
        <v>190</v>
      </c>
      <c r="J68" s="82">
        <v>51</v>
      </c>
      <c r="K68" s="82">
        <v>139</v>
      </c>
      <c r="L68" s="82">
        <v>190</v>
      </c>
      <c r="M68" s="82">
        <v>190</v>
      </c>
      <c r="N68" s="82">
        <v>139</v>
      </c>
      <c r="O68" s="82">
        <v>225</v>
      </c>
      <c r="P68" s="82">
        <v>225</v>
      </c>
      <c r="Q68" s="82">
        <v>225</v>
      </c>
      <c r="R68" s="82">
        <v>225</v>
      </c>
    </row>
    <row r="69" spans="1:18" ht="15.75" x14ac:dyDescent="0.25">
      <c r="A69" s="81">
        <v>64</v>
      </c>
      <c r="B69" s="731" t="s">
        <v>403</v>
      </c>
      <c r="C69" s="88" t="s">
        <v>62</v>
      </c>
      <c r="D69" s="82">
        <v>6695</v>
      </c>
      <c r="E69" s="82">
        <v>3204</v>
      </c>
      <c r="F69" s="82">
        <v>697</v>
      </c>
      <c r="G69" s="82">
        <v>2507</v>
      </c>
      <c r="H69" s="82">
        <v>3491</v>
      </c>
      <c r="I69" s="82">
        <v>640</v>
      </c>
      <c r="J69" s="82">
        <v>139</v>
      </c>
      <c r="K69" s="82">
        <v>501</v>
      </c>
      <c r="L69" s="82">
        <v>640</v>
      </c>
      <c r="M69" s="82">
        <v>640</v>
      </c>
      <c r="N69" s="82">
        <v>501</v>
      </c>
      <c r="O69" s="82">
        <v>698</v>
      </c>
      <c r="P69" s="82">
        <v>698</v>
      </c>
      <c r="Q69" s="82">
        <v>698</v>
      </c>
      <c r="R69" s="82">
        <v>698</v>
      </c>
    </row>
    <row r="70" spans="1:18" ht="15.75" x14ac:dyDescent="0.25">
      <c r="A70" s="81">
        <v>65</v>
      </c>
      <c r="B70" s="731" t="s">
        <v>404</v>
      </c>
      <c r="C70" s="88" t="s">
        <v>138</v>
      </c>
      <c r="D70" s="82">
        <v>2798</v>
      </c>
      <c r="E70" s="82">
        <v>1343</v>
      </c>
      <c r="F70" s="82">
        <v>309</v>
      </c>
      <c r="G70" s="82">
        <v>1034</v>
      </c>
      <c r="H70" s="82">
        <v>1455</v>
      </c>
      <c r="I70" s="82">
        <v>269</v>
      </c>
      <c r="J70" s="82">
        <v>62</v>
      </c>
      <c r="K70" s="82">
        <v>207</v>
      </c>
      <c r="L70" s="82">
        <v>269</v>
      </c>
      <c r="M70" s="82">
        <v>269</v>
      </c>
      <c r="N70" s="82">
        <v>207</v>
      </c>
      <c r="O70" s="82">
        <v>291</v>
      </c>
      <c r="P70" s="82">
        <v>291</v>
      </c>
      <c r="Q70" s="82">
        <v>291</v>
      </c>
      <c r="R70" s="82">
        <v>291</v>
      </c>
    </row>
    <row r="71" spans="1:18" ht="15.75" x14ac:dyDescent="0.25">
      <c r="A71" s="81">
        <v>66</v>
      </c>
      <c r="B71" s="731" t="s">
        <v>405</v>
      </c>
      <c r="C71" s="88" t="s">
        <v>194</v>
      </c>
      <c r="D71" s="82">
        <v>24669</v>
      </c>
      <c r="E71" s="82">
        <v>12642</v>
      </c>
      <c r="F71" s="82">
        <v>4529</v>
      </c>
      <c r="G71" s="82">
        <v>8113</v>
      </c>
      <c r="H71" s="82">
        <v>12027</v>
      </c>
      <c r="I71" s="82">
        <v>2529</v>
      </c>
      <c r="J71" s="82">
        <v>906</v>
      </c>
      <c r="K71" s="82">
        <v>1623</v>
      </c>
      <c r="L71" s="82">
        <v>2529</v>
      </c>
      <c r="M71" s="82">
        <v>2529</v>
      </c>
      <c r="N71" s="82">
        <v>1623</v>
      </c>
      <c r="O71" s="82">
        <v>2405</v>
      </c>
      <c r="P71" s="82">
        <v>2405</v>
      </c>
      <c r="Q71" s="82">
        <v>2405</v>
      </c>
      <c r="R71" s="82">
        <v>2405</v>
      </c>
    </row>
    <row r="72" spans="1:18" ht="15.75" x14ac:dyDescent="0.25">
      <c r="A72" s="81">
        <v>67</v>
      </c>
      <c r="B72" s="731" t="s">
        <v>406</v>
      </c>
      <c r="C72" s="88" t="s">
        <v>126</v>
      </c>
      <c r="D72" s="82">
        <v>3369</v>
      </c>
      <c r="E72" s="82">
        <v>1579</v>
      </c>
      <c r="F72" s="82">
        <v>396</v>
      </c>
      <c r="G72" s="82">
        <v>1183</v>
      </c>
      <c r="H72" s="82">
        <v>1790</v>
      </c>
      <c r="I72" s="82">
        <v>316</v>
      </c>
      <c r="J72" s="82">
        <v>79</v>
      </c>
      <c r="K72" s="82">
        <v>237</v>
      </c>
      <c r="L72" s="82">
        <v>316</v>
      </c>
      <c r="M72" s="82">
        <v>316</v>
      </c>
      <c r="N72" s="82">
        <v>237</v>
      </c>
      <c r="O72" s="82">
        <v>358</v>
      </c>
      <c r="P72" s="82">
        <v>358</v>
      </c>
      <c r="Q72" s="82">
        <v>358</v>
      </c>
      <c r="R72" s="82">
        <v>358</v>
      </c>
    </row>
    <row r="73" spans="1:18" ht="15.75" x14ac:dyDescent="0.25">
      <c r="A73" s="81">
        <v>68</v>
      </c>
      <c r="B73" s="731" t="s">
        <v>407</v>
      </c>
      <c r="C73" s="88" t="s">
        <v>118</v>
      </c>
      <c r="D73" s="82">
        <v>2644</v>
      </c>
      <c r="E73" s="82">
        <v>1210</v>
      </c>
      <c r="F73" s="82">
        <v>293</v>
      </c>
      <c r="G73" s="82">
        <v>917</v>
      </c>
      <c r="H73" s="82">
        <v>1434</v>
      </c>
      <c r="I73" s="82">
        <v>242</v>
      </c>
      <c r="J73" s="82">
        <v>59</v>
      </c>
      <c r="K73" s="82">
        <v>183</v>
      </c>
      <c r="L73" s="82">
        <v>242</v>
      </c>
      <c r="M73" s="82">
        <v>242</v>
      </c>
      <c r="N73" s="82">
        <v>183</v>
      </c>
      <c r="O73" s="82">
        <v>287</v>
      </c>
      <c r="P73" s="82">
        <v>287</v>
      </c>
      <c r="Q73" s="82">
        <v>287</v>
      </c>
      <c r="R73" s="82">
        <v>287</v>
      </c>
    </row>
    <row r="74" spans="1:18" ht="15.75" x14ac:dyDescent="0.25">
      <c r="A74" s="81">
        <v>69</v>
      </c>
      <c r="B74" s="731" t="s">
        <v>408</v>
      </c>
      <c r="C74" s="88" t="s">
        <v>102</v>
      </c>
      <c r="D74" s="82">
        <v>10819</v>
      </c>
      <c r="E74" s="82">
        <v>5216</v>
      </c>
      <c r="F74" s="82">
        <v>1243</v>
      </c>
      <c r="G74" s="82">
        <v>3973</v>
      </c>
      <c r="H74" s="82">
        <v>5603</v>
      </c>
      <c r="I74" s="82">
        <v>1044</v>
      </c>
      <c r="J74" s="82">
        <v>249</v>
      </c>
      <c r="K74" s="82">
        <v>795</v>
      </c>
      <c r="L74" s="82">
        <v>1044</v>
      </c>
      <c r="M74" s="82">
        <v>1044</v>
      </c>
      <c r="N74" s="82">
        <v>795</v>
      </c>
      <c r="O74" s="82">
        <v>1121</v>
      </c>
      <c r="P74" s="82">
        <v>1121</v>
      </c>
      <c r="Q74" s="82">
        <v>1121</v>
      </c>
      <c r="R74" s="82">
        <v>1121</v>
      </c>
    </row>
    <row r="75" spans="1:18" ht="15.75" x14ac:dyDescent="0.25">
      <c r="A75" s="81">
        <v>70</v>
      </c>
      <c r="B75" s="731" t="s">
        <v>409</v>
      </c>
      <c r="C75" s="88" t="s">
        <v>162</v>
      </c>
      <c r="D75" s="82">
        <v>16782</v>
      </c>
      <c r="E75" s="82">
        <v>9255</v>
      </c>
      <c r="F75" s="82">
        <v>2100</v>
      </c>
      <c r="G75" s="82">
        <v>7155</v>
      </c>
      <c r="H75" s="82">
        <v>7527</v>
      </c>
      <c r="I75" s="82">
        <v>1851</v>
      </c>
      <c r="J75" s="82">
        <v>420</v>
      </c>
      <c r="K75" s="82">
        <v>1431</v>
      </c>
      <c r="L75" s="82">
        <v>1851</v>
      </c>
      <c r="M75" s="82">
        <v>1851</v>
      </c>
      <c r="N75" s="82">
        <v>1431</v>
      </c>
      <c r="O75" s="82">
        <v>1505</v>
      </c>
      <c r="P75" s="82">
        <v>1505</v>
      </c>
      <c r="Q75" s="82">
        <v>1505</v>
      </c>
      <c r="R75" s="82">
        <v>1505</v>
      </c>
    </row>
    <row r="76" spans="1:18" ht="15.75" x14ac:dyDescent="0.25">
      <c r="A76" s="81">
        <v>71</v>
      </c>
      <c r="B76" s="731" t="s">
        <v>410</v>
      </c>
      <c r="C76" s="88" t="s">
        <v>164</v>
      </c>
      <c r="D76" s="82">
        <v>9583</v>
      </c>
      <c r="E76" s="82">
        <v>5304</v>
      </c>
      <c r="F76" s="82">
        <v>1282</v>
      </c>
      <c r="G76" s="82">
        <v>4022</v>
      </c>
      <c r="H76" s="82">
        <v>4279</v>
      </c>
      <c r="I76" s="82">
        <v>1060</v>
      </c>
      <c r="J76" s="82">
        <v>256</v>
      </c>
      <c r="K76" s="82">
        <v>804</v>
      </c>
      <c r="L76" s="82">
        <v>1060</v>
      </c>
      <c r="M76" s="82">
        <v>1060</v>
      </c>
      <c r="N76" s="82">
        <v>804</v>
      </c>
      <c r="O76" s="82">
        <v>856</v>
      </c>
      <c r="P76" s="82">
        <v>856</v>
      </c>
      <c r="Q76" s="82">
        <v>856</v>
      </c>
      <c r="R76" s="82">
        <v>856</v>
      </c>
    </row>
    <row r="77" spans="1:18" ht="15.75" x14ac:dyDescent="0.25">
      <c r="A77" s="81">
        <v>72</v>
      </c>
      <c r="B77" s="731" t="s">
        <v>411</v>
      </c>
      <c r="C77" s="88" t="s">
        <v>182</v>
      </c>
      <c r="D77" s="82">
        <v>14080</v>
      </c>
      <c r="E77" s="82">
        <v>7649</v>
      </c>
      <c r="F77" s="82">
        <v>2016</v>
      </c>
      <c r="G77" s="82">
        <v>5633</v>
      </c>
      <c r="H77" s="82">
        <v>6431</v>
      </c>
      <c r="I77" s="82">
        <v>1530</v>
      </c>
      <c r="J77" s="82">
        <v>403</v>
      </c>
      <c r="K77" s="82">
        <v>1127</v>
      </c>
      <c r="L77" s="82">
        <v>1530</v>
      </c>
      <c r="M77" s="82">
        <v>1530</v>
      </c>
      <c r="N77" s="82">
        <v>1127</v>
      </c>
      <c r="O77" s="82">
        <v>1286</v>
      </c>
      <c r="P77" s="82">
        <v>1286</v>
      </c>
      <c r="Q77" s="82">
        <v>1286</v>
      </c>
      <c r="R77" s="82">
        <v>1286</v>
      </c>
    </row>
    <row r="78" spans="1:18" ht="16.5" thickBot="1" x14ac:dyDescent="0.3">
      <c r="A78" s="81">
        <v>73</v>
      </c>
      <c r="B78" s="731" t="s">
        <v>412</v>
      </c>
      <c r="C78" s="88" t="s">
        <v>166</v>
      </c>
      <c r="D78" s="82">
        <v>22252</v>
      </c>
      <c r="E78" s="82">
        <v>12230</v>
      </c>
      <c r="F78" s="82">
        <v>4040</v>
      </c>
      <c r="G78" s="82">
        <v>8190</v>
      </c>
      <c r="H78" s="82">
        <v>10022</v>
      </c>
      <c r="I78" s="82">
        <v>2446</v>
      </c>
      <c r="J78" s="82">
        <v>808</v>
      </c>
      <c r="K78" s="82">
        <v>1638</v>
      </c>
      <c r="L78" s="82">
        <v>2446</v>
      </c>
      <c r="M78" s="82">
        <v>2446</v>
      </c>
      <c r="N78" s="82">
        <v>1638</v>
      </c>
      <c r="O78" s="82">
        <v>2004</v>
      </c>
      <c r="P78" s="82">
        <v>2004</v>
      </c>
      <c r="Q78" s="82">
        <v>2004</v>
      </c>
      <c r="R78" s="82">
        <v>2004</v>
      </c>
    </row>
    <row r="79" spans="1:18" s="84" customFormat="1" ht="16.5" thickBot="1" x14ac:dyDescent="0.3">
      <c r="A79" s="724"/>
      <c r="B79" s="732" t="s">
        <v>413</v>
      </c>
      <c r="C79" s="725"/>
      <c r="D79" s="726">
        <v>558944</v>
      </c>
      <c r="E79" s="726">
        <f t="shared" ref="E79:N79" si="0">SUM(E6:E78)</f>
        <v>286118</v>
      </c>
      <c r="F79" s="726">
        <f t="shared" si="0"/>
        <v>79832</v>
      </c>
      <c r="G79" s="726">
        <f t="shared" si="0"/>
        <v>206286</v>
      </c>
      <c r="H79" s="726">
        <f t="shared" si="0"/>
        <v>272826</v>
      </c>
      <c r="I79" s="726">
        <f t="shared" si="0"/>
        <v>57226</v>
      </c>
      <c r="J79" s="726">
        <f t="shared" si="0"/>
        <v>15967</v>
      </c>
      <c r="K79" s="726">
        <f t="shared" si="0"/>
        <v>41259</v>
      </c>
      <c r="L79" s="726">
        <f t="shared" si="0"/>
        <v>57226</v>
      </c>
      <c r="M79" s="726">
        <f t="shared" si="0"/>
        <v>57226</v>
      </c>
      <c r="N79" s="726">
        <f t="shared" si="0"/>
        <v>41259</v>
      </c>
      <c r="O79" s="726">
        <f t="shared" ref="O79:R79" si="1">SUM(O6:O78)</f>
        <v>54564</v>
      </c>
      <c r="P79" s="726">
        <f t="shared" si="1"/>
        <v>54564</v>
      </c>
      <c r="Q79" s="726">
        <f t="shared" si="1"/>
        <v>54564</v>
      </c>
      <c r="R79" s="727">
        <f t="shared" si="1"/>
        <v>54564</v>
      </c>
    </row>
    <row r="81" spans="4:18" x14ac:dyDescent="0.25"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</row>
    <row r="82" spans="4:18" x14ac:dyDescent="0.25">
      <c r="D82" s="86"/>
      <c r="E82" s="86"/>
      <c r="F82" s="86"/>
      <c r="G82" s="86"/>
      <c r="H82" s="86"/>
      <c r="I82" s="89"/>
      <c r="J82" s="86"/>
      <c r="K82" s="86"/>
      <c r="L82" s="86"/>
      <c r="M82" s="86"/>
      <c r="N82" s="86"/>
      <c r="O82" s="86"/>
      <c r="P82" s="86"/>
      <c r="Q82" s="86"/>
      <c r="R82" s="86"/>
    </row>
    <row r="83" spans="4:18" x14ac:dyDescent="0.25"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6" spans="4:18" x14ac:dyDescent="0.25">
      <c r="E86" s="87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4:18" x14ac:dyDescent="0.25"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4:18" x14ac:dyDescent="0.25">
      <c r="E88" s="8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zoomScaleNormal="100" workbookViewId="0">
      <pane xSplit="3" ySplit="12" topLeftCell="D13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E133" sqref="E133"/>
    </sheetView>
  </sheetViews>
  <sheetFormatPr defaultRowHeight="12" x14ac:dyDescent="0.2"/>
  <cols>
    <col min="1" max="1" width="4.42578125" style="152" customWidth="1"/>
    <col min="2" max="2" width="6.85546875" style="152" customWidth="1"/>
    <col min="3" max="3" width="47" style="152" customWidth="1"/>
    <col min="4" max="10" width="14.28515625" style="152" customWidth="1"/>
    <col min="11" max="11" width="3.42578125" style="152" customWidth="1"/>
    <col min="12" max="16384" width="9.140625" style="152"/>
  </cols>
  <sheetData>
    <row r="1" spans="1:10" ht="30.75" customHeight="1" x14ac:dyDescent="0.2">
      <c r="A1" s="978" t="s">
        <v>464</v>
      </c>
      <c r="B1" s="978"/>
      <c r="C1" s="978"/>
      <c r="D1" s="978"/>
      <c r="E1" s="978"/>
      <c r="F1" s="978"/>
      <c r="G1" s="978"/>
      <c r="H1" s="978"/>
      <c r="I1" s="978"/>
      <c r="J1" s="978"/>
    </row>
    <row r="2" spans="1:10" ht="23.25" customHeight="1" x14ac:dyDescent="0.2">
      <c r="A2" s="979" t="s">
        <v>0</v>
      </c>
      <c r="B2" s="980" t="s">
        <v>326</v>
      </c>
      <c r="C2" s="979" t="s">
        <v>309</v>
      </c>
      <c r="D2" s="981" t="s">
        <v>465</v>
      </c>
      <c r="E2" s="981"/>
      <c r="F2" s="981"/>
      <c r="G2" s="981"/>
      <c r="H2" s="981"/>
      <c r="I2" s="981"/>
      <c r="J2" s="981"/>
    </row>
    <row r="3" spans="1:10" ht="15" customHeight="1" x14ac:dyDescent="0.2">
      <c r="A3" s="979"/>
      <c r="B3" s="980"/>
      <c r="C3" s="979"/>
      <c r="D3" s="981" t="s">
        <v>443</v>
      </c>
      <c r="E3" s="982" t="s">
        <v>466</v>
      </c>
      <c r="F3" s="983"/>
      <c r="G3" s="983"/>
      <c r="H3" s="983"/>
      <c r="I3" s="983"/>
      <c r="J3" s="984"/>
    </row>
    <row r="4" spans="1:10" s="153" customFormat="1" ht="41.25" customHeight="1" x14ac:dyDescent="0.25">
      <c r="A4" s="979"/>
      <c r="B4" s="980"/>
      <c r="C4" s="979"/>
      <c r="D4" s="981"/>
      <c r="E4" s="985"/>
      <c r="F4" s="986"/>
      <c r="G4" s="986"/>
      <c r="H4" s="986"/>
      <c r="I4" s="986"/>
      <c r="J4" s="987"/>
    </row>
    <row r="5" spans="1:10" ht="31.5" customHeight="1" x14ac:dyDescent="0.2">
      <c r="A5" s="979"/>
      <c r="B5" s="980"/>
      <c r="C5" s="979"/>
      <c r="D5" s="981"/>
      <c r="E5" s="988" t="s">
        <v>467</v>
      </c>
      <c r="F5" s="991" t="s">
        <v>468</v>
      </c>
      <c r="G5" s="992"/>
      <c r="H5" s="992"/>
      <c r="I5" s="992"/>
      <c r="J5" s="993"/>
    </row>
    <row r="6" spans="1:10" ht="22.5" customHeight="1" x14ac:dyDescent="0.2">
      <c r="A6" s="979"/>
      <c r="B6" s="980"/>
      <c r="C6" s="979"/>
      <c r="D6" s="981"/>
      <c r="E6" s="989"/>
      <c r="F6" s="981" t="s">
        <v>46</v>
      </c>
      <c r="G6" s="991" t="s">
        <v>449</v>
      </c>
      <c r="H6" s="992"/>
      <c r="I6" s="992"/>
      <c r="J6" s="993"/>
    </row>
    <row r="7" spans="1:10" ht="26.25" customHeight="1" x14ac:dyDescent="0.2">
      <c r="A7" s="979"/>
      <c r="B7" s="980"/>
      <c r="C7" s="979"/>
      <c r="D7" s="981"/>
      <c r="E7" s="989"/>
      <c r="F7" s="981"/>
      <c r="G7" s="996" t="s">
        <v>469</v>
      </c>
      <c r="H7" s="997" t="s">
        <v>49</v>
      </c>
      <c r="I7" s="998"/>
      <c r="J7" s="999"/>
    </row>
    <row r="8" spans="1:10" ht="42.75" customHeight="1" x14ac:dyDescent="0.2">
      <c r="A8" s="979"/>
      <c r="B8" s="980"/>
      <c r="C8" s="979"/>
      <c r="D8" s="981"/>
      <c r="E8" s="990"/>
      <c r="F8" s="981"/>
      <c r="G8" s="996"/>
      <c r="H8" s="836" t="s">
        <v>46</v>
      </c>
      <c r="I8" s="154" t="s">
        <v>470</v>
      </c>
      <c r="J8" s="155" t="s">
        <v>50</v>
      </c>
    </row>
    <row r="9" spans="1:10" s="158" customFormat="1" ht="11.25" x14ac:dyDescent="0.2">
      <c r="A9" s="156">
        <v>1</v>
      </c>
      <c r="B9" s="156">
        <v>2</v>
      </c>
      <c r="C9" s="156">
        <v>3</v>
      </c>
      <c r="D9" s="157">
        <v>4</v>
      </c>
      <c r="E9" s="157">
        <v>5</v>
      </c>
      <c r="F9" s="157">
        <v>6</v>
      </c>
      <c r="G9" s="157">
        <v>7</v>
      </c>
      <c r="H9" s="157">
        <v>8</v>
      </c>
      <c r="I9" s="157">
        <v>9</v>
      </c>
      <c r="J9" s="157">
        <v>10</v>
      </c>
    </row>
    <row r="10" spans="1:10" s="160" customFormat="1" x14ac:dyDescent="0.2">
      <c r="A10" s="938" t="s">
        <v>471</v>
      </c>
      <c r="B10" s="938"/>
      <c r="C10" s="938"/>
      <c r="D10" s="159">
        <f>E10+F10</f>
        <v>1717790</v>
      </c>
      <c r="E10" s="159">
        <f>E11+E12</f>
        <v>8152</v>
      </c>
      <c r="F10" s="159">
        <f>G10+H10</f>
        <v>1709638</v>
      </c>
      <c r="G10" s="159">
        <f>G11+G12</f>
        <v>81825</v>
      </c>
      <c r="H10" s="159">
        <f>H11+H12</f>
        <v>1627813</v>
      </c>
      <c r="I10" s="159">
        <f t="shared" ref="I10:J10" si="0">I11+I12</f>
        <v>13083</v>
      </c>
      <c r="J10" s="159">
        <f t="shared" si="0"/>
        <v>1614730</v>
      </c>
    </row>
    <row r="11" spans="1:10" ht="12" customHeight="1" x14ac:dyDescent="0.2">
      <c r="A11" s="946" t="s">
        <v>14</v>
      </c>
      <c r="B11" s="947"/>
      <c r="C11" s="948"/>
      <c r="D11" s="161">
        <f>E11+F11</f>
        <v>0</v>
      </c>
      <c r="E11" s="161">
        <v>0</v>
      </c>
      <c r="F11" s="161">
        <v>0</v>
      </c>
      <c r="G11" s="161">
        <v>0</v>
      </c>
      <c r="H11" s="161">
        <v>0</v>
      </c>
      <c r="I11" s="161">
        <v>0</v>
      </c>
      <c r="J11" s="161">
        <v>0</v>
      </c>
    </row>
    <row r="12" spans="1:10" s="160" customFormat="1" x14ac:dyDescent="0.2">
      <c r="A12" s="1000" t="s">
        <v>15</v>
      </c>
      <c r="B12" s="1000"/>
      <c r="C12" s="1000"/>
      <c r="D12" s="159">
        <f>E12+F12</f>
        <v>1717790</v>
      </c>
      <c r="E12" s="159">
        <f>SUM(E13:E149)-E93</f>
        <v>8152</v>
      </c>
      <c r="F12" s="159">
        <f>G12+H12</f>
        <v>1709638</v>
      </c>
      <c r="G12" s="159">
        <f>SUM(G13:G149)-G93</f>
        <v>81825</v>
      </c>
      <c r="H12" s="159">
        <f>SUM(H13:H149)-H93</f>
        <v>1627813</v>
      </c>
      <c r="I12" s="159">
        <f>SUM(I13:I149)-I93</f>
        <v>13083</v>
      </c>
      <c r="J12" s="159">
        <f>SUM(J13:J149)-J93</f>
        <v>1614730</v>
      </c>
    </row>
    <row r="13" spans="1:10" x14ac:dyDescent="0.2">
      <c r="A13" s="833">
        <v>1</v>
      </c>
      <c r="B13" s="162" t="s">
        <v>54</v>
      </c>
      <c r="C13" s="163" t="s">
        <v>55</v>
      </c>
      <c r="D13" s="161">
        <f>E13+F13</f>
        <v>15789</v>
      </c>
      <c r="E13" s="161">
        <v>0</v>
      </c>
      <c r="F13" s="161">
        <f>G13+H13</f>
        <v>15789</v>
      </c>
      <c r="G13" s="161">
        <v>1008</v>
      </c>
      <c r="H13" s="161">
        <f>I13+J13</f>
        <v>14781</v>
      </c>
      <c r="I13" s="161">
        <v>261</v>
      </c>
      <c r="J13" s="161">
        <v>14520</v>
      </c>
    </row>
    <row r="14" spans="1:10" x14ac:dyDescent="0.2">
      <c r="A14" s="833">
        <v>2</v>
      </c>
      <c r="B14" s="164" t="s">
        <v>56</v>
      </c>
      <c r="C14" s="163" t="s">
        <v>57</v>
      </c>
      <c r="D14" s="161">
        <f t="shared" ref="D14:D79" si="1">E14+F14</f>
        <v>9996</v>
      </c>
      <c r="E14" s="161">
        <v>0</v>
      </c>
      <c r="F14" s="161">
        <f t="shared" ref="F14:F79" si="2">G14+H14</f>
        <v>9996</v>
      </c>
      <c r="G14" s="161">
        <v>316</v>
      </c>
      <c r="H14" s="161">
        <f t="shared" ref="H14:H79" si="3">I14+J14</f>
        <v>9680</v>
      </c>
      <c r="I14" s="161">
        <v>395</v>
      </c>
      <c r="J14" s="161">
        <v>9285</v>
      </c>
    </row>
    <row r="15" spans="1:10" x14ac:dyDescent="0.2">
      <c r="A15" s="833">
        <v>3</v>
      </c>
      <c r="B15" s="835" t="s">
        <v>16</v>
      </c>
      <c r="C15" s="165" t="s">
        <v>17</v>
      </c>
      <c r="D15" s="161">
        <f t="shared" si="1"/>
        <v>34284</v>
      </c>
      <c r="E15" s="161">
        <v>0</v>
      </c>
      <c r="F15" s="161">
        <f t="shared" si="2"/>
        <v>34284</v>
      </c>
      <c r="G15" s="161">
        <v>792</v>
      </c>
      <c r="H15" s="161">
        <f t="shared" si="3"/>
        <v>33492</v>
      </c>
      <c r="I15" s="161">
        <v>0</v>
      </c>
      <c r="J15" s="161">
        <v>33492</v>
      </c>
    </row>
    <row r="16" spans="1:10" x14ac:dyDescent="0.2">
      <c r="A16" s="833">
        <v>4</v>
      </c>
      <c r="B16" s="162" t="s">
        <v>58</v>
      </c>
      <c r="C16" s="163" t="s">
        <v>59</v>
      </c>
      <c r="D16" s="161">
        <f t="shared" si="1"/>
        <v>10811</v>
      </c>
      <c r="E16" s="161">
        <v>0</v>
      </c>
      <c r="F16" s="161">
        <f t="shared" si="2"/>
        <v>10811</v>
      </c>
      <c r="G16" s="161">
        <v>150</v>
      </c>
      <c r="H16" s="161">
        <f t="shared" si="3"/>
        <v>10661</v>
      </c>
      <c r="I16" s="161">
        <v>0</v>
      </c>
      <c r="J16" s="161">
        <v>10661</v>
      </c>
    </row>
    <row r="17" spans="1:10" x14ac:dyDescent="0.2">
      <c r="A17" s="833">
        <v>5</v>
      </c>
      <c r="B17" s="162" t="s">
        <v>60</v>
      </c>
      <c r="C17" s="163" t="s">
        <v>61</v>
      </c>
      <c r="D17" s="161">
        <f t="shared" si="1"/>
        <v>16125</v>
      </c>
      <c r="E17" s="161">
        <v>0</v>
      </c>
      <c r="F17" s="161">
        <f t="shared" si="2"/>
        <v>16125</v>
      </c>
      <c r="G17" s="161">
        <v>420</v>
      </c>
      <c r="H17" s="161">
        <f t="shared" si="3"/>
        <v>15705</v>
      </c>
      <c r="I17" s="161">
        <v>59</v>
      </c>
      <c r="J17" s="161">
        <v>15646</v>
      </c>
    </row>
    <row r="18" spans="1:10" x14ac:dyDescent="0.2">
      <c r="A18" s="833">
        <v>6</v>
      </c>
      <c r="B18" s="835" t="s">
        <v>18</v>
      </c>
      <c r="C18" s="165" t="s">
        <v>19</v>
      </c>
      <c r="D18" s="161">
        <f t="shared" si="1"/>
        <v>49963</v>
      </c>
      <c r="E18" s="161">
        <v>0</v>
      </c>
      <c r="F18" s="161">
        <f t="shared" si="2"/>
        <v>49963</v>
      </c>
      <c r="G18" s="161">
        <v>2235</v>
      </c>
      <c r="H18" s="161">
        <f t="shared" si="3"/>
        <v>47728</v>
      </c>
      <c r="I18" s="161">
        <v>0</v>
      </c>
      <c r="J18" s="161">
        <v>47728</v>
      </c>
    </row>
    <row r="19" spans="1:10" x14ac:dyDescent="0.2">
      <c r="A19" s="833">
        <v>7</v>
      </c>
      <c r="B19" s="71" t="s">
        <v>62</v>
      </c>
      <c r="C19" s="31" t="s">
        <v>63</v>
      </c>
      <c r="D19" s="161">
        <f t="shared" si="1"/>
        <v>29983</v>
      </c>
      <c r="E19" s="161">
        <v>0</v>
      </c>
      <c r="F19" s="161">
        <f t="shared" si="2"/>
        <v>29983</v>
      </c>
      <c r="G19" s="161">
        <v>417</v>
      </c>
      <c r="H19" s="161">
        <f t="shared" si="3"/>
        <v>29566</v>
      </c>
      <c r="I19" s="161">
        <v>10</v>
      </c>
      <c r="J19" s="161">
        <v>29556</v>
      </c>
    </row>
    <row r="20" spans="1:10" x14ac:dyDescent="0.2">
      <c r="A20" s="833">
        <v>8</v>
      </c>
      <c r="B20" s="835" t="s">
        <v>64</v>
      </c>
      <c r="C20" s="165" t="s">
        <v>65</v>
      </c>
      <c r="D20" s="161">
        <f t="shared" si="1"/>
        <v>9877</v>
      </c>
      <c r="E20" s="161">
        <v>0</v>
      </c>
      <c r="F20" s="161">
        <f t="shared" si="2"/>
        <v>9877</v>
      </c>
      <c r="G20" s="161">
        <v>990</v>
      </c>
      <c r="H20" s="161">
        <f t="shared" si="3"/>
        <v>8887</v>
      </c>
      <c r="I20" s="161">
        <v>0</v>
      </c>
      <c r="J20" s="161">
        <v>8887</v>
      </c>
    </row>
    <row r="21" spans="1:10" x14ac:dyDescent="0.2">
      <c r="A21" s="833">
        <v>9</v>
      </c>
      <c r="B21" s="835" t="s">
        <v>66</v>
      </c>
      <c r="C21" s="165" t="s">
        <v>67</v>
      </c>
      <c r="D21" s="161">
        <f t="shared" si="1"/>
        <v>12474</v>
      </c>
      <c r="E21" s="161">
        <v>0</v>
      </c>
      <c r="F21" s="161">
        <f t="shared" si="2"/>
        <v>12474</v>
      </c>
      <c r="G21" s="161">
        <v>20</v>
      </c>
      <c r="H21" s="161">
        <f t="shared" si="3"/>
        <v>12454</v>
      </c>
      <c r="I21" s="161">
        <v>0</v>
      </c>
      <c r="J21" s="161">
        <v>12454</v>
      </c>
    </row>
    <row r="22" spans="1:10" x14ac:dyDescent="0.2">
      <c r="A22" s="833">
        <v>10</v>
      </c>
      <c r="B22" s="835" t="s">
        <v>68</v>
      </c>
      <c r="C22" s="165" t="s">
        <v>69</v>
      </c>
      <c r="D22" s="161">
        <f t="shared" si="1"/>
        <v>18290</v>
      </c>
      <c r="E22" s="161">
        <v>0</v>
      </c>
      <c r="F22" s="161">
        <f t="shared" si="2"/>
        <v>18290</v>
      </c>
      <c r="G22" s="161">
        <v>188</v>
      </c>
      <c r="H22" s="161">
        <f t="shared" si="3"/>
        <v>18102</v>
      </c>
      <c r="I22" s="161">
        <v>0</v>
      </c>
      <c r="J22" s="161">
        <v>18102</v>
      </c>
    </row>
    <row r="23" spans="1:10" x14ac:dyDescent="0.2">
      <c r="A23" s="833">
        <v>11</v>
      </c>
      <c r="B23" s="835" t="s">
        <v>70</v>
      </c>
      <c r="C23" s="165" t="s">
        <v>71</v>
      </c>
      <c r="D23" s="161">
        <f t="shared" si="1"/>
        <v>14791</v>
      </c>
      <c r="E23" s="161">
        <v>0</v>
      </c>
      <c r="F23" s="161">
        <f t="shared" si="2"/>
        <v>14791</v>
      </c>
      <c r="G23" s="161">
        <v>240</v>
      </c>
      <c r="H23" s="161">
        <f t="shared" si="3"/>
        <v>14551</v>
      </c>
      <c r="I23" s="161">
        <v>0</v>
      </c>
      <c r="J23" s="161">
        <v>14551</v>
      </c>
    </row>
    <row r="24" spans="1:10" x14ac:dyDescent="0.2">
      <c r="A24" s="833">
        <v>12</v>
      </c>
      <c r="B24" s="835" t="s">
        <v>72</v>
      </c>
      <c r="C24" s="165" t="s">
        <v>73</v>
      </c>
      <c r="D24" s="161">
        <f t="shared" si="1"/>
        <v>14802</v>
      </c>
      <c r="E24" s="161">
        <v>0</v>
      </c>
      <c r="F24" s="161">
        <f t="shared" si="2"/>
        <v>14802</v>
      </c>
      <c r="G24" s="161">
        <v>150</v>
      </c>
      <c r="H24" s="161">
        <f t="shared" si="3"/>
        <v>14652</v>
      </c>
      <c r="I24" s="161">
        <v>0</v>
      </c>
      <c r="J24" s="161">
        <v>14652</v>
      </c>
    </row>
    <row r="25" spans="1:10" x14ac:dyDescent="0.2">
      <c r="A25" s="833">
        <v>13</v>
      </c>
      <c r="B25" s="835" t="s">
        <v>74</v>
      </c>
      <c r="C25" s="165" t="s">
        <v>75</v>
      </c>
      <c r="D25" s="161">
        <f t="shared" si="1"/>
        <v>0</v>
      </c>
      <c r="E25" s="161">
        <v>0</v>
      </c>
      <c r="F25" s="161">
        <f t="shared" si="2"/>
        <v>0</v>
      </c>
      <c r="G25" s="161">
        <v>0</v>
      </c>
      <c r="H25" s="161">
        <f t="shared" si="3"/>
        <v>0</v>
      </c>
      <c r="I25" s="161">
        <v>0</v>
      </c>
      <c r="J25" s="161">
        <v>0</v>
      </c>
    </row>
    <row r="26" spans="1:10" x14ac:dyDescent="0.2">
      <c r="A26" s="833">
        <v>14</v>
      </c>
      <c r="B26" s="835" t="s">
        <v>76</v>
      </c>
      <c r="C26" s="165" t="s">
        <v>77</v>
      </c>
      <c r="D26" s="161">
        <f t="shared" si="1"/>
        <v>14425</v>
      </c>
      <c r="E26" s="161">
        <v>0</v>
      </c>
      <c r="F26" s="161">
        <f t="shared" si="2"/>
        <v>14425</v>
      </c>
      <c r="G26" s="161">
        <v>268</v>
      </c>
      <c r="H26" s="161">
        <f t="shared" si="3"/>
        <v>14157</v>
      </c>
      <c r="I26" s="161">
        <v>0</v>
      </c>
      <c r="J26" s="161">
        <v>14157</v>
      </c>
    </row>
    <row r="27" spans="1:10" x14ac:dyDescent="0.2">
      <c r="A27" s="833">
        <v>15</v>
      </c>
      <c r="B27" s="835" t="s">
        <v>78</v>
      </c>
      <c r="C27" s="165" t="s">
        <v>79</v>
      </c>
      <c r="D27" s="161">
        <f t="shared" si="1"/>
        <v>10014</v>
      </c>
      <c r="E27" s="161">
        <v>0</v>
      </c>
      <c r="F27" s="161">
        <f t="shared" si="2"/>
        <v>10014</v>
      </c>
      <c r="G27" s="161">
        <v>224</v>
      </c>
      <c r="H27" s="161">
        <f t="shared" si="3"/>
        <v>9790</v>
      </c>
      <c r="I27" s="161">
        <v>0</v>
      </c>
      <c r="J27" s="161">
        <v>9790</v>
      </c>
    </row>
    <row r="28" spans="1:10" x14ac:dyDescent="0.2">
      <c r="A28" s="833">
        <v>16</v>
      </c>
      <c r="B28" s="835" t="s">
        <v>80</v>
      </c>
      <c r="C28" s="165" t="s">
        <v>81</v>
      </c>
      <c r="D28" s="161">
        <f t="shared" si="1"/>
        <v>21991</v>
      </c>
      <c r="E28" s="161">
        <v>0</v>
      </c>
      <c r="F28" s="161">
        <f t="shared" si="2"/>
        <v>21991</v>
      </c>
      <c r="G28" s="161">
        <v>800</v>
      </c>
      <c r="H28" s="161">
        <f t="shared" si="3"/>
        <v>21191</v>
      </c>
      <c r="I28" s="161">
        <v>0</v>
      </c>
      <c r="J28" s="161">
        <v>21191</v>
      </c>
    </row>
    <row r="29" spans="1:10" x14ac:dyDescent="0.2">
      <c r="A29" s="833">
        <v>17</v>
      </c>
      <c r="B29" s="835" t="s">
        <v>20</v>
      </c>
      <c r="C29" s="165" t="s">
        <v>21</v>
      </c>
      <c r="D29" s="161">
        <f t="shared" si="1"/>
        <v>35355</v>
      </c>
      <c r="E29" s="161">
        <v>0</v>
      </c>
      <c r="F29" s="161">
        <f t="shared" si="2"/>
        <v>35355</v>
      </c>
      <c r="G29" s="161">
        <v>350</v>
      </c>
      <c r="H29" s="161">
        <f t="shared" si="3"/>
        <v>35005</v>
      </c>
      <c r="I29" s="161">
        <v>0</v>
      </c>
      <c r="J29" s="161">
        <v>35005</v>
      </c>
    </row>
    <row r="30" spans="1:10" x14ac:dyDescent="0.2">
      <c r="A30" s="833">
        <v>18</v>
      </c>
      <c r="B30" s="162" t="s">
        <v>82</v>
      </c>
      <c r="C30" s="163" t="s">
        <v>83</v>
      </c>
      <c r="D30" s="161">
        <f t="shared" si="1"/>
        <v>6744</v>
      </c>
      <c r="E30" s="161">
        <v>0</v>
      </c>
      <c r="F30" s="161">
        <f t="shared" si="2"/>
        <v>6744</v>
      </c>
      <c r="G30" s="161">
        <v>1100</v>
      </c>
      <c r="H30" s="161">
        <f t="shared" si="3"/>
        <v>5644</v>
      </c>
      <c r="I30" s="161">
        <v>13</v>
      </c>
      <c r="J30" s="161">
        <v>5631</v>
      </c>
    </row>
    <row r="31" spans="1:10" x14ac:dyDescent="0.2">
      <c r="A31" s="833">
        <v>19</v>
      </c>
      <c r="B31" s="162" t="s">
        <v>84</v>
      </c>
      <c r="C31" s="163" t="s">
        <v>85</v>
      </c>
      <c r="D31" s="161">
        <f t="shared" si="1"/>
        <v>10427</v>
      </c>
      <c r="E31" s="161">
        <v>0</v>
      </c>
      <c r="F31" s="161">
        <f t="shared" si="2"/>
        <v>10427</v>
      </c>
      <c r="G31" s="161">
        <v>1464</v>
      </c>
      <c r="H31" s="161">
        <f t="shared" si="3"/>
        <v>8963</v>
      </c>
      <c r="I31" s="161">
        <v>0</v>
      </c>
      <c r="J31" s="161">
        <v>8963</v>
      </c>
    </row>
    <row r="32" spans="1:10" x14ac:dyDescent="0.2">
      <c r="A32" s="833">
        <v>20</v>
      </c>
      <c r="B32" s="162" t="s">
        <v>86</v>
      </c>
      <c r="C32" s="163" t="s">
        <v>87</v>
      </c>
      <c r="D32" s="161">
        <f t="shared" si="1"/>
        <v>25351</v>
      </c>
      <c r="E32" s="161">
        <v>0</v>
      </c>
      <c r="F32" s="161">
        <f t="shared" si="2"/>
        <v>25351</v>
      </c>
      <c r="G32" s="161">
        <v>1111</v>
      </c>
      <c r="H32" s="161">
        <f t="shared" si="3"/>
        <v>24240</v>
      </c>
      <c r="I32" s="161">
        <v>0</v>
      </c>
      <c r="J32" s="161">
        <v>24240</v>
      </c>
    </row>
    <row r="33" spans="1:10" x14ac:dyDescent="0.2">
      <c r="A33" s="833">
        <v>21</v>
      </c>
      <c r="B33" s="162" t="s">
        <v>22</v>
      </c>
      <c r="C33" s="163" t="s">
        <v>23</v>
      </c>
      <c r="D33" s="161">
        <f t="shared" si="1"/>
        <v>17746</v>
      </c>
      <c r="E33" s="161">
        <v>0</v>
      </c>
      <c r="F33" s="161">
        <f t="shared" si="2"/>
        <v>17746</v>
      </c>
      <c r="G33" s="161">
        <v>92</v>
      </c>
      <c r="H33" s="161">
        <f t="shared" si="3"/>
        <v>17654</v>
      </c>
      <c r="I33" s="161">
        <v>0</v>
      </c>
      <c r="J33" s="161">
        <v>17654</v>
      </c>
    </row>
    <row r="34" spans="1:10" x14ac:dyDescent="0.2">
      <c r="A34" s="833">
        <v>22</v>
      </c>
      <c r="B34" s="835" t="s">
        <v>24</v>
      </c>
      <c r="C34" s="165" t="s">
        <v>25</v>
      </c>
      <c r="D34" s="161">
        <f t="shared" si="1"/>
        <v>4530</v>
      </c>
      <c r="E34" s="161">
        <v>0</v>
      </c>
      <c r="F34" s="161">
        <f t="shared" si="2"/>
        <v>4530</v>
      </c>
      <c r="G34" s="161">
        <v>217</v>
      </c>
      <c r="H34" s="161">
        <f t="shared" si="3"/>
        <v>4313</v>
      </c>
      <c r="I34" s="161">
        <v>0</v>
      </c>
      <c r="J34" s="161">
        <v>4313</v>
      </c>
    </row>
    <row r="35" spans="1:10" x14ac:dyDescent="0.2">
      <c r="A35" s="833">
        <v>23</v>
      </c>
      <c r="B35" s="835" t="s">
        <v>88</v>
      </c>
      <c r="C35" s="165" t="s">
        <v>89</v>
      </c>
      <c r="D35" s="161">
        <f t="shared" si="1"/>
        <v>0</v>
      </c>
      <c r="E35" s="161">
        <v>0</v>
      </c>
      <c r="F35" s="161">
        <f t="shared" si="2"/>
        <v>0</v>
      </c>
      <c r="G35" s="161">
        <v>0</v>
      </c>
      <c r="H35" s="161">
        <v>0</v>
      </c>
      <c r="I35" s="161">
        <v>0</v>
      </c>
      <c r="J35" s="161">
        <v>0</v>
      </c>
    </row>
    <row r="36" spans="1:10" ht="15" customHeight="1" x14ac:dyDescent="0.2">
      <c r="A36" s="833">
        <v>24</v>
      </c>
      <c r="B36" s="835" t="s">
        <v>90</v>
      </c>
      <c r="C36" s="165" t="s">
        <v>91</v>
      </c>
      <c r="D36" s="161">
        <f t="shared" si="1"/>
        <v>0</v>
      </c>
      <c r="E36" s="161">
        <v>0</v>
      </c>
      <c r="F36" s="161">
        <f t="shared" si="2"/>
        <v>0</v>
      </c>
      <c r="G36" s="161">
        <v>0</v>
      </c>
      <c r="H36" s="161">
        <v>0</v>
      </c>
      <c r="I36" s="161">
        <v>0</v>
      </c>
      <c r="J36" s="161">
        <v>0</v>
      </c>
    </row>
    <row r="37" spans="1:10" x14ac:dyDescent="0.2">
      <c r="A37" s="833">
        <v>25</v>
      </c>
      <c r="B37" s="162" t="s">
        <v>92</v>
      </c>
      <c r="C37" s="31" t="s">
        <v>93</v>
      </c>
      <c r="D37" s="161">
        <f t="shared" si="1"/>
        <v>99631</v>
      </c>
      <c r="E37" s="161">
        <v>0</v>
      </c>
      <c r="F37" s="161">
        <f t="shared" si="2"/>
        <v>99631</v>
      </c>
      <c r="G37" s="161">
        <v>18317</v>
      </c>
      <c r="H37" s="161">
        <f t="shared" si="3"/>
        <v>81314</v>
      </c>
      <c r="I37" s="161">
        <v>33</v>
      </c>
      <c r="J37" s="161">
        <v>81281</v>
      </c>
    </row>
    <row r="38" spans="1:10" x14ac:dyDescent="0.2">
      <c r="A38" s="833">
        <v>26</v>
      </c>
      <c r="B38" s="835" t="s">
        <v>94</v>
      </c>
      <c r="C38" s="165" t="s">
        <v>95</v>
      </c>
      <c r="D38" s="161">
        <f t="shared" si="1"/>
        <v>0</v>
      </c>
      <c r="E38" s="161">
        <v>0</v>
      </c>
      <c r="F38" s="161">
        <f t="shared" si="2"/>
        <v>0</v>
      </c>
      <c r="G38" s="161">
        <v>0</v>
      </c>
      <c r="H38" s="161">
        <f t="shared" si="3"/>
        <v>0</v>
      </c>
      <c r="I38" s="161">
        <v>0</v>
      </c>
      <c r="J38" s="161">
        <v>0</v>
      </c>
    </row>
    <row r="39" spans="1:10" x14ac:dyDescent="0.2">
      <c r="A39" s="833">
        <v>27</v>
      </c>
      <c r="B39" s="164" t="s">
        <v>96</v>
      </c>
      <c r="C39" s="31" t="s">
        <v>97</v>
      </c>
      <c r="D39" s="161">
        <f t="shared" si="1"/>
        <v>0</v>
      </c>
      <c r="E39" s="161">
        <v>0</v>
      </c>
      <c r="F39" s="161">
        <f t="shared" si="2"/>
        <v>0</v>
      </c>
      <c r="G39" s="161">
        <v>0</v>
      </c>
      <c r="H39" s="161">
        <f t="shared" si="3"/>
        <v>0</v>
      </c>
      <c r="I39" s="161">
        <v>0</v>
      </c>
      <c r="J39" s="161">
        <v>0</v>
      </c>
    </row>
    <row r="40" spans="1:10" x14ac:dyDescent="0.2">
      <c r="A40" s="833">
        <v>28</v>
      </c>
      <c r="B40" s="164" t="s">
        <v>26</v>
      </c>
      <c r="C40" s="163" t="s">
        <v>27</v>
      </c>
      <c r="D40" s="161">
        <f t="shared" si="1"/>
        <v>17940</v>
      </c>
      <c r="E40" s="161">
        <v>0</v>
      </c>
      <c r="F40" s="161">
        <f t="shared" si="2"/>
        <v>17940</v>
      </c>
      <c r="G40" s="161">
        <v>12</v>
      </c>
      <c r="H40" s="161">
        <f t="shared" si="3"/>
        <v>17928</v>
      </c>
      <c r="I40" s="161">
        <v>1545</v>
      </c>
      <c r="J40" s="161">
        <v>16383</v>
      </c>
    </row>
    <row r="41" spans="1:10" x14ac:dyDescent="0.2">
      <c r="A41" s="833">
        <v>29</v>
      </c>
      <c r="B41" s="71" t="s">
        <v>98</v>
      </c>
      <c r="C41" s="31" t="s">
        <v>99</v>
      </c>
      <c r="D41" s="161">
        <f t="shared" si="1"/>
        <v>60616</v>
      </c>
      <c r="E41" s="161">
        <v>0</v>
      </c>
      <c r="F41" s="161">
        <f t="shared" si="2"/>
        <v>60616</v>
      </c>
      <c r="G41" s="161">
        <v>2800</v>
      </c>
      <c r="H41" s="161">
        <f t="shared" si="3"/>
        <v>57816</v>
      </c>
      <c r="I41" s="161">
        <v>0</v>
      </c>
      <c r="J41" s="161">
        <v>57816</v>
      </c>
    </row>
    <row r="42" spans="1:10" x14ac:dyDescent="0.2">
      <c r="A42" s="833">
        <v>30</v>
      </c>
      <c r="B42" s="164" t="s">
        <v>100</v>
      </c>
      <c r="C42" s="163" t="s">
        <v>101</v>
      </c>
      <c r="D42" s="161">
        <f t="shared" si="1"/>
        <v>8947</v>
      </c>
      <c r="E42" s="161">
        <v>0</v>
      </c>
      <c r="F42" s="161">
        <f t="shared" si="2"/>
        <v>8947</v>
      </c>
      <c r="G42" s="161">
        <v>265</v>
      </c>
      <c r="H42" s="161">
        <f t="shared" si="3"/>
        <v>8682</v>
      </c>
      <c r="I42" s="161">
        <v>0</v>
      </c>
      <c r="J42" s="161">
        <v>8682</v>
      </c>
    </row>
    <row r="43" spans="1:10" x14ac:dyDescent="0.2">
      <c r="A43" s="833">
        <v>31</v>
      </c>
      <c r="B43" s="835" t="s">
        <v>102</v>
      </c>
      <c r="C43" s="165" t="s">
        <v>103</v>
      </c>
      <c r="D43" s="161">
        <f t="shared" si="1"/>
        <v>43090</v>
      </c>
      <c r="E43" s="161">
        <v>0</v>
      </c>
      <c r="F43" s="161">
        <f t="shared" si="2"/>
        <v>43090</v>
      </c>
      <c r="G43" s="161">
        <v>2753</v>
      </c>
      <c r="H43" s="161">
        <f t="shared" si="3"/>
        <v>40337</v>
      </c>
      <c r="I43" s="161">
        <v>209</v>
      </c>
      <c r="J43" s="161">
        <v>40128</v>
      </c>
    </row>
    <row r="44" spans="1:10" x14ac:dyDescent="0.2">
      <c r="A44" s="833">
        <v>32</v>
      </c>
      <c r="B44" s="164" t="s">
        <v>104</v>
      </c>
      <c r="C44" s="163" t="s">
        <v>105</v>
      </c>
      <c r="D44" s="161">
        <f t="shared" si="1"/>
        <v>10571</v>
      </c>
      <c r="E44" s="161">
        <v>0</v>
      </c>
      <c r="F44" s="161">
        <f t="shared" si="2"/>
        <v>10571</v>
      </c>
      <c r="G44" s="161">
        <v>52</v>
      </c>
      <c r="H44" s="161">
        <f t="shared" si="3"/>
        <v>10519</v>
      </c>
      <c r="I44" s="161">
        <v>227</v>
      </c>
      <c r="J44" s="161">
        <v>10292</v>
      </c>
    </row>
    <row r="45" spans="1:10" x14ac:dyDescent="0.2">
      <c r="A45" s="833">
        <v>33</v>
      </c>
      <c r="B45" s="162" t="s">
        <v>106</v>
      </c>
      <c r="C45" s="163" t="s">
        <v>107</v>
      </c>
      <c r="D45" s="161">
        <f t="shared" si="1"/>
        <v>24367</v>
      </c>
      <c r="E45" s="161">
        <v>0</v>
      </c>
      <c r="F45" s="161">
        <f t="shared" si="2"/>
        <v>24367</v>
      </c>
      <c r="G45" s="161">
        <v>987</v>
      </c>
      <c r="H45" s="161">
        <f t="shared" si="3"/>
        <v>23380</v>
      </c>
      <c r="I45" s="161">
        <v>0</v>
      </c>
      <c r="J45" s="161">
        <v>23380</v>
      </c>
    </row>
    <row r="46" spans="1:10" x14ac:dyDescent="0.2">
      <c r="A46" s="833">
        <v>34</v>
      </c>
      <c r="B46" s="166" t="s">
        <v>108</v>
      </c>
      <c r="C46" s="167" t="s">
        <v>109</v>
      </c>
      <c r="D46" s="161">
        <f t="shared" si="1"/>
        <v>13232</v>
      </c>
      <c r="E46" s="161">
        <v>0</v>
      </c>
      <c r="F46" s="161">
        <f t="shared" si="2"/>
        <v>13232</v>
      </c>
      <c r="G46" s="161">
        <v>300</v>
      </c>
      <c r="H46" s="161">
        <f t="shared" si="3"/>
        <v>12932</v>
      </c>
      <c r="I46" s="161">
        <v>609</v>
      </c>
      <c r="J46" s="161">
        <v>12323</v>
      </c>
    </row>
    <row r="47" spans="1:10" x14ac:dyDescent="0.2">
      <c r="A47" s="833">
        <v>35</v>
      </c>
      <c r="B47" s="162" t="s">
        <v>110</v>
      </c>
      <c r="C47" s="163" t="s">
        <v>111</v>
      </c>
      <c r="D47" s="161">
        <f t="shared" si="1"/>
        <v>9143</v>
      </c>
      <c r="E47" s="161">
        <v>0</v>
      </c>
      <c r="F47" s="161">
        <f t="shared" si="2"/>
        <v>9143</v>
      </c>
      <c r="G47" s="161">
        <v>510</v>
      </c>
      <c r="H47" s="161">
        <f t="shared" si="3"/>
        <v>8633</v>
      </c>
      <c r="I47" s="161">
        <v>0</v>
      </c>
      <c r="J47" s="161">
        <v>8633</v>
      </c>
    </row>
    <row r="48" spans="1:10" x14ac:dyDescent="0.2">
      <c r="A48" s="833">
        <v>36</v>
      </c>
      <c r="B48" s="71" t="s">
        <v>112</v>
      </c>
      <c r="C48" s="31" t="s">
        <v>113</v>
      </c>
      <c r="D48" s="161">
        <f t="shared" si="1"/>
        <v>25241</v>
      </c>
      <c r="E48" s="161">
        <v>0</v>
      </c>
      <c r="F48" s="161">
        <f t="shared" si="2"/>
        <v>25241</v>
      </c>
      <c r="G48" s="161">
        <v>331</v>
      </c>
      <c r="H48" s="161">
        <f t="shared" si="3"/>
        <v>24910</v>
      </c>
      <c r="I48" s="161">
        <v>11</v>
      </c>
      <c r="J48" s="161">
        <v>24899</v>
      </c>
    </row>
    <row r="49" spans="1:10" x14ac:dyDescent="0.2">
      <c r="A49" s="833">
        <v>37</v>
      </c>
      <c r="B49" s="835" t="s">
        <v>114</v>
      </c>
      <c r="C49" s="165" t="s">
        <v>115</v>
      </c>
      <c r="D49" s="161">
        <f t="shared" si="1"/>
        <v>7531</v>
      </c>
      <c r="E49" s="161">
        <v>0</v>
      </c>
      <c r="F49" s="161">
        <f t="shared" si="2"/>
        <v>7531</v>
      </c>
      <c r="G49" s="161">
        <v>855</v>
      </c>
      <c r="H49" s="161">
        <f t="shared" si="3"/>
        <v>6676</v>
      </c>
      <c r="I49" s="161">
        <v>45</v>
      </c>
      <c r="J49" s="161">
        <v>6631</v>
      </c>
    </row>
    <row r="50" spans="1:10" x14ac:dyDescent="0.2">
      <c r="A50" s="833">
        <v>38</v>
      </c>
      <c r="B50" s="164" t="s">
        <v>116</v>
      </c>
      <c r="C50" s="163" t="s">
        <v>117</v>
      </c>
      <c r="D50" s="161">
        <f t="shared" si="1"/>
        <v>1800</v>
      </c>
      <c r="E50" s="161">
        <v>0</v>
      </c>
      <c r="F50" s="161">
        <f t="shared" si="2"/>
        <v>1800</v>
      </c>
      <c r="G50" s="161">
        <v>5</v>
      </c>
      <c r="H50" s="161">
        <f t="shared" si="3"/>
        <v>1795</v>
      </c>
      <c r="I50" s="161">
        <v>0</v>
      </c>
      <c r="J50" s="161">
        <v>1795</v>
      </c>
    </row>
    <row r="51" spans="1:10" x14ac:dyDescent="0.2">
      <c r="A51" s="833">
        <v>39</v>
      </c>
      <c r="B51" s="835" t="s">
        <v>28</v>
      </c>
      <c r="C51" s="165" t="s">
        <v>29</v>
      </c>
      <c r="D51" s="161">
        <f t="shared" si="1"/>
        <v>33849</v>
      </c>
      <c r="E51" s="161">
        <v>0</v>
      </c>
      <c r="F51" s="161">
        <f t="shared" si="2"/>
        <v>33849</v>
      </c>
      <c r="G51" s="161">
        <v>87</v>
      </c>
      <c r="H51" s="161">
        <f t="shared" si="3"/>
        <v>33762</v>
      </c>
      <c r="I51" s="161">
        <v>0</v>
      </c>
      <c r="J51" s="161">
        <v>33762</v>
      </c>
    </row>
    <row r="52" spans="1:10" x14ac:dyDescent="0.2">
      <c r="A52" s="833">
        <v>40</v>
      </c>
      <c r="B52" s="162" t="s">
        <v>118</v>
      </c>
      <c r="C52" s="163" t="s">
        <v>119</v>
      </c>
      <c r="D52" s="161">
        <f t="shared" si="1"/>
        <v>16587</v>
      </c>
      <c r="E52" s="161">
        <v>0</v>
      </c>
      <c r="F52" s="161">
        <f t="shared" si="2"/>
        <v>16587</v>
      </c>
      <c r="G52" s="161">
        <v>396</v>
      </c>
      <c r="H52" s="161">
        <f t="shared" si="3"/>
        <v>16191</v>
      </c>
      <c r="I52" s="161">
        <v>0</v>
      </c>
      <c r="J52" s="161">
        <v>16191</v>
      </c>
    </row>
    <row r="53" spans="1:10" x14ac:dyDescent="0.2">
      <c r="A53" s="833">
        <v>41</v>
      </c>
      <c r="B53" s="162" t="s">
        <v>120</v>
      </c>
      <c r="C53" s="163" t="s">
        <v>121</v>
      </c>
      <c r="D53" s="161">
        <f t="shared" si="1"/>
        <v>24128</v>
      </c>
      <c r="E53" s="161">
        <v>0</v>
      </c>
      <c r="F53" s="161">
        <f t="shared" si="2"/>
        <v>24128</v>
      </c>
      <c r="G53" s="161">
        <v>44</v>
      </c>
      <c r="H53" s="161">
        <f t="shared" si="3"/>
        <v>24084</v>
      </c>
      <c r="I53" s="161">
        <v>0</v>
      </c>
      <c r="J53" s="161">
        <v>24084</v>
      </c>
    </row>
    <row r="54" spans="1:10" x14ac:dyDescent="0.2">
      <c r="A54" s="833">
        <v>42</v>
      </c>
      <c r="B54" s="835" t="s">
        <v>122</v>
      </c>
      <c r="C54" s="165" t="s">
        <v>123</v>
      </c>
      <c r="D54" s="161">
        <f t="shared" si="1"/>
        <v>12494</v>
      </c>
      <c r="E54" s="161">
        <v>0</v>
      </c>
      <c r="F54" s="161">
        <f t="shared" si="2"/>
        <v>12494</v>
      </c>
      <c r="G54" s="161">
        <v>517</v>
      </c>
      <c r="H54" s="161">
        <f t="shared" si="3"/>
        <v>11977</v>
      </c>
      <c r="I54" s="161">
        <v>0</v>
      </c>
      <c r="J54" s="161">
        <v>11977</v>
      </c>
    </row>
    <row r="55" spans="1:10" x14ac:dyDescent="0.2">
      <c r="A55" s="833">
        <v>43</v>
      </c>
      <c r="B55" s="164" t="s">
        <v>124</v>
      </c>
      <c r="C55" s="163" t="s">
        <v>125</v>
      </c>
      <c r="D55" s="161">
        <f t="shared" si="1"/>
        <v>9379</v>
      </c>
      <c r="E55" s="161">
        <v>0</v>
      </c>
      <c r="F55" s="161">
        <f t="shared" si="2"/>
        <v>9379</v>
      </c>
      <c r="G55" s="161">
        <v>1080</v>
      </c>
      <c r="H55" s="161">
        <f t="shared" si="3"/>
        <v>8299</v>
      </c>
      <c r="I55" s="161">
        <v>0</v>
      </c>
      <c r="J55" s="161">
        <v>8299</v>
      </c>
    </row>
    <row r="56" spans="1:10" x14ac:dyDescent="0.2">
      <c r="A56" s="833">
        <v>44</v>
      </c>
      <c r="B56" s="835" t="s">
        <v>126</v>
      </c>
      <c r="C56" s="165" t="s">
        <v>127</v>
      </c>
      <c r="D56" s="161">
        <f t="shared" si="1"/>
        <v>10786</v>
      </c>
      <c r="E56" s="161">
        <v>0</v>
      </c>
      <c r="F56" s="161">
        <f t="shared" si="2"/>
        <v>10786</v>
      </c>
      <c r="G56" s="161">
        <v>200</v>
      </c>
      <c r="H56" s="161">
        <f t="shared" si="3"/>
        <v>10586</v>
      </c>
      <c r="I56" s="161">
        <v>5</v>
      </c>
      <c r="J56" s="161">
        <v>10581</v>
      </c>
    </row>
    <row r="57" spans="1:10" x14ac:dyDescent="0.2">
      <c r="A57" s="833">
        <v>45</v>
      </c>
      <c r="B57" s="164" t="s">
        <v>128</v>
      </c>
      <c r="C57" s="163" t="s">
        <v>129</v>
      </c>
      <c r="D57" s="161">
        <f t="shared" si="1"/>
        <v>14645</v>
      </c>
      <c r="E57" s="161">
        <v>0</v>
      </c>
      <c r="F57" s="161">
        <f t="shared" si="2"/>
        <v>14645</v>
      </c>
      <c r="G57" s="161">
        <v>363</v>
      </c>
      <c r="H57" s="161">
        <f t="shared" si="3"/>
        <v>14282</v>
      </c>
      <c r="I57" s="161">
        <v>0</v>
      </c>
      <c r="J57" s="161">
        <v>14282</v>
      </c>
    </row>
    <row r="58" spans="1:10" x14ac:dyDescent="0.2">
      <c r="A58" s="833">
        <v>46</v>
      </c>
      <c r="B58" s="835" t="s">
        <v>130</v>
      </c>
      <c r="C58" s="165" t="s">
        <v>131</v>
      </c>
      <c r="D58" s="161">
        <f t="shared" si="1"/>
        <v>13130</v>
      </c>
      <c r="E58" s="161">
        <v>0</v>
      </c>
      <c r="F58" s="161">
        <f t="shared" si="2"/>
        <v>13130</v>
      </c>
      <c r="G58" s="161">
        <v>452</v>
      </c>
      <c r="H58" s="161">
        <f t="shared" si="3"/>
        <v>12678</v>
      </c>
      <c r="I58" s="161">
        <v>0</v>
      </c>
      <c r="J58" s="161">
        <v>12678</v>
      </c>
    </row>
    <row r="59" spans="1:10" x14ac:dyDescent="0.2">
      <c r="A59" s="833">
        <v>47</v>
      </c>
      <c r="B59" s="164" t="s">
        <v>132</v>
      </c>
      <c r="C59" s="163" t="s">
        <v>133</v>
      </c>
      <c r="D59" s="161">
        <f t="shared" si="1"/>
        <v>13202</v>
      </c>
      <c r="E59" s="161">
        <v>0</v>
      </c>
      <c r="F59" s="161">
        <f t="shared" si="2"/>
        <v>13202</v>
      </c>
      <c r="G59" s="161">
        <v>300</v>
      </c>
      <c r="H59" s="161">
        <f t="shared" si="3"/>
        <v>12902</v>
      </c>
      <c r="I59" s="161">
        <v>0</v>
      </c>
      <c r="J59" s="161">
        <v>12902</v>
      </c>
    </row>
    <row r="60" spans="1:10" x14ac:dyDescent="0.2">
      <c r="A60" s="833">
        <v>48</v>
      </c>
      <c r="B60" s="835" t="s">
        <v>134</v>
      </c>
      <c r="C60" s="165" t="s">
        <v>135</v>
      </c>
      <c r="D60" s="161">
        <f t="shared" si="1"/>
        <v>29636</v>
      </c>
      <c r="E60" s="161">
        <v>0</v>
      </c>
      <c r="F60" s="161">
        <f t="shared" si="2"/>
        <v>29636</v>
      </c>
      <c r="G60" s="161">
        <v>800</v>
      </c>
      <c r="H60" s="161">
        <f t="shared" si="3"/>
        <v>28836</v>
      </c>
      <c r="I60" s="161">
        <v>7</v>
      </c>
      <c r="J60" s="161">
        <v>28829</v>
      </c>
    </row>
    <row r="61" spans="1:10" x14ac:dyDescent="0.2">
      <c r="A61" s="833">
        <v>49</v>
      </c>
      <c r="B61" s="835" t="s">
        <v>136</v>
      </c>
      <c r="C61" s="165" t="s">
        <v>137</v>
      </c>
      <c r="D61" s="161">
        <f t="shared" si="1"/>
        <v>55809</v>
      </c>
      <c r="E61" s="161">
        <v>0</v>
      </c>
      <c r="F61" s="161">
        <f t="shared" si="2"/>
        <v>55809</v>
      </c>
      <c r="G61" s="161">
        <v>1765</v>
      </c>
      <c r="H61" s="161">
        <f t="shared" si="3"/>
        <v>54044</v>
      </c>
      <c r="I61" s="161">
        <v>77</v>
      </c>
      <c r="J61" s="161">
        <v>53967</v>
      </c>
    </row>
    <row r="62" spans="1:10" x14ac:dyDescent="0.2">
      <c r="A62" s="833">
        <v>50</v>
      </c>
      <c r="B62" s="835" t="s">
        <v>138</v>
      </c>
      <c r="C62" s="165" t="s">
        <v>139</v>
      </c>
      <c r="D62" s="161">
        <f t="shared" si="1"/>
        <v>15253</v>
      </c>
      <c r="E62" s="161">
        <v>0</v>
      </c>
      <c r="F62" s="161">
        <f t="shared" si="2"/>
        <v>15253</v>
      </c>
      <c r="G62" s="161">
        <v>650</v>
      </c>
      <c r="H62" s="161">
        <f t="shared" si="3"/>
        <v>14603</v>
      </c>
      <c r="I62" s="161">
        <v>384</v>
      </c>
      <c r="J62" s="161">
        <v>14219</v>
      </c>
    </row>
    <row r="63" spans="1:10" x14ac:dyDescent="0.2">
      <c r="A63" s="833">
        <v>51</v>
      </c>
      <c r="B63" s="835" t="s">
        <v>140</v>
      </c>
      <c r="C63" s="165" t="s">
        <v>141</v>
      </c>
      <c r="D63" s="161">
        <f t="shared" si="1"/>
        <v>12440</v>
      </c>
      <c r="E63" s="161">
        <v>0</v>
      </c>
      <c r="F63" s="161">
        <f t="shared" si="2"/>
        <v>12440</v>
      </c>
      <c r="G63" s="161">
        <v>180</v>
      </c>
      <c r="H63" s="161">
        <f t="shared" si="3"/>
        <v>12260</v>
      </c>
      <c r="I63" s="161">
        <v>4</v>
      </c>
      <c r="J63" s="161">
        <v>12256</v>
      </c>
    </row>
    <row r="64" spans="1:10" x14ac:dyDescent="0.2">
      <c r="A64" s="833">
        <v>52</v>
      </c>
      <c r="B64" s="164" t="s">
        <v>142</v>
      </c>
      <c r="C64" s="163" t="s">
        <v>143</v>
      </c>
      <c r="D64" s="161">
        <f t="shared" si="1"/>
        <v>8899</v>
      </c>
      <c r="E64" s="161">
        <v>0</v>
      </c>
      <c r="F64" s="161">
        <f t="shared" si="2"/>
        <v>8899</v>
      </c>
      <c r="G64" s="161">
        <v>977</v>
      </c>
      <c r="H64" s="161">
        <f t="shared" si="3"/>
        <v>7922</v>
      </c>
      <c r="I64" s="161">
        <v>706</v>
      </c>
      <c r="J64" s="161">
        <v>7216</v>
      </c>
    </row>
    <row r="65" spans="1:10" x14ac:dyDescent="0.2">
      <c r="A65" s="833">
        <v>53</v>
      </c>
      <c r="B65" s="835" t="s">
        <v>144</v>
      </c>
      <c r="C65" s="165" t="s">
        <v>145</v>
      </c>
      <c r="D65" s="161">
        <f t="shared" si="1"/>
        <v>0</v>
      </c>
      <c r="E65" s="161">
        <v>0</v>
      </c>
      <c r="F65" s="161">
        <v>0</v>
      </c>
      <c r="G65" s="161">
        <v>0</v>
      </c>
      <c r="H65" s="161">
        <v>0</v>
      </c>
      <c r="I65" s="161">
        <v>0</v>
      </c>
      <c r="J65" s="161">
        <v>0</v>
      </c>
    </row>
    <row r="66" spans="1:10" x14ac:dyDescent="0.2">
      <c r="A66" s="833">
        <v>54</v>
      </c>
      <c r="B66" s="834" t="s">
        <v>146</v>
      </c>
      <c r="C66" s="31" t="s">
        <v>147</v>
      </c>
      <c r="D66" s="161">
        <f t="shared" si="1"/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</row>
    <row r="67" spans="1:10" x14ac:dyDescent="0.2">
      <c r="A67" s="833">
        <v>55</v>
      </c>
      <c r="B67" s="835" t="s">
        <v>148</v>
      </c>
      <c r="C67" s="165" t="s">
        <v>149</v>
      </c>
      <c r="D67" s="161">
        <f t="shared" si="1"/>
        <v>0</v>
      </c>
      <c r="E67" s="161">
        <v>0</v>
      </c>
      <c r="F67" s="161">
        <f t="shared" si="2"/>
        <v>0</v>
      </c>
      <c r="G67" s="161">
        <v>0</v>
      </c>
      <c r="H67" s="161">
        <f t="shared" si="3"/>
        <v>0</v>
      </c>
      <c r="I67" s="161">
        <v>0</v>
      </c>
      <c r="J67" s="161">
        <v>0</v>
      </c>
    </row>
    <row r="68" spans="1:10" x14ac:dyDescent="0.2">
      <c r="A68" s="833">
        <v>56</v>
      </c>
      <c r="B68" s="164" t="s">
        <v>150</v>
      </c>
      <c r="C68" s="165" t="s">
        <v>472</v>
      </c>
      <c r="D68" s="161">
        <f t="shared" si="1"/>
        <v>0</v>
      </c>
      <c r="E68" s="161">
        <v>0</v>
      </c>
      <c r="F68" s="161">
        <f t="shared" si="2"/>
        <v>0</v>
      </c>
      <c r="G68" s="161">
        <v>0</v>
      </c>
      <c r="H68" s="161">
        <f t="shared" si="3"/>
        <v>0</v>
      </c>
      <c r="I68" s="161">
        <v>0</v>
      </c>
      <c r="J68" s="161">
        <v>0</v>
      </c>
    </row>
    <row r="69" spans="1:10" x14ac:dyDescent="0.2">
      <c r="A69" s="833">
        <v>57</v>
      </c>
      <c r="B69" s="71" t="s">
        <v>152</v>
      </c>
      <c r="C69" s="31" t="s">
        <v>153</v>
      </c>
      <c r="D69" s="161">
        <f t="shared" si="1"/>
        <v>0</v>
      </c>
      <c r="E69" s="161">
        <v>0</v>
      </c>
      <c r="F69" s="161">
        <f t="shared" si="2"/>
        <v>0</v>
      </c>
      <c r="G69" s="161">
        <v>0</v>
      </c>
      <c r="H69" s="161">
        <f t="shared" si="3"/>
        <v>0</v>
      </c>
      <c r="I69" s="161">
        <v>0</v>
      </c>
      <c r="J69" s="161">
        <v>0</v>
      </c>
    </row>
    <row r="70" spans="1:10" x14ac:dyDescent="0.2">
      <c r="A70" s="833">
        <v>58</v>
      </c>
      <c r="B70" s="164" t="s">
        <v>154</v>
      </c>
      <c r="C70" s="165" t="s">
        <v>473</v>
      </c>
      <c r="D70" s="161">
        <f t="shared" si="1"/>
        <v>0</v>
      </c>
      <c r="E70" s="161">
        <v>0</v>
      </c>
      <c r="F70" s="161">
        <f t="shared" si="2"/>
        <v>0</v>
      </c>
      <c r="G70" s="161">
        <v>0</v>
      </c>
      <c r="H70" s="161">
        <f t="shared" si="3"/>
        <v>0</v>
      </c>
      <c r="I70" s="161">
        <v>0</v>
      </c>
      <c r="J70" s="161">
        <v>0</v>
      </c>
    </row>
    <row r="71" spans="1:10" x14ac:dyDescent="0.2">
      <c r="A71" s="833">
        <v>59</v>
      </c>
      <c r="B71" s="835" t="s">
        <v>156</v>
      </c>
      <c r="C71" s="31" t="s">
        <v>157</v>
      </c>
      <c r="D71" s="161">
        <f t="shared" si="1"/>
        <v>0</v>
      </c>
      <c r="E71" s="161">
        <v>0</v>
      </c>
      <c r="F71" s="161">
        <f t="shared" si="2"/>
        <v>0</v>
      </c>
      <c r="G71" s="161">
        <v>0</v>
      </c>
      <c r="H71" s="161">
        <f t="shared" si="3"/>
        <v>0</v>
      </c>
      <c r="I71" s="161">
        <v>0</v>
      </c>
      <c r="J71" s="161">
        <v>0</v>
      </c>
    </row>
    <row r="72" spans="1:10" ht="16.5" customHeight="1" x14ac:dyDescent="0.2">
      <c r="A72" s="833">
        <v>60</v>
      </c>
      <c r="B72" s="162" t="s">
        <v>158</v>
      </c>
      <c r="C72" s="165" t="s">
        <v>474</v>
      </c>
      <c r="D72" s="161">
        <f t="shared" si="1"/>
        <v>0</v>
      </c>
      <c r="E72" s="161">
        <v>0</v>
      </c>
      <c r="F72" s="161">
        <f t="shared" si="2"/>
        <v>0</v>
      </c>
      <c r="G72" s="161">
        <v>0</v>
      </c>
      <c r="H72" s="161">
        <f t="shared" si="3"/>
        <v>0</v>
      </c>
      <c r="I72" s="161">
        <v>0</v>
      </c>
      <c r="J72" s="161">
        <v>0</v>
      </c>
    </row>
    <row r="73" spans="1:10" ht="16.5" customHeight="1" x14ac:dyDescent="0.2">
      <c r="A73" s="833">
        <v>61</v>
      </c>
      <c r="B73" s="162" t="s">
        <v>160</v>
      </c>
      <c r="C73" s="165" t="s">
        <v>475</v>
      </c>
      <c r="D73" s="161">
        <f t="shared" si="1"/>
        <v>0</v>
      </c>
      <c r="E73" s="161">
        <v>0</v>
      </c>
      <c r="F73" s="161">
        <f t="shared" si="2"/>
        <v>0</v>
      </c>
      <c r="G73" s="161">
        <v>0</v>
      </c>
      <c r="H73" s="161">
        <f t="shared" si="3"/>
        <v>0</v>
      </c>
      <c r="I73" s="161">
        <v>0</v>
      </c>
      <c r="J73" s="161">
        <v>0</v>
      </c>
    </row>
    <row r="74" spans="1:10" x14ac:dyDescent="0.2">
      <c r="A74" s="833">
        <v>62</v>
      </c>
      <c r="B74" s="164" t="s">
        <v>162</v>
      </c>
      <c r="C74" s="165" t="s">
        <v>476</v>
      </c>
      <c r="D74" s="161">
        <f t="shared" si="1"/>
        <v>38269</v>
      </c>
      <c r="E74" s="161">
        <v>0</v>
      </c>
      <c r="F74" s="161">
        <f t="shared" si="2"/>
        <v>38269</v>
      </c>
      <c r="G74" s="161">
        <v>3000</v>
      </c>
      <c r="H74" s="161">
        <f t="shared" si="3"/>
        <v>35269</v>
      </c>
      <c r="I74" s="161">
        <v>0</v>
      </c>
      <c r="J74" s="161">
        <v>35269</v>
      </c>
    </row>
    <row r="75" spans="1:10" x14ac:dyDescent="0.2">
      <c r="A75" s="833">
        <v>63</v>
      </c>
      <c r="B75" s="164" t="s">
        <v>164</v>
      </c>
      <c r="C75" s="163" t="s">
        <v>165</v>
      </c>
      <c r="D75" s="161">
        <f t="shared" si="1"/>
        <v>27602</v>
      </c>
      <c r="E75" s="161">
        <v>0</v>
      </c>
      <c r="F75" s="161">
        <f t="shared" si="2"/>
        <v>27602</v>
      </c>
      <c r="G75" s="161">
        <v>0</v>
      </c>
      <c r="H75" s="161">
        <f t="shared" si="3"/>
        <v>27602</v>
      </c>
      <c r="I75" s="161">
        <v>0</v>
      </c>
      <c r="J75" s="161">
        <v>27602</v>
      </c>
    </row>
    <row r="76" spans="1:10" x14ac:dyDescent="0.2">
      <c r="A76" s="833">
        <v>64</v>
      </c>
      <c r="B76" s="164" t="s">
        <v>166</v>
      </c>
      <c r="C76" s="165" t="s">
        <v>477</v>
      </c>
      <c r="D76" s="161">
        <f t="shared" si="1"/>
        <v>77380</v>
      </c>
      <c r="E76" s="161">
        <v>0</v>
      </c>
      <c r="F76" s="161">
        <f t="shared" si="2"/>
        <v>77380</v>
      </c>
      <c r="G76" s="161">
        <v>4251</v>
      </c>
      <c r="H76" s="161">
        <f t="shared" si="3"/>
        <v>73129</v>
      </c>
      <c r="I76" s="161">
        <v>0</v>
      </c>
      <c r="J76" s="161">
        <v>73129</v>
      </c>
    </row>
    <row r="77" spans="1:10" x14ac:dyDescent="0.2">
      <c r="A77" s="833">
        <v>65</v>
      </c>
      <c r="B77" s="164" t="s">
        <v>168</v>
      </c>
      <c r="C77" s="165" t="s">
        <v>478</v>
      </c>
      <c r="D77" s="161">
        <f t="shared" si="1"/>
        <v>0</v>
      </c>
      <c r="E77" s="161">
        <v>0</v>
      </c>
      <c r="F77" s="161">
        <f t="shared" si="2"/>
        <v>0</v>
      </c>
      <c r="G77" s="161">
        <v>0</v>
      </c>
      <c r="H77" s="161">
        <f t="shared" si="3"/>
        <v>0</v>
      </c>
      <c r="I77" s="161">
        <v>0</v>
      </c>
      <c r="J77" s="161">
        <v>0</v>
      </c>
    </row>
    <row r="78" spans="1:10" x14ac:dyDescent="0.2">
      <c r="A78" s="833">
        <v>66</v>
      </c>
      <c r="B78" s="162" t="s">
        <v>170</v>
      </c>
      <c r="C78" s="165" t="s">
        <v>479</v>
      </c>
      <c r="D78" s="161">
        <f t="shared" si="1"/>
        <v>2703</v>
      </c>
      <c r="E78" s="161">
        <v>0</v>
      </c>
      <c r="F78" s="161">
        <f t="shared" si="2"/>
        <v>2703</v>
      </c>
      <c r="G78" s="161">
        <v>0</v>
      </c>
      <c r="H78" s="161">
        <f t="shared" si="3"/>
        <v>2703</v>
      </c>
      <c r="I78" s="161">
        <v>2703</v>
      </c>
      <c r="J78" s="161">
        <v>0</v>
      </c>
    </row>
    <row r="79" spans="1:10" x14ac:dyDescent="0.2">
      <c r="A79" s="833">
        <v>67</v>
      </c>
      <c r="B79" s="164" t="s">
        <v>172</v>
      </c>
      <c r="C79" s="165" t="s">
        <v>480</v>
      </c>
      <c r="D79" s="161">
        <f t="shared" si="1"/>
        <v>0</v>
      </c>
      <c r="E79" s="161">
        <v>0</v>
      </c>
      <c r="F79" s="161">
        <f t="shared" si="2"/>
        <v>0</v>
      </c>
      <c r="G79" s="161">
        <v>0</v>
      </c>
      <c r="H79" s="161">
        <f t="shared" si="3"/>
        <v>0</v>
      </c>
      <c r="I79" s="161">
        <v>0</v>
      </c>
      <c r="J79" s="161">
        <v>0</v>
      </c>
    </row>
    <row r="80" spans="1:10" x14ac:dyDescent="0.2">
      <c r="A80" s="833">
        <v>68</v>
      </c>
      <c r="B80" s="164" t="s">
        <v>174</v>
      </c>
      <c r="C80" s="165" t="s">
        <v>481</v>
      </c>
      <c r="D80" s="161">
        <f t="shared" ref="D80:D143" si="4">E80+F80</f>
        <v>0</v>
      </c>
      <c r="E80" s="161">
        <v>0</v>
      </c>
      <c r="F80" s="161">
        <f t="shared" ref="F80:F142" si="5">G80+H80</f>
        <v>0</v>
      </c>
      <c r="G80" s="161">
        <v>0</v>
      </c>
      <c r="H80" s="161">
        <f t="shared" ref="H80:H142" si="6">I80+J80</f>
        <v>0</v>
      </c>
      <c r="I80" s="161">
        <v>0</v>
      </c>
      <c r="J80" s="161">
        <v>0</v>
      </c>
    </row>
    <row r="81" spans="1:10" x14ac:dyDescent="0.2">
      <c r="A81" s="833">
        <v>69</v>
      </c>
      <c r="B81" s="162" t="s">
        <v>176</v>
      </c>
      <c r="C81" s="165" t="s">
        <v>482</v>
      </c>
      <c r="D81" s="161">
        <f t="shared" si="4"/>
        <v>68</v>
      </c>
      <c r="E81" s="161">
        <v>0</v>
      </c>
      <c r="F81" s="161">
        <f t="shared" si="5"/>
        <v>68</v>
      </c>
      <c r="G81" s="161">
        <v>0</v>
      </c>
      <c r="H81" s="161">
        <f t="shared" si="6"/>
        <v>68</v>
      </c>
      <c r="I81" s="161">
        <v>68</v>
      </c>
      <c r="J81" s="161">
        <v>0</v>
      </c>
    </row>
    <row r="82" spans="1:10" x14ac:dyDescent="0.2">
      <c r="A82" s="833">
        <v>70</v>
      </c>
      <c r="B82" s="162" t="s">
        <v>178</v>
      </c>
      <c r="C82" s="165" t="s">
        <v>483</v>
      </c>
      <c r="D82" s="161">
        <f t="shared" si="4"/>
        <v>0</v>
      </c>
      <c r="E82" s="161">
        <v>0</v>
      </c>
      <c r="F82" s="161">
        <f t="shared" si="5"/>
        <v>0</v>
      </c>
      <c r="G82" s="161">
        <v>0</v>
      </c>
      <c r="H82" s="161">
        <f t="shared" si="6"/>
        <v>0</v>
      </c>
      <c r="I82" s="161">
        <v>0</v>
      </c>
      <c r="J82" s="161">
        <v>0</v>
      </c>
    </row>
    <row r="83" spans="1:10" x14ac:dyDescent="0.2">
      <c r="A83" s="833">
        <v>71</v>
      </c>
      <c r="B83" s="162" t="s">
        <v>180</v>
      </c>
      <c r="C83" s="165" t="s">
        <v>484</v>
      </c>
      <c r="D83" s="161">
        <f t="shared" si="4"/>
        <v>0</v>
      </c>
      <c r="E83" s="161">
        <v>0</v>
      </c>
      <c r="F83" s="161">
        <f t="shared" si="5"/>
        <v>0</v>
      </c>
      <c r="G83" s="161">
        <v>0</v>
      </c>
      <c r="H83" s="161">
        <f t="shared" si="6"/>
        <v>0</v>
      </c>
      <c r="I83" s="161">
        <v>0</v>
      </c>
      <c r="J83" s="161">
        <v>0</v>
      </c>
    </row>
    <row r="84" spans="1:10" x14ac:dyDescent="0.2">
      <c r="A84" s="833">
        <v>72</v>
      </c>
      <c r="B84" s="835" t="s">
        <v>182</v>
      </c>
      <c r="C84" s="165" t="s">
        <v>183</v>
      </c>
      <c r="D84" s="161">
        <f t="shared" si="4"/>
        <v>25758</v>
      </c>
      <c r="E84" s="161">
        <v>0</v>
      </c>
      <c r="F84" s="161">
        <f t="shared" si="5"/>
        <v>25758</v>
      </c>
      <c r="G84" s="161">
        <v>1000</v>
      </c>
      <c r="H84" s="161">
        <f t="shared" si="6"/>
        <v>24758</v>
      </c>
      <c r="I84" s="161">
        <v>6</v>
      </c>
      <c r="J84" s="161">
        <v>24752</v>
      </c>
    </row>
    <row r="85" spans="1:10" x14ac:dyDescent="0.2">
      <c r="A85" s="833">
        <v>73</v>
      </c>
      <c r="B85" s="162" t="s">
        <v>184</v>
      </c>
      <c r="C85" s="165" t="s">
        <v>485</v>
      </c>
      <c r="D85" s="161">
        <f t="shared" si="4"/>
        <v>86638</v>
      </c>
      <c r="E85" s="161">
        <v>0</v>
      </c>
      <c r="F85" s="161">
        <f t="shared" si="5"/>
        <v>86638</v>
      </c>
      <c r="G85" s="161">
        <v>2188</v>
      </c>
      <c r="H85" s="161">
        <f t="shared" si="6"/>
        <v>84450</v>
      </c>
      <c r="I85" s="161">
        <v>0</v>
      </c>
      <c r="J85" s="161">
        <v>84450</v>
      </c>
    </row>
    <row r="86" spans="1:10" x14ac:dyDescent="0.2">
      <c r="A86" s="833">
        <v>74</v>
      </c>
      <c r="B86" s="835" t="s">
        <v>186</v>
      </c>
      <c r="C86" s="165" t="s">
        <v>187</v>
      </c>
      <c r="D86" s="161">
        <f t="shared" si="4"/>
        <v>70649</v>
      </c>
      <c r="E86" s="161">
        <v>0</v>
      </c>
      <c r="F86" s="161">
        <f t="shared" si="5"/>
        <v>70649</v>
      </c>
      <c r="G86" s="161">
        <v>2500</v>
      </c>
      <c r="H86" s="161">
        <f t="shared" si="6"/>
        <v>68149</v>
      </c>
      <c r="I86" s="161">
        <v>633</v>
      </c>
      <c r="J86" s="161">
        <v>67516</v>
      </c>
    </row>
    <row r="87" spans="1:10" x14ac:dyDescent="0.2">
      <c r="A87" s="833">
        <v>75</v>
      </c>
      <c r="B87" s="71" t="s">
        <v>188</v>
      </c>
      <c r="C87" s="31" t="s">
        <v>189</v>
      </c>
      <c r="D87" s="161">
        <f t="shared" si="4"/>
        <v>33879</v>
      </c>
      <c r="E87" s="161">
        <v>0</v>
      </c>
      <c r="F87" s="161">
        <f t="shared" si="5"/>
        <v>33879</v>
      </c>
      <c r="G87" s="161">
        <v>2960</v>
      </c>
      <c r="H87" s="161">
        <f t="shared" si="6"/>
        <v>30919</v>
      </c>
      <c r="I87" s="161">
        <v>1312</v>
      </c>
      <c r="J87" s="161">
        <v>29607</v>
      </c>
    </row>
    <row r="88" spans="1:10" x14ac:dyDescent="0.2">
      <c r="A88" s="833">
        <v>76</v>
      </c>
      <c r="B88" s="162" t="s">
        <v>190</v>
      </c>
      <c r="C88" s="165" t="s">
        <v>191</v>
      </c>
      <c r="D88" s="161">
        <f t="shared" si="4"/>
        <v>43942</v>
      </c>
      <c r="E88" s="161">
        <v>0</v>
      </c>
      <c r="F88" s="161">
        <f t="shared" si="5"/>
        <v>43942</v>
      </c>
      <c r="G88" s="161">
        <v>2500</v>
      </c>
      <c r="H88" s="161">
        <f t="shared" si="6"/>
        <v>41442</v>
      </c>
      <c r="I88" s="161">
        <v>0</v>
      </c>
      <c r="J88" s="161">
        <v>41442</v>
      </c>
    </row>
    <row r="89" spans="1:10" x14ac:dyDescent="0.2">
      <c r="A89" s="833">
        <v>77</v>
      </c>
      <c r="B89" s="71" t="s">
        <v>192</v>
      </c>
      <c r="C89" s="31" t="s">
        <v>193</v>
      </c>
      <c r="D89" s="161">
        <f t="shared" si="4"/>
        <v>0</v>
      </c>
      <c r="E89" s="161">
        <v>0</v>
      </c>
      <c r="F89" s="161">
        <f t="shared" si="5"/>
        <v>0</v>
      </c>
      <c r="G89" s="161">
        <v>0</v>
      </c>
      <c r="H89" s="161">
        <f t="shared" si="6"/>
        <v>0</v>
      </c>
      <c r="I89" s="161">
        <v>0</v>
      </c>
      <c r="J89" s="161">
        <v>0</v>
      </c>
    </row>
    <row r="90" spans="1:10" x14ac:dyDescent="0.2">
      <c r="A90" s="833">
        <v>78</v>
      </c>
      <c r="B90" s="162" t="s">
        <v>194</v>
      </c>
      <c r="C90" s="165" t="s">
        <v>486</v>
      </c>
      <c r="D90" s="161">
        <f t="shared" si="4"/>
        <v>80028</v>
      </c>
      <c r="E90" s="161">
        <v>0</v>
      </c>
      <c r="F90" s="161">
        <f t="shared" si="5"/>
        <v>80028</v>
      </c>
      <c r="G90" s="161">
        <v>4500</v>
      </c>
      <c r="H90" s="161">
        <f t="shared" si="6"/>
        <v>75528</v>
      </c>
      <c r="I90" s="161">
        <v>2950</v>
      </c>
      <c r="J90" s="161">
        <v>72578</v>
      </c>
    </row>
    <row r="91" spans="1:10" x14ac:dyDescent="0.2">
      <c r="A91" s="833">
        <v>79</v>
      </c>
      <c r="B91" s="71" t="s">
        <v>196</v>
      </c>
      <c r="C91" s="31" t="s">
        <v>197</v>
      </c>
      <c r="D91" s="161">
        <f t="shared" si="4"/>
        <v>1600</v>
      </c>
      <c r="E91" s="161">
        <v>1600</v>
      </c>
      <c r="F91" s="161">
        <f t="shared" si="5"/>
        <v>0</v>
      </c>
      <c r="G91" s="161">
        <v>0</v>
      </c>
      <c r="H91" s="161">
        <f t="shared" si="6"/>
        <v>0</v>
      </c>
      <c r="I91" s="161">
        <v>0</v>
      </c>
      <c r="J91" s="161">
        <v>0</v>
      </c>
    </row>
    <row r="92" spans="1:10" x14ac:dyDescent="0.2">
      <c r="A92" s="833">
        <v>80</v>
      </c>
      <c r="B92" s="164" t="s">
        <v>30</v>
      </c>
      <c r="C92" s="50" t="s">
        <v>198</v>
      </c>
      <c r="D92" s="161">
        <f t="shared" si="4"/>
        <v>0</v>
      </c>
      <c r="E92" s="161">
        <v>0</v>
      </c>
      <c r="F92" s="161">
        <v>0</v>
      </c>
      <c r="G92" s="161">
        <v>0</v>
      </c>
      <c r="H92" s="161">
        <v>0</v>
      </c>
      <c r="I92" s="161">
        <v>0</v>
      </c>
      <c r="J92" s="161"/>
    </row>
    <row r="93" spans="1:10" x14ac:dyDescent="0.2">
      <c r="A93" s="959">
        <v>81</v>
      </c>
      <c r="B93" s="994" t="s">
        <v>199</v>
      </c>
      <c r="C93" s="168" t="s">
        <v>200</v>
      </c>
      <c r="D93" s="161">
        <f t="shared" si="4"/>
        <v>989</v>
      </c>
      <c r="E93" s="161">
        <v>0</v>
      </c>
      <c r="F93" s="161">
        <f t="shared" si="5"/>
        <v>989</v>
      </c>
      <c r="G93" s="161">
        <v>130</v>
      </c>
      <c r="H93" s="161">
        <f t="shared" si="6"/>
        <v>859</v>
      </c>
      <c r="I93" s="161">
        <v>0</v>
      </c>
      <c r="J93" s="161">
        <v>859</v>
      </c>
    </row>
    <row r="94" spans="1:10" ht="24" x14ac:dyDescent="0.2">
      <c r="A94" s="959"/>
      <c r="B94" s="994"/>
      <c r="C94" s="31" t="s">
        <v>201</v>
      </c>
      <c r="D94" s="161">
        <f t="shared" si="4"/>
        <v>989</v>
      </c>
      <c r="E94" s="161">
        <v>0</v>
      </c>
      <c r="F94" s="161">
        <f t="shared" si="5"/>
        <v>989</v>
      </c>
      <c r="G94" s="161">
        <v>130</v>
      </c>
      <c r="H94" s="161">
        <f t="shared" si="6"/>
        <v>859</v>
      </c>
      <c r="I94" s="161">
        <v>0</v>
      </c>
      <c r="J94" s="161">
        <v>859</v>
      </c>
    </row>
    <row r="95" spans="1:10" x14ac:dyDescent="0.2">
      <c r="A95" s="959"/>
      <c r="B95" s="994"/>
      <c r="C95" s="165" t="s">
        <v>202</v>
      </c>
      <c r="D95" s="161">
        <f t="shared" si="4"/>
        <v>0</v>
      </c>
      <c r="E95" s="161">
        <v>0</v>
      </c>
      <c r="F95" s="161">
        <f t="shared" si="5"/>
        <v>0</v>
      </c>
      <c r="G95" s="161">
        <v>0</v>
      </c>
      <c r="H95" s="161">
        <f t="shared" si="6"/>
        <v>0</v>
      </c>
      <c r="I95" s="161">
        <v>0</v>
      </c>
      <c r="J95" s="161">
        <v>0</v>
      </c>
    </row>
    <row r="96" spans="1:10" ht="24" x14ac:dyDescent="0.2">
      <c r="A96" s="959"/>
      <c r="B96" s="994"/>
      <c r="C96" s="131" t="s">
        <v>203</v>
      </c>
      <c r="D96" s="161">
        <f t="shared" si="4"/>
        <v>0</v>
      </c>
      <c r="E96" s="161">
        <v>0</v>
      </c>
      <c r="F96" s="161">
        <v>0</v>
      </c>
      <c r="G96" s="161">
        <v>0</v>
      </c>
      <c r="H96" s="161">
        <v>0</v>
      </c>
      <c r="I96" s="161">
        <v>0</v>
      </c>
      <c r="J96" s="161">
        <v>0</v>
      </c>
    </row>
    <row r="97" spans="1:10" x14ac:dyDescent="0.2">
      <c r="A97" s="833">
        <v>82</v>
      </c>
      <c r="B97" s="164" t="s">
        <v>204</v>
      </c>
      <c r="C97" s="163" t="s">
        <v>205</v>
      </c>
      <c r="D97" s="161">
        <f t="shared" si="4"/>
        <v>0</v>
      </c>
      <c r="E97" s="161">
        <v>0</v>
      </c>
      <c r="F97" s="161">
        <f t="shared" si="5"/>
        <v>0</v>
      </c>
      <c r="G97" s="161">
        <v>0</v>
      </c>
      <c r="H97" s="161">
        <f t="shared" si="6"/>
        <v>0</v>
      </c>
      <c r="I97" s="161">
        <v>0</v>
      </c>
      <c r="J97" s="161">
        <v>0</v>
      </c>
    </row>
    <row r="98" spans="1:10" x14ac:dyDescent="0.2">
      <c r="A98" s="833">
        <v>83</v>
      </c>
      <c r="B98" s="164" t="s">
        <v>206</v>
      </c>
      <c r="C98" s="31" t="s">
        <v>207</v>
      </c>
      <c r="D98" s="161">
        <f t="shared" si="4"/>
        <v>7310</v>
      </c>
      <c r="E98" s="161">
        <v>0</v>
      </c>
      <c r="F98" s="161">
        <f t="shared" si="5"/>
        <v>7310</v>
      </c>
      <c r="G98" s="161">
        <v>0</v>
      </c>
      <c r="H98" s="161">
        <f t="shared" si="6"/>
        <v>7310</v>
      </c>
      <c r="I98" s="161">
        <v>0</v>
      </c>
      <c r="J98" s="161">
        <v>7310</v>
      </c>
    </row>
    <row r="99" spans="1:10" x14ac:dyDescent="0.2">
      <c r="A99" s="833">
        <v>84</v>
      </c>
      <c r="B99" s="835" t="s">
        <v>208</v>
      </c>
      <c r="C99" s="165" t="s">
        <v>209</v>
      </c>
      <c r="D99" s="161">
        <f t="shared" si="4"/>
        <v>4781</v>
      </c>
      <c r="E99" s="161">
        <v>0</v>
      </c>
      <c r="F99" s="161">
        <f t="shared" si="5"/>
        <v>4781</v>
      </c>
      <c r="G99" s="161">
        <v>1320</v>
      </c>
      <c r="H99" s="161">
        <f t="shared" si="6"/>
        <v>3461</v>
      </c>
      <c r="I99" s="161">
        <v>0</v>
      </c>
      <c r="J99" s="161">
        <v>3461</v>
      </c>
    </row>
    <row r="100" spans="1:10" x14ac:dyDescent="0.2">
      <c r="A100" s="833">
        <v>85</v>
      </c>
      <c r="B100" s="164" t="s">
        <v>210</v>
      </c>
      <c r="C100" s="163" t="s">
        <v>211</v>
      </c>
      <c r="D100" s="161">
        <f t="shared" si="4"/>
        <v>7522</v>
      </c>
      <c r="E100" s="161">
        <v>0</v>
      </c>
      <c r="F100" s="161">
        <f t="shared" si="5"/>
        <v>7522</v>
      </c>
      <c r="G100" s="161">
        <v>100</v>
      </c>
      <c r="H100" s="161">
        <f t="shared" si="6"/>
        <v>7422</v>
      </c>
      <c r="I100" s="161">
        <v>207</v>
      </c>
      <c r="J100" s="161">
        <v>7215</v>
      </c>
    </row>
    <row r="101" spans="1:10" x14ac:dyDescent="0.2">
      <c r="A101" s="833">
        <v>86</v>
      </c>
      <c r="B101" s="835" t="s">
        <v>212</v>
      </c>
      <c r="C101" s="165" t="s">
        <v>213</v>
      </c>
      <c r="D101" s="161">
        <f t="shared" si="4"/>
        <v>6992</v>
      </c>
      <c r="E101" s="161">
        <v>0</v>
      </c>
      <c r="F101" s="161">
        <f t="shared" si="5"/>
        <v>6992</v>
      </c>
      <c r="G101" s="161">
        <v>280</v>
      </c>
      <c r="H101" s="161">
        <f t="shared" si="6"/>
        <v>6712</v>
      </c>
      <c r="I101" s="161">
        <v>0</v>
      </c>
      <c r="J101" s="161">
        <v>6712</v>
      </c>
    </row>
    <row r="102" spans="1:10" x14ac:dyDescent="0.2">
      <c r="A102" s="833">
        <v>87</v>
      </c>
      <c r="B102" s="835" t="s">
        <v>214</v>
      </c>
      <c r="C102" s="165" t="s">
        <v>215</v>
      </c>
      <c r="D102" s="161">
        <f t="shared" si="4"/>
        <v>22053</v>
      </c>
      <c r="E102" s="161">
        <v>0</v>
      </c>
      <c r="F102" s="161">
        <f t="shared" si="5"/>
        <v>22053</v>
      </c>
      <c r="G102" s="161">
        <v>270</v>
      </c>
      <c r="H102" s="161">
        <f t="shared" si="6"/>
        <v>21783</v>
      </c>
      <c r="I102" s="161">
        <v>11</v>
      </c>
      <c r="J102" s="161">
        <v>21772</v>
      </c>
    </row>
    <row r="103" spans="1:10" x14ac:dyDescent="0.2">
      <c r="A103" s="833">
        <v>88</v>
      </c>
      <c r="B103" s="164" t="s">
        <v>216</v>
      </c>
      <c r="C103" s="31" t="s">
        <v>217</v>
      </c>
      <c r="D103" s="161">
        <f t="shared" si="4"/>
        <v>10541</v>
      </c>
      <c r="E103" s="161">
        <v>0</v>
      </c>
      <c r="F103" s="161">
        <f t="shared" si="5"/>
        <v>10541</v>
      </c>
      <c r="G103" s="161">
        <v>315</v>
      </c>
      <c r="H103" s="161">
        <f t="shared" si="6"/>
        <v>10226</v>
      </c>
      <c r="I103" s="161">
        <v>0</v>
      </c>
      <c r="J103" s="161">
        <v>10226</v>
      </c>
    </row>
    <row r="104" spans="1:10" x14ac:dyDescent="0.2">
      <c r="A104" s="833">
        <v>89</v>
      </c>
      <c r="B104" s="162" t="s">
        <v>218</v>
      </c>
      <c r="C104" s="163" t="s">
        <v>219</v>
      </c>
      <c r="D104" s="161">
        <f t="shared" si="4"/>
        <v>23082</v>
      </c>
      <c r="E104" s="161">
        <v>0</v>
      </c>
      <c r="F104" s="161">
        <f t="shared" si="5"/>
        <v>23082</v>
      </c>
      <c r="G104" s="161">
        <v>301</v>
      </c>
      <c r="H104" s="161">
        <f t="shared" si="6"/>
        <v>22781</v>
      </c>
      <c r="I104" s="161">
        <v>0</v>
      </c>
      <c r="J104" s="161">
        <v>22781</v>
      </c>
    </row>
    <row r="105" spans="1:10" x14ac:dyDescent="0.2">
      <c r="A105" s="833">
        <v>90</v>
      </c>
      <c r="B105" s="162" t="s">
        <v>220</v>
      </c>
      <c r="C105" s="163" t="s">
        <v>221</v>
      </c>
      <c r="D105" s="161">
        <f t="shared" si="4"/>
        <v>23011</v>
      </c>
      <c r="E105" s="161">
        <v>0</v>
      </c>
      <c r="F105" s="161">
        <f t="shared" si="5"/>
        <v>23011</v>
      </c>
      <c r="G105" s="161">
        <v>800</v>
      </c>
      <c r="H105" s="161">
        <f t="shared" si="6"/>
        <v>22211</v>
      </c>
      <c r="I105" s="161">
        <v>118</v>
      </c>
      <c r="J105" s="161">
        <v>22093</v>
      </c>
    </row>
    <row r="106" spans="1:10" x14ac:dyDescent="0.2">
      <c r="A106" s="833">
        <v>91</v>
      </c>
      <c r="B106" s="835" t="s">
        <v>222</v>
      </c>
      <c r="C106" s="165" t="s">
        <v>223</v>
      </c>
      <c r="D106" s="161">
        <f t="shared" si="4"/>
        <v>7914</v>
      </c>
      <c r="E106" s="161">
        <v>0</v>
      </c>
      <c r="F106" s="161">
        <f t="shared" si="5"/>
        <v>7914</v>
      </c>
      <c r="G106" s="161">
        <v>80</v>
      </c>
      <c r="H106" s="161">
        <f t="shared" si="6"/>
        <v>7834</v>
      </c>
      <c r="I106" s="161">
        <v>0</v>
      </c>
      <c r="J106" s="161">
        <v>7834</v>
      </c>
    </row>
    <row r="107" spans="1:10" x14ac:dyDescent="0.2">
      <c r="A107" s="833">
        <v>92</v>
      </c>
      <c r="B107" s="71" t="s">
        <v>224</v>
      </c>
      <c r="C107" s="31" t="s">
        <v>225</v>
      </c>
      <c r="D107" s="161">
        <f t="shared" si="4"/>
        <v>20460</v>
      </c>
      <c r="E107" s="161">
        <v>0</v>
      </c>
      <c r="F107" s="161">
        <f t="shared" si="5"/>
        <v>20460</v>
      </c>
      <c r="G107" s="161">
        <v>214</v>
      </c>
      <c r="H107" s="161">
        <f t="shared" si="6"/>
        <v>20246</v>
      </c>
      <c r="I107" s="161">
        <v>0</v>
      </c>
      <c r="J107" s="161">
        <v>20246</v>
      </c>
    </row>
    <row r="108" spans="1:10" x14ac:dyDescent="0.2">
      <c r="A108" s="833">
        <v>93</v>
      </c>
      <c r="B108" s="162" t="s">
        <v>226</v>
      </c>
      <c r="C108" s="163" t="s">
        <v>227</v>
      </c>
      <c r="D108" s="161">
        <f t="shared" si="4"/>
        <v>10903</v>
      </c>
      <c r="E108" s="161">
        <v>0</v>
      </c>
      <c r="F108" s="161">
        <f t="shared" si="5"/>
        <v>10903</v>
      </c>
      <c r="G108" s="161">
        <v>802</v>
      </c>
      <c r="H108" s="161">
        <f t="shared" si="6"/>
        <v>10101</v>
      </c>
      <c r="I108" s="161">
        <v>0</v>
      </c>
      <c r="J108" s="161">
        <v>10101</v>
      </c>
    </row>
    <row r="109" spans="1:10" x14ac:dyDescent="0.2">
      <c r="A109" s="833">
        <v>94</v>
      </c>
      <c r="B109" s="164" t="s">
        <v>32</v>
      </c>
      <c r="C109" s="163" t="s">
        <v>33</v>
      </c>
      <c r="D109" s="161">
        <f t="shared" si="4"/>
        <v>7595</v>
      </c>
      <c r="E109" s="161">
        <v>0</v>
      </c>
      <c r="F109" s="161">
        <f t="shared" si="5"/>
        <v>7595</v>
      </c>
      <c r="G109" s="161">
        <v>500</v>
      </c>
      <c r="H109" s="161">
        <f t="shared" si="6"/>
        <v>7095</v>
      </c>
      <c r="I109" s="161">
        <v>0</v>
      </c>
      <c r="J109" s="161">
        <v>7095</v>
      </c>
    </row>
    <row r="110" spans="1:10" x14ac:dyDescent="0.2">
      <c r="A110" s="833">
        <v>95</v>
      </c>
      <c r="B110" s="835" t="s">
        <v>228</v>
      </c>
      <c r="C110" s="165" t="s">
        <v>229</v>
      </c>
      <c r="D110" s="161">
        <f t="shared" si="4"/>
        <v>6725</v>
      </c>
      <c r="E110" s="161">
        <v>0</v>
      </c>
      <c r="F110" s="161">
        <f t="shared" si="5"/>
        <v>6725</v>
      </c>
      <c r="G110" s="161">
        <v>290</v>
      </c>
      <c r="H110" s="161">
        <f t="shared" si="6"/>
        <v>6435</v>
      </c>
      <c r="I110" s="161">
        <v>60</v>
      </c>
      <c r="J110" s="161">
        <v>6375</v>
      </c>
    </row>
    <row r="111" spans="1:10" x14ac:dyDescent="0.2">
      <c r="A111" s="833">
        <v>96</v>
      </c>
      <c r="B111" s="162" t="s">
        <v>230</v>
      </c>
      <c r="C111" s="163" t="s">
        <v>231</v>
      </c>
      <c r="D111" s="161">
        <f t="shared" si="4"/>
        <v>23450</v>
      </c>
      <c r="E111" s="161">
        <v>0</v>
      </c>
      <c r="F111" s="161">
        <f t="shared" si="5"/>
        <v>23450</v>
      </c>
      <c r="G111" s="161">
        <v>600</v>
      </c>
      <c r="H111" s="161">
        <f t="shared" si="6"/>
        <v>22850</v>
      </c>
      <c r="I111" s="161">
        <v>70</v>
      </c>
      <c r="J111" s="161">
        <v>22780</v>
      </c>
    </row>
    <row r="112" spans="1:10" x14ac:dyDescent="0.2">
      <c r="A112" s="833">
        <v>97</v>
      </c>
      <c r="B112" s="162" t="s">
        <v>232</v>
      </c>
      <c r="C112" s="165" t="s">
        <v>233</v>
      </c>
      <c r="D112" s="161">
        <f t="shared" si="4"/>
        <v>932</v>
      </c>
      <c r="E112" s="161">
        <v>932</v>
      </c>
      <c r="F112" s="161">
        <f t="shared" si="5"/>
        <v>0</v>
      </c>
      <c r="G112" s="161">
        <v>0</v>
      </c>
      <c r="H112" s="161">
        <f t="shared" si="6"/>
        <v>0</v>
      </c>
      <c r="I112" s="161">
        <v>0</v>
      </c>
      <c r="J112" s="161">
        <v>0</v>
      </c>
    </row>
    <row r="113" spans="1:10" x14ac:dyDescent="0.2">
      <c r="A113" s="833">
        <v>98</v>
      </c>
      <c r="B113" s="162" t="s">
        <v>234</v>
      </c>
      <c r="C113" s="163" t="s">
        <v>235</v>
      </c>
      <c r="D113" s="161">
        <f t="shared" si="4"/>
        <v>0</v>
      </c>
      <c r="E113" s="161">
        <v>0</v>
      </c>
      <c r="F113" s="161">
        <v>0</v>
      </c>
      <c r="G113" s="161">
        <v>0</v>
      </c>
      <c r="H113" s="161">
        <v>0</v>
      </c>
      <c r="I113" s="161">
        <v>0</v>
      </c>
      <c r="J113" s="161">
        <v>0</v>
      </c>
    </row>
    <row r="114" spans="1:10" x14ac:dyDescent="0.2">
      <c r="A114" s="833">
        <v>99</v>
      </c>
      <c r="B114" s="835" t="s">
        <v>236</v>
      </c>
      <c r="C114" s="165" t="s">
        <v>237</v>
      </c>
      <c r="D114" s="161">
        <f t="shared" si="4"/>
        <v>0</v>
      </c>
      <c r="E114" s="161">
        <v>0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</row>
    <row r="115" spans="1:10" x14ac:dyDescent="0.2">
      <c r="A115" s="833">
        <v>100</v>
      </c>
      <c r="B115" s="835" t="s">
        <v>238</v>
      </c>
      <c r="C115" s="165" t="s">
        <v>239</v>
      </c>
      <c r="D115" s="161">
        <f t="shared" si="4"/>
        <v>0</v>
      </c>
      <c r="E115" s="161">
        <v>0</v>
      </c>
      <c r="F115" s="161">
        <v>0</v>
      </c>
      <c r="G115" s="161">
        <v>0</v>
      </c>
      <c r="H115" s="161">
        <v>0</v>
      </c>
      <c r="I115" s="161">
        <v>0</v>
      </c>
      <c r="J115" s="161">
        <v>0</v>
      </c>
    </row>
    <row r="116" spans="1:10" x14ac:dyDescent="0.2">
      <c r="A116" s="833">
        <v>101</v>
      </c>
      <c r="B116" s="835" t="s">
        <v>240</v>
      </c>
      <c r="C116" s="165" t="s">
        <v>241</v>
      </c>
      <c r="D116" s="161">
        <f t="shared" si="4"/>
        <v>0</v>
      </c>
      <c r="E116" s="161">
        <v>0</v>
      </c>
      <c r="F116" s="161">
        <v>0</v>
      </c>
      <c r="G116" s="161">
        <v>0</v>
      </c>
      <c r="H116" s="161">
        <v>0</v>
      </c>
      <c r="I116" s="161">
        <v>0</v>
      </c>
      <c r="J116" s="161">
        <v>0</v>
      </c>
    </row>
    <row r="117" spans="1:10" x14ac:dyDescent="0.2">
      <c r="A117" s="833">
        <v>102</v>
      </c>
      <c r="B117" s="835" t="s">
        <v>242</v>
      </c>
      <c r="C117" s="165" t="s">
        <v>243</v>
      </c>
      <c r="D117" s="161">
        <f t="shared" si="4"/>
        <v>0</v>
      </c>
      <c r="E117" s="161">
        <v>0</v>
      </c>
      <c r="F117" s="161">
        <v>0</v>
      </c>
      <c r="G117" s="161">
        <v>0</v>
      </c>
      <c r="H117" s="161">
        <v>0</v>
      </c>
      <c r="I117" s="161">
        <v>0</v>
      </c>
      <c r="J117" s="161">
        <v>0</v>
      </c>
    </row>
    <row r="118" spans="1:10" x14ac:dyDescent="0.2">
      <c r="A118" s="833">
        <v>103</v>
      </c>
      <c r="B118" s="835" t="s">
        <v>244</v>
      </c>
      <c r="C118" s="165" t="s">
        <v>245</v>
      </c>
      <c r="D118" s="161">
        <f t="shared" si="4"/>
        <v>3940</v>
      </c>
      <c r="E118" s="161">
        <v>3940</v>
      </c>
      <c r="F118" s="161">
        <f t="shared" si="5"/>
        <v>0</v>
      </c>
      <c r="G118" s="161">
        <v>0</v>
      </c>
      <c r="H118" s="161">
        <f t="shared" si="6"/>
        <v>0</v>
      </c>
      <c r="I118" s="161">
        <v>0</v>
      </c>
      <c r="J118" s="161">
        <v>0</v>
      </c>
    </row>
    <row r="119" spans="1:10" x14ac:dyDescent="0.2">
      <c r="A119" s="833">
        <v>104</v>
      </c>
      <c r="B119" s="169" t="s">
        <v>246</v>
      </c>
      <c r="C119" s="170" t="s">
        <v>247</v>
      </c>
      <c r="D119" s="161">
        <f t="shared" si="4"/>
        <v>0</v>
      </c>
      <c r="E119" s="161">
        <v>0</v>
      </c>
      <c r="F119" s="161">
        <v>0</v>
      </c>
      <c r="G119" s="161">
        <v>0</v>
      </c>
      <c r="H119" s="161">
        <v>0</v>
      </c>
      <c r="I119" s="161">
        <v>0</v>
      </c>
      <c r="J119" s="161">
        <v>0</v>
      </c>
    </row>
    <row r="120" spans="1:10" x14ac:dyDescent="0.2">
      <c r="A120" s="833">
        <v>105</v>
      </c>
      <c r="B120" s="164" t="s">
        <v>248</v>
      </c>
      <c r="C120" s="163" t="s">
        <v>249</v>
      </c>
      <c r="D120" s="161">
        <f t="shared" si="4"/>
        <v>0</v>
      </c>
      <c r="E120" s="161">
        <v>0</v>
      </c>
      <c r="F120" s="161">
        <v>0</v>
      </c>
      <c r="G120" s="161">
        <v>0</v>
      </c>
      <c r="H120" s="161">
        <v>0</v>
      </c>
      <c r="I120" s="161">
        <v>0</v>
      </c>
      <c r="J120" s="161">
        <v>0</v>
      </c>
    </row>
    <row r="121" spans="1:10" x14ac:dyDescent="0.2">
      <c r="A121" s="833">
        <v>106</v>
      </c>
      <c r="B121" s="835" t="s">
        <v>250</v>
      </c>
      <c r="C121" s="165" t="s">
        <v>251</v>
      </c>
      <c r="D121" s="161">
        <f t="shared" si="4"/>
        <v>0</v>
      </c>
      <c r="E121" s="161">
        <v>0</v>
      </c>
      <c r="F121" s="161">
        <v>0</v>
      </c>
      <c r="G121" s="161">
        <v>0</v>
      </c>
      <c r="H121" s="161">
        <v>0</v>
      </c>
      <c r="I121" s="161">
        <v>0</v>
      </c>
      <c r="J121" s="161">
        <v>0</v>
      </c>
    </row>
    <row r="122" spans="1:10" x14ac:dyDescent="0.2">
      <c r="A122" s="833">
        <v>107</v>
      </c>
      <c r="B122" s="162" t="s">
        <v>252</v>
      </c>
      <c r="C122" s="171" t="s">
        <v>253</v>
      </c>
      <c r="D122" s="161">
        <f t="shared" si="4"/>
        <v>0</v>
      </c>
      <c r="E122" s="161">
        <v>0</v>
      </c>
      <c r="F122" s="161">
        <v>0</v>
      </c>
      <c r="G122" s="161">
        <v>0</v>
      </c>
      <c r="H122" s="161">
        <v>0</v>
      </c>
      <c r="I122" s="161">
        <v>0</v>
      </c>
      <c r="J122" s="161">
        <v>0</v>
      </c>
    </row>
    <row r="123" spans="1:10" x14ac:dyDescent="0.2">
      <c r="A123" s="833">
        <v>108</v>
      </c>
      <c r="B123" s="835" t="s">
        <v>254</v>
      </c>
      <c r="C123" s="31" t="s">
        <v>255</v>
      </c>
      <c r="D123" s="161">
        <f t="shared" si="4"/>
        <v>0</v>
      </c>
      <c r="E123" s="161">
        <v>0</v>
      </c>
      <c r="F123" s="161">
        <v>0</v>
      </c>
      <c r="G123" s="161">
        <v>0</v>
      </c>
      <c r="H123" s="161">
        <v>0</v>
      </c>
      <c r="I123" s="161">
        <v>0</v>
      </c>
      <c r="J123" s="161">
        <v>0</v>
      </c>
    </row>
    <row r="124" spans="1:10" x14ac:dyDescent="0.2">
      <c r="A124" s="833">
        <v>109</v>
      </c>
      <c r="B124" s="164" t="s">
        <v>256</v>
      </c>
      <c r="C124" s="165" t="s">
        <v>487</v>
      </c>
      <c r="D124" s="161">
        <f t="shared" si="4"/>
        <v>0</v>
      </c>
      <c r="E124" s="161">
        <v>0</v>
      </c>
      <c r="F124" s="161">
        <v>0</v>
      </c>
      <c r="G124" s="161">
        <v>0</v>
      </c>
      <c r="H124" s="161">
        <v>0</v>
      </c>
      <c r="I124" s="161">
        <v>0</v>
      </c>
      <c r="J124" s="161">
        <v>0</v>
      </c>
    </row>
    <row r="125" spans="1:10" x14ac:dyDescent="0.2">
      <c r="A125" s="833">
        <v>110</v>
      </c>
      <c r="B125" s="71" t="s">
        <v>258</v>
      </c>
      <c r="C125" s="31" t="s">
        <v>259</v>
      </c>
      <c r="D125" s="161">
        <f t="shared" si="4"/>
        <v>0</v>
      </c>
      <c r="E125" s="161">
        <v>0</v>
      </c>
      <c r="F125" s="161">
        <v>0</v>
      </c>
      <c r="G125" s="161">
        <v>0</v>
      </c>
      <c r="H125" s="161">
        <v>0</v>
      </c>
      <c r="I125" s="161">
        <v>0</v>
      </c>
      <c r="J125" s="161">
        <v>0</v>
      </c>
    </row>
    <row r="126" spans="1:10" x14ac:dyDescent="0.2">
      <c r="A126" s="833">
        <v>111</v>
      </c>
      <c r="B126" s="262" t="s">
        <v>551</v>
      </c>
      <c r="C126" s="261" t="s">
        <v>552</v>
      </c>
      <c r="D126" s="161">
        <f t="shared" si="4"/>
        <v>0</v>
      </c>
      <c r="E126" s="161">
        <v>0</v>
      </c>
      <c r="F126" s="161">
        <v>0</v>
      </c>
      <c r="G126" s="161">
        <v>0</v>
      </c>
      <c r="H126" s="161">
        <v>0</v>
      </c>
      <c r="I126" s="161">
        <v>0</v>
      </c>
      <c r="J126" s="161">
        <v>0</v>
      </c>
    </row>
    <row r="127" spans="1:10" x14ac:dyDescent="0.2">
      <c r="A127" s="833">
        <v>112</v>
      </c>
      <c r="B127" s="164" t="s">
        <v>260</v>
      </c>
      <c r="C127" s="31" t="s">
        <v>261</v>
      </c>
      <c r="D127" s="161">
        <f t="shared" si="4"/>
        <v>0</v>
      </c>
      <c r="E127" s="161">
        <v>0</v>
      </c>
      <c r="F127" s="161">
        <v>0</v>
      </c>
      <c r="G127" s="161">
        <v>0</v>
      </c>
      <c r="H127" s="161">
        <v>0</v>
      </c>
      <c r="I127" s="161">
        <v>0</v>
      </c>
      <c r="J127" s="161">
        <v>0</v>
      </c>
    </row>
    <row r="128" spans="1:10" x14ac:dyDescent="0.2">
      <c r="A128" s="833">
        <v>113</v>
      </c>
      <c r="B128" s="835" t="s">
        <v>262</v>
      </c>
      <c r="C128" s="165" t="s">
        <v>263</v>
      </c>
      <c r="D128" s="161">
        <f t="shared" si="4"/>
        <v>1080</v>
      </c>
      <c r="E128" s="161">
        <v>1080</v>
      </c>
      <c r="F128" s="161">
        <f t="shared" si="5"/>
        <v>0</v>
      </c>
      <c r="G128" s="161">
        <v>0</v>
      </c>
      <c r="H128" s="161">
        <f t="shared" si="6"/>
        <v>0</v>
      </c>
      <c r="I128" s="161">
        <v>0</v>
      </c>
      <c r="J128" s="161">
        <v>0</v>
      </c>
    </row>
    <row r="129" spans="1:10" x14ac:dyDescent="0.2">
      <c r="A129" s="833">
        <v>114</v>
      </c>
      <c r="B129" s="835" t="s">
        <v>264</v>
      </c>
      <c r="C129" s="134" t="s">
        <v>265</v>
      </c>
      <c r="D129" s="161">
        <f t="shared" si="4"/>
        <v>0</v>
      </c>
      <c r="E129" s="161">
        <v>0</v>
      </c>
      <c r="F129" s="161">
        <v>0</v>
      </c>
      <c r="G129" s="161">
        <v>0</v>
      </c>
      <c r="H129" s="161">
        <v>0</v>
      </c>
      <c r="I129" s="161">
        <v>0</v>
      </c>
      <c r="J129" s="161">
        <v>0</v>
      </c>
    </row>
    <row r="130" spans="1:10" x14ac:dyDescent="0.2">
      <c r="A130" s="833">
        <v>115</v>
      </c>
      <c r="B130" s="835" t="s">
        <v>266</v>
      </c>
      <c r="C130" s="165" t="s">
        <v>267</v>
      </c>
      <c r="D130" s="161">
        <f t="shared" si="4"/>
        <v>0</v>
      </c>
      <c r="E130" s="161">
        <v>0</v>
      </c>
      <c r="F130" s="161">
        <f t="shared" si="5"/>
        <v>0</v>
      </c>
      <c r="G130" s="161">
        <v>0</v>
      </c>
      <c r="H130" s="161">
        <f t="shared" si="6"/>
        <v>0</v>
      </c>
      <c r="I130" s="161">
        <v>0</v>
      </c>
      <c r="J130" s="161">
        <v>0</v>
      </c>
    </row>
    <row r="131" spans="1:10" x14ac:dyDescent="0.2">
      <c r="A131" s="833">
        <v>116</v>
      </c>
      <c r="B131" s="835" t="s">
        <v>268</v>
      </c>
      <c r="C131" s="165" t="s">
        <v>269</v>
      </c>
      <c r="D131" s="161">
        <f t="shared" si="4"/>
        <v>0</v>
      </c>
      <c r="E131" s="161">
        <v>0</v>
      </c>
      <c r="F131" s="161">
        <f t="shared" si="5"/>
        <v>0</v>
      </c>
      <c r="G131" s="161">
        <v>0</v>
      </c>
      <c r="H131" s="161">
        <f t="shared" si="6"/>
        <v>0</v>
      </c>
      <c r="I131" s="161">
        <v>0</v>
      </c>
      <c r="J131" s="161">
        <v>0</v>
      </c>
    </row>
    <row r="132" spans="1:10" x14ac:dyDescent="0.2">
      <c r="A132" s="833">
        <v>117</v>
      </c>
      <c r="B132" s="835" t="s">
        <v>270</v>
      </c>
      <c r="C132" s="165" t="s">
        <v>271</v>
      </c>
      <c r="D132" s="161">
        <f t="shared" si="4"/>
        <v>0</v>
      </c>
      <c r="E132" s="161">
        <v>0</v>
      </c>
      <c r="F132" s="161">
        <f t="shared" si="5"/>
        <v>0</v>
      </c>
      <c r="G132" s="161">
        <v>0</v>
      </c>
      <c r="H132" s="161">
        <f t="shared" si="6"/>
        <v>0</v>
      </c>
      <c r="I132" s="161">
        <v>0</v>
      </c>
      <c r="J132" s="161">
        <v>0</v>
      </c>
    </row>
    <row r="133" spans="1:10" x14ac:dyDescent="0.2">
      <c r="A133" s="833">
        <v>118</v>
      </c>
      <c r="B133" s="162" t="s">
        <v>272</v>
      </c>
      <c r="C133" s="163" t="s">
        <v>273</v>
      </c>
      <c r="D133" s="161">
        <f t="shared" si="4"/>
        <v>0</v>
      </c>
      <c r="E133" s="161">
        <v>0</v>
      </c>
      <c r="F133" s="161">
        <f t="shared" si="5"/>
        <v>0</v>
      </c>
      <c r="G133" s="161">
        <v>0</v>
      </c>
      <c r="H133" s="161">
        <f t="shared" si="6"/>
        <v>0</v>
      </c>
      <c r="I133" s="161">
        <v>0</v>
      </c>
      <c r="J133" s="161">
        <v>0</v>
      </c>
    </row>
    <row r="134" spans="1:10" x14ac:dyDescent="0.2">
      <c r="A134" s="833">
        <v>119</v>
      </c>
      <c r="B134" s="162" t="s">
        <v>274</v>
      </c>
      <c r="C134" s="165" t="s">
        <v>275</v>
      </c>
      <c r="D134" s="161">
        <f t="shared" si="4"/>
        <v>600</v>
      </c>
      <c r="E134" s="161">
        <v>600</v>
      </c>
      <c r="F134" s="161">
        <f t="shared" si="5"/>
        <v>0</v>
      </c>
      <c r="G134" s="161">
        <v>0</v>
      </c>
      <c r="H134" s="161">
        <f t="shared" si="6"/>
        <v>0</v>
      </c>
      <c r="I134" s="161">
        <v>0</v>
      </c>
      <c r="J134" s="161">
        <v>0</v>
      </c>
    </row>
    <row r="135" spans="1:10" x14ac:dyDescent="0.2">
      <c r="A135" s="833">
        <v>120</v>
      </c>
      <c r="B135" s="71" t="s">
        <v>276</v>
      </c>
      <c r="C135" s="31" t="s">
        <v>277</v>
      </c>
      <c r="D135" s="161">
        <f t="shared" si="4"/>
        <v>0</v>
      </c>
      <c r="E135" s="161">
        <v>0</v>
      </c>
      <c r="F135" s="161">
        <f t="shared" si="5"/>
        <v>0</v>
      </c>
      <c r="G135" s="161">
        <v>0</v>
      </c>
      <c r="H135" s="161">
        <f t="shared" si="6"/>
        <v>0</v>
      </c>
      <c r="I135" s="161">
        <v>0</v>
      </c>
      <c r="J135" s="161">
        <v>0</v>
      </c>
    </row>
    <row r="136" spans="1:10" x14ac:dyDescent="0.2">
      <c r="A136" s="833">
        <v>121</v>
      </c>
      <c r="B136" s="835" t="s">
        <v>278</v>
      </c>
      <c r="C136" s="165" t="s">
        <v>279</v>
      </c>
      <c r="D136" s="161">
        <f t="shared" si="4"/>
        <v>0</v>
      </c>
      <c r="E136" s="161">
        <v>0</v>
      </c>
      <c r="F136" s="161">
        <f t="shared" si="5"/>
        <v>0</v>
      </c>
      <c r="G136" s="161">
        <v>0</v>
      </c>
      <c r="H136" s="161">
        <f t="shared" si="6"/>
        <v>0</v>
      </c>
      <c r="I136" s="161">
        <v>0</v>
      </c>
      <c r="J136" s="161">
        <v>0</v>
      </c>
    </row>
    <row r="137" spans="1:10" x14ac:dyDescent="0.2">
      <c r="A137" s="833">
        <v>122</v>
      </c>
      <c r="B137" s="835" t="s">
        <v>280</v>
      </c>
      <c r="C137" s="165" t="s">
        <v>281</v>
      </c>
      <c r="D137" s="161">
        <f t="shared" si="4"/>
        <v>0</v>
      </c>
      <c r="E137" s="161">
        <v>0</v>
      </c>
      <c r="F137" s="161">
        <f t="shared" si="5"/>
        <v>0</v>
      </c>
      <c r="G137" s="161">
        <v>0</v>
      </c>
      <c r="H137" s="161">
        <f t="shared" si="6"/>
        <v>0</v>
      </c>
      <c r="I137" s="161">
        <v>0</v>
      </c>
      <c r="J137" s="161">
        <v>0</v>
      </c>
    </row>
    <row r="138" spans="1:10" x14ac:dyDescent="0.2">
      <c r="A138" s="833">
        <v>123</v>
      </c>
      <c r="B138" s="835" t="s">
        <v>282</v>
      </c>
      <c r="C138" s="165" t="s">
        <v>783</v>
      </c>
      <c r="D138" s="161">
        <f t="shared" si="4"/>
        <v>0</v>
      </c>
      <c r="E138" s="161">
        <v>0</v>
      </c>
      <c r="F138" s="161">
        <f t="shared" si="5"/>
        <v>0</v>
      </c>
      <c r="G138" s="161">
        <v>0</v>
      </c>
      <c r="H138" s="161">
        <f t="shared" si="6"/>
        <v>0</v>
      </c>
      <c r="I138" s="161">
        <v>0</v>
      </c>
      <c r="J138" s="161">
        <v>0</v>
      </c>
    </row>
    <row r="139" spans="1:10" x14ac:dyDescent="0.2">
      <c r="A139" s="833">
        <v>124</v>
      </c>
      <c r="B139" s="71" t="s">
        <v>283</v>
      </c>
      <c r="C139" s="31" t="s">
        <v>284</v>
      </c>
      <c r="D139" s="161">
        <f t="shared" si="4"/>
        <v>39102</v>
      </c>
      <c r="E139" s="161">
        <v>0</v>
      </c>
      <c r="F139" s="161">
        <f t="shared" si="5"/>
        <v>39102</v>
      </c>
      <c r="G139" s="161">
        <v>0</v>
      </c>
      <c r="H139" s="161">
        <f t="shared" si="6"/>
        <v>39102</v>
      </c>
      <c r="I139" s="161">
        <v>0</v>
      </c>
      <c r="J139" s="161">
        <v>39102</v>
      </c>
    </row>
    <row r="140" spans="1:10" x14ac:dyDescent="0.2">
      <c r="A140" s="833">
        <v>125</v>
      </c>
      <c r="B140" s="164" t="s">
        <v>285</v>
      </c>
      <c r="C140" s="50" t="s">
        <v>737</v>
      </c>
      <c r="D140" s="161">
        <f t="shared" si="4"/>
        <v>24178</v>
      </c>
      <c r="E140" s="161">
        <v>0</v>
      </c>
      <c r="F140" s="161">
        <f t="shared" si="5"/>
        <v>24178</v>
      </c>
      <c r="G140" s="161">
        <v>5374</v>
      </c>
      <c r="H140" s="161">
        <f t="shared" si="6"/>
        <v>18804</v>
      </c>
      <c r="I140" s="161">
        <v>345</v>
      </c>
      <c r="J140" s="161">
        <v>18459</v>
      </c>
    </row>
    <row r="141" spans="1:10" x14ac:dyDescent="0.2">
      <c r="A141" s="833">
        <v>126</v>
      </c>
      <c r="B141" s="835" t="s">
        <v>286</v>
      </c>
      <c r="C141" s="165" t="s">
        <v>287</v>
      </c>
      <c r="D141" s="161">
        <f t="shared" si="4"/>
        <v>0</v>
      </c>
      <c r="E141" s="161">
        <v>0</v>
      </c>
      <c r="F141" s="161">
        <f t="shared" si="5"/>
        <v>0</v>
      </c>
      <c r="G141" s="161">
        <v>0</v>
      </c>
      <c r="H141" s="161">
        <f t="shared" si="6"/>
        <v>0</v>
      </c>
      <c r="I141" s="161">
        <v>0</v>
      </c>
      <c r="J141" s="161">
        <v>0</v>
      </c>
    </row>
    <row r="142" spans="1:10" x14ac:dyDescent="0.2">
      <c r="A142" s="833">
        <v>127</v>
      </c>
      <c r="B142" s="162" t="s">
        <v>288</v>
      </c>
      <c r="C142" s="163" t="s">
        <v>289</v>
      </c>
      <c r="D142" s="161">
        <f t="shared" si="4"/>
        <v>0</v>
      </c>
      <c r="E142" s="161">
        <v>0</v>
      </c>
      <c r="F142" s="161">
        <f t="shared" si="5"/>
        <v>0</v>
      </c>
      <c r="G142" s="161">
        <v>0</v>
      </c>
      <c r="H142" s="161">
        <f t="shared" si="6"/>
        <v>0</v>
      </c>
      <c r="I142" s="161">
        <v>0</v>
      </c>
      <c r="J142" s="161">
        <v>0</v>
      </c>
    </row>
    <row r="143" spans="1:10" x14ac:dyDescent="0.2">
      <c r="A143" s="833">
        <v>128</v>
      </c>
      <c r="B143" s="835" t="s">
        <v>290</v>
      </c>
      <c r="C143" s="165" t="s">
        <v>291</v>
      </c>
      <c r="D143" s="161">
        <f t="shared" si="4"/>
        <v>0</v>
      </c>
      <c r="E143" s="161">
        <v>0</v>
      </c>
      <c r="F143" s="161">
        <v>0</v>
      </c>
      <c r="G143" s="161">
        <v>0</v>
      </c>
      <c r="H143" s="161">
        <v>0</v>
      </c>
      <c r="I143" s="161">
        <v>0</v>
      </c>
      <c r="J143" s="161">
        <v>0</v>
      </c>
    </row>
    <row r="144" spans="1:10" x14ac:dyDescent="0.2">
      <c r="A144" s="833">
        <v>129</v>
      </c>
      <c r="B144" s="172" t="s">
        <v>292</v>
      </c>
      <c r="C144" s="173" t="s">
        <v>293</v>
      </c>
      <c r="D144" s="161">
        <f t="shared" ref="D144:D150" si="7">E144+F144</f>
        <v>0</v>
      </c>
      <c r="E144" s="161">
        <v>0</v>
      </c>
      <c r="F144" s="161">
        <v>0</v>
      </c>
      <c r="G144" s="161">
        <v>0</v>
      </c>
      <c r="H144" s="161">
        <v>0</v>
      </c>
      <c r="I144" s="161">
        <v>0</v>
      </c>
      <c r="J144" s="161">
        <v>0</v>
      </c>
    </row>
    <row r="145" spans="1:10" x14ac:dyDescent="0.2">
      <c r="A145" s="833">
        <v>130</v>
      </c>
      <c r="B145" s="174" t="s">
        <v>294</v>
      </c>
      <c r="C145" s="175" t="s">
        <v>295</v>
      </c>
      <c r="D145" s="161">
        <f t="shared" si="7"/>
        <v>0</v>
      </c>
      <c r="E145" s="161">
        <v>0</v>
      </c>
      <c r="F145" s="161">
        <v>0</v>
      </c>
      <c r="G145" s="161">
        <v>0</v>
      </c>
      <c r="H145" s="161">
        <v>0</v>
      </c>
      <c r="I145" s="161">
        <v>0</v>
      </c>
      <c r="J145" s="161">
        <v>0</v>
      </c>
    </row>
    <row r="146" spans="1:10" ht="12.75" x14ac:dyDescent="0.2">
      <c r="A146" s="833">
        <v>131</v>
      </c>
      <c r="B146" s="172" t="s">
        <v>296</v>
      </c>
      <c r="C146" s="176" t="s">
        <v>462</v>
      </c>
      <c r="D146" s="161">
        <f t="shared" si="7"/>
        <v>0</v>
      </c>
      <c r="E146" s="161">
        <v>0</v>
      </c>
      <c r="F146" s="161">
        <v>0</v>
      </c>
      <c r="G146" s="161">
        <v>0</v>
      </c>
      <c r="H146" s="161">
        <v>0</v>
      </c>
      <c r="I146" s="161">
        <v>0</v>
      </c>
      <c r="J146" s="161">
        <v>0</v>
      </c>
    </row>
    <row r="147" spans="1:10" x14ac:dyDescent="0.2">
      <c r="A147" s="833">
        <v>132</v>
      </c>
      <c r="B147" s="833" t="s">
        <v>298</v>
      </c>
      <c r="C147" s="177" t="s">
        <v>299</v>
      </c>
      <c r="D147" s="161">
        <f t="shared" si="7"/>
        <v>0</v>
      </c>
      <c r="E147" s="161">
        <v>0</v>
      </c>
      <c r="F147" s="161">
        <v>0</v>
      </c>
      <c r="G147" s="161">
        <v>0</v>
      </c>
      <c r="H147" s="161">
        <v>0</v>
      </c>
      <c r="I147" s="161">
        <v>0</v>
      </c>
      <c r="J147" s="161">
        <v>0</v>
      </c>
    </row>
    <row r="148" spans="1:10" x14ac:dyDescent="0.2">
      <c r="A148" s="833">
        <v>133</v>
      </c>
      <c r="B148" s="178" t="s">
        <v>300</v>
      </c>
      <c r="C148" s="179" t="s">
        <v>301</v>
      </c>
      <c r="D148" s="161">
        <f t="shared" si="7"/>
        <v>0</v>
      </c>
      <c r="E148" s="161">
        <v>0</v>
      </c>
      <c r="F148" s="161">
        <v>0</v>
      </c>
      <c r="G148" s="161">
        <v>0</v>
      </c>
      <c r="H148" s="161">
        <v>0</v>
      </c>
      <c r="I148" s="161">
        <v>0</v>
      </c>
      <c r="J148" s="161">
        <v>0</v>
      </c>
    </row>
    <row r="149" spans="1:10" x14ac:dyDescent="0.2">
      <c r="A149" s="833">
        <v>134</v>
      </c>
      <c r="B149" s="180" t="s">
        <v>302</v>
      </c>
      <c r="C149" s="181" t="s">
        <v>303</v>
      </c>
      <c r="D149" s="161">
        <f t="shared" si="7"/>
        <v>0</v>
      </c>
      <c r="E149" s="161">
        <v>0</v>
      </c>
      <c r="F149" s="161">
        <v>0</v>
      </c>
      <c r="G149" s="161">
        <v>0</v>
      </c>
      <c r="H149" s="161">
        <v>0</v>
      </c>
      <c r="I149" s="161">
        <v>0</v>
      </c>
      <c r="J149" s="161">
        <v>0</v>
      </c>
    </row>
    <row r="150" spans="1:10" x14ac:dyDescent="0.2">
      <c r="A150" s="833">
        <v>135</v>
      </c>
      <c r="B150" s="75" t="s">
        <v>304</v>
      </c>
      <c r="C150" s="182" t="s">
        <v>305</v>
      </c>
      <c r="D150" s="161">
        <f t="shared" si="7"/>
        <v>0</v>
      </c>
      <c r="E150" s="161">
        <v>0</v>
      </c>
      <c r="F150" s="161">
        <v>0</v>
      </c>
      <c r="G150" s="161">
        <v>0</v>
      </c>
      <c r="H150" s="161">
        <v>0</v>
      </c>
      <c r="I150" s="161">
        <v>0</v>
      </c>
      <c r="J150" s="161">
        <v>0</v>
      </c>
    </row>
    <row r="151" spans="1:10" ht="16.5" customHeight="1" x14ac:dyDescent="0.2">
      <c r="A151" s="995"/>
      <c r="B151" s="995"/>
      <c r="C151" s="995"/>
      <c r="D151" s="995"/>
      <c r="E151" s="995"/>
      <c r="F151" s="995"/>
      <c r="G151" s="995"/>
      <c r="H151" s="995"/>
      <c r="I151" s="995"/>
      <c r="J151" s="995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3"/>
  <sheetViews>
    <sheetView workbookViewId="0">
      <pane xSplit="4" ySplit="10" topLeftCell="F131" activePane="bottomRight" state="frozen"/>
      <selection activeCell="B125" sqref="B125"/>
      <selection pane="topRight" activeCell="B125" sqref="B125"/>
      <selection pane="bottomLeft" activeCell="B125" sqref="B125"/>
      <selection pane="bottomRight" activeCell="C136" sqref="C136"/>
    </sheetView>
  </sheetViews>
  <sheetFormatPr defaultRowHeight="12" x14ac:dyDescent="0.2"/>
  <cols>
    <col min="1" max="1" width="6.140625" style="183" customWidth="1"/>
    <col min="2" max="2" width="9.140625" style="183"/>
    <col min="3" max="3" width="33.140625" style="183" customWidth="1"/>
    <col min="4" max="4" width="13.140625" style="183" customWidth="1"/>
    <col min="5" max="5" width="10.5703125" style="183" customWidth="1"/>
    <col min="6" max="6" width="12" style="183" customWidth="1"/>
    <col min="7" max="9" width="11.28515625" style="183" customWidth="1"/>
    <col min="10" max="10" width="13.28515625" style="183" customWidth="1"/>
    <col min="11" max="11" width="12.42578125" style="183" customWidth="1"/>
    <col min="12" max="12" width="11.7109375" style="183" customWidth="1"/>
    <col min="13" max="14" width="10.5703125" style="183" customWidth="1"/>
    <col min="15" max="17" width="10.140625" style="183" customWidth="1"/>
    <col min="18" max="18" width="14.5703125" style="183" customWidth="1"/>
    <col min="19" max="19" width="21.140625" style="183" customWidth="1"/>
    <col min="20" max="16384" width="9.140625" style="183"/>
  </cols>
  <sheetData>
    <row r="1" spans="1:19" ht="15.75" x14ac:dyDescent="0.2">
      <c r="B1" s="1001" t="s">
        <v>488</v>
      </c>
      <c r="C1" s="1001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</row>
    <row r="2" spans="1:19" ht="12" customHeight="1" x14ac:dyDescent="0.2">
      <c r="A2" s="1003" t="s">
        <v>0</v>
      </c>
      <c r="B2" s="1004" t="s">
        <v>326</v>
      </c>
      <c r="C2" s="1003" t="s">
        <v>309</v>
      </c>
      <c r="D2" s="1007" t="s">
        <v>489</v>
      </c>
      <c r="E2" s="1007"/>
      <c r="F2" s="1007"/>
      <c r="G2" s="1007"/>
      <c r="H2" s="1007"/>
      <c r="I2" s="1007"/>
      <c r="J2" s="1007"/>
      <c r="K2" s="1007"/>
      <c r="L2" s="1007"/>
      <c r="M2" s="1007"/>
      <c r="N2" s="1007"/>
      <c r="O2" s="1007"/>
      <c r="P2" s="1007"/>
      <c r="Q2" s="1007"/>
      <c r="R2" s="1007"/>
      <c r="S2" s="1007"/>
    </row>
    <row r="3" spans="1:19" ht="12" customHeight="1" x14ac:dyDescent="0.2">
      <c r="A3" s="1003"/>
      <c r="B3" s="1005"/>
      <c r="C3" s="1003"/>
      <c r="D3" s="1008" t="s">
        <v>443</v>
      </c>
      <c r="E3" s="1007" t="s">
        <v>449</v>
      </c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</row>
    <row r="4" spans="1:19" ht="28.5" customHeight="1" x14ac:dyDescent="0.2">
      <c r="A4" s="1003"/>
      <c r="B4" s="1005"/>
      <c r="C4" s="1003"/>
      <c r="D4" s="1008"/>
      <c r="E4" s="1010" t="s">
        <v>467</v>
      </c>
      <c r="F4" s="1010"/>
      <c r="G4" s="1010"/>
      <c r="H4" s="1011" t="s">
        <v>468</v>
      </c>
      <c r="I4" s="1012"/>
      <c r="J4" s="1012"/>
      <c r="K4" s="1012"/>
      <c r="L4" s="1013"/>
      <c r="M4" s="1010" t="s">
        <v>490</v>
      </c>
      <c r="N4" s="1010"/>
      <c r="O4" s="1011" t="s">
        <v>491</v>
      </c>
      <c r="P4" s="1012"/>
      <c r="Q4" s="1012"/>
      <c r="R4" s="1013"/>
      <c r="S4" s="1014" t="s">
        <v>756</v>
      </c>
    </row>
    <row r="5" spans="1:19" ht="47.25" customHeight="1" x14ac:dyDescent="0.2">
      <c r="A5" s="1003"/>
      <c r="B5" s="1005"/>
      <c r="C5" s="1003"/>
      <c r="D5" s="1008"/>
      <c r="E5" s="1017" t="s">
        <v>46</v>
      </c>
      <c r="F5" s="1011" t="s">
        <v>449</v>
      </c>
      <c r="G5" s="1013"/>
      <c r="H5" s="1017" t="s">
        <v>46</v>
      </c>
      <c r="I5" s="1003" t="s">
        <v>45</v>
      </c>
      <c r="J5" s="1003"/>
      <c r="K5" s="1010" t="s">
        <v>49</v>
      </c>
      <c r="L5" s="1010"/>
      <c r="M5" s="1003" t="s">
        <v>492</v>
      </c>
      <c r="N5" s="1010" t="s">
        <v>493</v>
      </c>
      <c r="O5" s="1010" t="s">
        <v>46</v>
      </c>
      <c r="P5" s="1019" t="s">
        <v>494</v>
      </c>
      <c r="Q5" s="1021" t="s">
        <v>50</v>
      </c>
      <c r="R5" s="1021" t="s">
        <v>495</v>
      </c>
      <c r="S5" s="1015"/>
    </row>
    <row r="6" spans="1:19" ht="36.75" customHeight="1" x14ac:dyDescent="0.2">
      <c r="A6" s="1003"/>
      <c r="B6" s="1006"/>
      <c r="C6" s="1003"/>
      <c r="D6" s="1009"/>
      <c r="E6" s="1018"/>
      <c r="F6" s="839" t="s">
        <v>51</v>
      </c>
      <c r="G6" s="840" t="s">
        <v>50</v>
      </c>
      <c r="H6" s="1018"/>
      <c r="I6" s="837" t="s">
        <v>494</v>
      </c>
      <c r="J6" s="838" t="s">
        <v>53</v>
      </c>
      <c r="K6" s="838" t="s">
        <v>51</v>
      </c>
      <c r="L6" s="840" t="s">
        <v>50</v>
      </c>
      <c r="M6" s="1003"/>
      <c r="N6" s="1010"/>
      <c r="O6" s="1010"/>
      <c r="P6" s="1020"/>
      <c r="Q6" s="1009"/>
      <c r="R6" s="1009"/>
      <c r="S6" s="1016"/>
    </row>
    <row r="7" spans="1:19" s="187" customFormat="1" ht="11.25" x14ac:dyDescent="0.2">
      <c r="A7" s="184">
        <v>1</v>
      </c>
      <c r="B7" s="184">
        <v>2</v>
      </c>
      <c r="C7" s="184">
        <v>3</v>
      </c>
      <c r="D7" s="185">
        <v>4</v>
      </c>
      <c r="E7" s="186">
        <v>5</v>
      </c>
      <c r="F7" s="186">
        <v>6</v>
      </c>
      <c r="G7" s="186">
        <v>7</v>
      </c>
      <c r="H7" s="186">
        <v>8</v>
      </c>
      <c r="I7" s="186">
        <v>9</v>
      </c>
      <c r="J7" s="186">
        <v>10</v>
      </c>
      <c r="K7" s="186">
        <v>11</v>
      </c>
      <c r="L7" s="186">
        <v>12</v>
      </c>
      <c r="M7" s="186">
        <v>13</v>
      </c>
      <c r="N7" s="186">
        <v>14</v>
      </c>
      <c r="O7" s="186">
        <v>15</v>
      </c>
      <c r="P7" s="186">
        <v>16</v>
      </c>
      <c r="Q7" s="186">
        <v>17</v>
      </c>
      <c r="R7" s="186">
        <v>18</v>
      </c>
      <c r="S7" s="186">
        <v>19</v>
      </c>
    </row>
    <row r="8" spans="1:19" s="187" customFormat="1" x14ac:dyDescent="0.2">
      <c r="A8" s="938" t="s">
        <v>44</v>
      </c>
      <c r="B8" s="938"/>
      <c r="C8" s="938"/>
      <c r="D8" s="188">
        <f>E8+H8+M8+N8+O8+S8</f>
        <v>5184540</v>
      </c>
      <c r="E8" s="188">
        <f t="shared" ref="E8:S8" si="0">E9+E10</f>
        <v>155672</v>
      </c>
      <c r="F8" s="188">
        <f t="shared" si="0"/>
        <v>7690</v>
      </c>
      <c r="G8" s="188">
        <f t="shared" si="0"/>
        <v>147982</v>
      </c>
      <c r="H8" s="188">
        <f>H9+H10</f>
        <v>3987199</v>
      </c>
      <c r="I8" s="188">
        <f t="shared" si="0"/>
        <v>36468</v>
      </c>
      <c r="J8" s="188">
        <f t="shared" si="0"/>
        <v>375439</v>
      </c>
      <c r="K8" s="188">
        <f>K9+K10</f>
        <v>410694</v>
      </c>
      <c r="L8" s="188">
        <f t="shared" si="0"/>
        <v>3020159</v>
      </c>
      <c r="M8" s="188">
        <f t="shared" si="0"/>
        <v>49200</v>
      </c>
      <c r="N8" s="188">
        <f t="shared" si="0"/>
        <v>21072</v>
      </c>
      <c r="O8" s="188">
        <f t="shared" si="0"/>
        <v>948805</v>
      </c>
      <c r="P8" s="188">
        <f t="shared" si="0"/>
        <v>6965</v>
      </c>
      <c r="Q8" s="188">
        <f t="shared" si="0"/>
        <v>941840</v>
      </c>
      <c r="R8" s="188">
        <f t="shared" si="0"/>
        <v>330</v>
      </c>
      <c r="S8" s="188">
        <f t="shared" si="0"/>
        <v>22592</v>
      </c>
    </row>
    <row r="9" spans="1:19" s="187" customFormat="1" ht="12" customHeight="1" x14ac:dyDescent="0.2">
      <c r="A9" s="946" t="s">
        <v>14</v>
      </c>
      <c r="B9" s="947"/>
      <c r="C9" s="948"/>
      <c r="D9" s="186">
        <f>H9+M9+N9+O9+S9</f>
        <v>145867</v>
      </c>
      <c r="E9" s="186">
        <f>F9+G9</f>
        <v>0</v>
      </c>
      <c r="F9" s="186">
        <f>'[19]Раз.пос.(Пр.3-26)     '!F9+'[19]Уточнение для Пр.5-26'!F9</f>
        <v>0</v>
      </c>
      <c r="G9" s="186">
        <f>'[19]Раз.пос.(Пр.3-26)     '!G9+'[19]Уточнение для Пр.5-26'!G9</f>
        <v>0</v>
      </c>
      <c r="H9" s="186">
        <v>144439</v>
      </c>
      <c r="I9" s="186">
        <f>'[19]Раз.пос.(Пр.3-26)     '!I9+'[19]Уточнение для Пр.5-26'!I9</f>
        <v>0</v>
      </c>
      <c r="J9" s="186">
        <f>'[19]Раз.пос.(Пр.3-26)     '!J9+'[19]Уточнение для Пр.5-26'!J9</f>
        <v>0</v>
      </c>
      <c r="K9" s="186">
        <f>'[19]Раз.пос.(Пр.3-26)     '!K9+'[19]Уточнение для Пр.5-26'!K9</f>
        <v>0</v>
      </c>
      <c r="L9" s="186">
        <f>'[19]Раз.пос.(Пр.3-26)     '!L9+'[19]Уточнение для Пр.5-26'!L9</f>
        <v>0</v>
      </c>
      <c r="M9" s="186">
        <v>0</v>
      </c>
      <c r="N9" s="186">
        <v>0</v>
      </c>
      <c r="O9" s="186">
        <f>P9+Q9</f>
        <v>0</v>
      </c>
      <c r="P9" s="186">
        <f>'[19]Раз.пос.(Пр.3-26)     '!P9+'[19]Уточнение для Пр.5-26'!P9</f>
        <v>0</v>
      </c>
      <c r="Q9" s="186">
        <v>0</v>
      </c>
      <c r="R9" s="186">
        <f>'[19]Раз.пос.(Пр.3-26)     '!R9+'[19]Уточнение для Пр.5-26'!R9</f>
        <v>0</v>
      </c>
      <c r="S9" s="186">
        <f>'[19]Раз.пос.(Пр.3-26)     '!S9+'[19]Уточнение для Пр.5-26'!S9</f>
        <v>1428</v>
      </c>
    </row>
    <row r="10" spans="1:19" s="187" customFormat="1" ht="12" customHeight="1" x14ac:dyDescent="0.2">
      <c r="A10" s="946" t="s">
        <v>15</v>
      </c>
      <c r="B10" s="947"/>
      <c r="C10" s="948"/>
      <c r="D10" s="188">
        <f>SUM(D11:D142)-D91</f>
        <v>5038673</v>
      </c>
      <c r="E10" s="188">
        <f t="shared" ref="E10:R10" si="1">SUM(E11:E142)-E91</f>
        <v>155672</v>
      </c>
      <c r="F10" s="188">
        <f t="shared" si="1"/>
        <v>7690</v>
      </c>
      <c r="G10" s="188">
        <f t="shared" si="1"/>
        <v>147982</v>
      </c>
      <c r="H10" s="188">
        <f t="shared" si="1"/>
        <v>3842760</v>
      </c>
      <c r="I10" s="188">
        <f t="shared" si="1"/>
        <v>36468</v>
      </c>
      <c r="J10" s="188">
        <f t="shared" si="1"/>
        <v>375439</v>
      </c>
      <c r="K10" s="188">
        <f t="shared" si="1"/>
        <v>410694</v>
      </c>
      <c r="L10" s="188">
        <f t="shared" si="1"/>
        <v>3020159</v>
      </c>
      <c r="M10" s="188">
        <f t="shared" si="1"/>
        <v>49200</v>
      </c>
      <c r="N10" s="188">
        <f t="shared" si="1"/>
        <v>21072</v>
      </c>
      <c r="O10" s="188">
        <f t="shared" si="1"/>
        <v>948805</v>
      </c>
      <c r="P10" s="188">
        <f t="shared" si="1"/>
        <v>6965</v>
      </c>
      <c r="Q10" s="188">
        <f t="shared" si="1"/>
        <v>941840</v>
      </c>
      <c r="R10" s="188">
        <f t="shared" si="1"/>
        <v>330</v>
      </c>
      <c r="S10" s="188">
        <f t="shared" ref="S10" si="2">SUM(S11:S142)-S91</f>
        <v>21164</v>
      </c>
    </row>
    <row r="11" spans="1:19" x14ac:dyDescent="0.2">
      <c r="A11" s="128">
        <v>1</v>
      </c>
      <c r="B11" s="71" t="s">
        <v>54</v>
      </c>
      <c r="C11" s="31" t="s">
        <v>55</v>
      </c>
      <c r="D11" s="186">
        <f>E11+H11+M11+N11+O11+S11</f>
        <v>17842</v>
      </c>
      <c r="E11" s="189">
        <f>F11+G11</f>
        <v>0</v>
      </c>
      <c r="F11" s="189">
        <f>'[19]Раз.пос.(Пр.3-26)     '!F11+'[19]Уточнение для Пр.5-26'!F11</f>
        <v>0</v>
      </c>
      <c r="G11" s="189">
        <f>'[19]Раз.пос.(Пр.3-26)     '!G11+'[19]Уточнение для Пр.5-26'!G11</f>
        <v>0</v>
      </c>
      <c r="H11" s="189">
        <f>SUM(I11:L11)</f>
        <v>16378</v>
      </c>
      <c r="I11" s="190">
        <v>0</v>
      </c>
      <c r="J11" s="189">
        <v>1348</v>
      </c>
      <c r="K11" s="189">
        <v>2406</v>
      </c>
      <c r="L11" s="189">
        <v>12624</v>
      </c>
      <c r="M11" s="189">
        <f>'[19]Раз.пос.(Пр.3-26)     '!M11+'[19]Уточнение для Пр.5-26'!M11</f>
        <v>1025</v>
      </c>
      <c r="N11" s="189">
        <f>'[19]Раз.пос.(Пр.3-26)     '!N11+'[19]Уточнение для Пр.5-26'!N11</f>
        <v>439</v>
      </c>
      <c r="O11" s="186">
        <f>P11+Q11</f>
        <v>0</v>
      </c>
      <c r="P11" s="189">
        <v>0</v>
      </c>
      <c r="Q11" s="189">
        <v>0</v>
      </c>
      <c r="R11" s="189">
        <f>'[19]Раз.пос.(Пр.3-26)     '!R11+'[19]Уточнение для Пр.5-26'!R11</f>
        <v>0</v>
      </c>
      <c r="S11" s="189">
        <f>'[19]Раз.пос.(Пр.3-26)     '!S11+'[19]Уточнение для Пр.5-26'!S11</f>
        <v>0</v>
      </c>
    </row>
    <row r="12" spans="1:19" x14ac:dyDescent="0.2">
      <c r="A12" s="128">
        <v>2</v>
      </c>
      <c r="B12" s="72" t="s">
        <v>56</v>
      </c>
      <c r="C12" s="31" t="s">
        <v>57</v>
      </c>
      <c r="D12" s="186">
        <f>E12+H12+M12+N12+O12+S12</f>
        <v>18693</v>
      </c>
      <c r="E12" s="189">
        <f t="shared" ref="E12:E77" si="3">F12+G12</f>
        <v>0</v>
      </c>
      <c r="F12" s="189">
        <f>'[19]Раз.пос.(Пр.3-26)     '!F12+'[19]Уточнение для Пр.5-26'!F12</f>
        <v>0</v>
      </c>
      <c r="G12" s="189">
        <f>'[19]Раз.пос.(Пр.3-26)     '!G12+'[19]Уточнение для Пр.5-26'!G12</f>
        <v>0</v>
      </c>
      <c r="H12" s="189">
        <f t="shared" ref="H12:H77" si="4">SUM(I12:L12)</f>
        <v>17229</v>
      </c>
      <c r="I12" s="190">
        <v>0</v>
      </c>
      <c r="J12" s="189">
        <v>1515</v>
      </c>
      <c r="K12" s="189">
        <v>2065</v>
      </c>
      <c r="L12" s="189">
        <v>13649</v>
      </c>
      <c r="M12" s="189">
        <f>'[19]Раз.пос.(Пр.3-26)     '!M12+'[19]Уточнение для Пр.5-26'!M12</f>
        <v>1025</v>
      </c>
      <c r="N12" s="189">
        <f>'[19]Раз.пос.(Пр.3-26)     '!N12+'[19]Уточнение для Пр.5-26'!N12</f>
        <v>439</v>
      </c>
      <c r="O12" s="186">
        <f t="shared" ref="O12:O77" si="5">P12+Q12</f>
        <v>0</v>
      </c>
      <c r="P12" s="189">
        <v>0</v>
      </c>
      <c r="Q12" s="189">
        <v>0</v>
      </c>
      <c r="R12" s="189">
        <f>'[19]Раз.пос.(Пр.3-26)     '!R12+'[19]Уточнение для Пр.5-26'!R12</f>
        <v>0</v>
      </c>
      <c r="S12" s="189">
        <f>'[19]Раз.пос.(Пр.3-26)     '!S12+'[19]Уточнение для Пр.5-26'!S12</f>
        <v>0</v>
      </c>
    </row>
    <row r="13" spans="1:19" x14ac:dyDescent="0.2">
      <c r="A13" s="128">
        <v>3</v>
      </c>
      <c r="B13" s="834" t="s">
        <v>16</v>
      </c>
      <c r="C13" s="31" t="s">
        <v>17</v>
      </c>
      <c r="D13" s="186">
        <f t="shared" ref="D13:D76" si="6">E13+H13+M13+N13+O13+S13</f>
        <v>44514</v>
      </c>
      <c r="E13" s="189">
        <f t="shared" si="3"/>
        <v>0</v>
      </c>
      <c r="F13" s="189">
        <f>'[19]Раз.пос.(Пр.3-26)     '!F13+'[19]Уточнение для Пр.5-26'!F13</f>
        <v>0</v>
      </c>
      <c r="G13" s="189">
        <f>'[19]Раз.пос.(Пр.3-26)     '!G13+'[19]Уточнение для Пр.5-26'!G13</f>
        <v>0</v>
      </c>
      <c r="H13" s="189">
        <f t="shared" si="4"/>
        <v>43050</v>
      </c>
      <c r="I13" s="190">
        <v>0</v>
      </c>
      <c r="J13" s="189">
        <v>2248</v>
      </c>
      <c r="K13" s="189">
        <v>10506</v>
      </c>
      <c r="L13" s="189">
        <v>30296</v>
      </c>
      <c r="M13" s="189">
        <f>'[19]Раз.пос.(Пр.3-26)     '!M13+'[19]Уточнение для Пр.5-26'!M13</f>
        <v>1025</v>
      </c>
      <c r="N13" s="189">
        <f>'[19]Раз.пос.(Пр.3-26)     '!N13+'[19]Уточнение для Пр.5-26'!N13</f>
        <v>439</v>
      </c>
      <c r="O13" s="186">
        <f t="shared" si="5"/>
        <v>0</v>
      </c>
      <c r="P13" s="189">
        <v>0</v>
      </c>
      <c r="Q13" s="189">
        <v>0</v>
      </c>
      <c r="R13" s="189">
        <f>'[19]Раз.пос.(Пр.3-26)     '!R13+'[19]Уточнение для Пр.5-26'!R13</f>
        <v>0</v>
      </c>
      <c r="S13" s="189">
        <f>'[19]Раз.пос.(Пр.3-26)     '!S13+'[19]Уточнение для Пр.5-26'!S13</f>
        <v>0</v>
      </c>
    </row>
    <row r="14" spans="1:19" x14ac:dyDescent="0.2">
      <c r="A14" s="128">
        <v>4</v>
      </c>
      <c r="B14" s="71" t="s">
        <v>58</v>
      </c>
      <c r="C14" s="31" t="s">
        <v>59</v>
      </c>
      <c r="D14" s="186">
        <f t="shared" si="6"/>
        <v>12539</v>
      </c>
      <c r="E14" s="189">
        <f t="shared" si="3"/>
        <v>0</v>
      </c>
      <c r="F14" s="189">
        <f>'[19]Раз.пос.(Пр.3-26)     '!F14+'[19]Уточнение для Пр.5-26'!F14</f>
        <v>0</v>
      </c>
      <c r="G14" s="189">
        <f>'[19]Раз.пос.(Пр.3-26)     '!G14+'[19]Уточнение для Пр.5-26'!G14</f>
        <v>0</v>
      </c>
      <c r="H14" s="189">
        <f t="shared" si="4"/>
        <v>12539</v>
      </c>
      <c r="I14" s="190">
        <v>0</v>
      </c>
      <c r="J14" s="189">
        <v>1850</v>
      </c>
      <c r="K14" s="189">
        <v>1906</v>
      </c>
      <c r="L14" s="189">
        <v>8783</v>
      </c>
      <c r="M14" s="189">
        <f>'[19]Раз.пос.(Пр.3-26)     '!M14+'[19]Уточнение для Пр.5-26'!M14</f>
        <v>0</v>
      </c>
      <c r="N14" s="189">
        <f>'[19]Раз.пос.(Пр.3-26)     '!N14+'[19]Уточнение для Пр.5-26'!N14</f>
        <v>0</v>
      </c>
      <c r="O14" s="186">
        <f t="shared" si="5"/>
        <v>0</v>
      </c>
      <c r="P14" s="189">
        <v>0</v>
      </c>
      <c r="Q14" s="189">
        <v>0</v>
      </c>
      <c r="R14" s="189">
        <f>'[19]Раз.пос.(Пр.3-26)     '!R14+'[19]Уточнение для Пр.5-26'!R14</f>
        <v>0</v>
      </c>
      <c r="S14" s="189">
        <f>'[19]Раз.пос.(Пр.3-26)     '!S14+'[19]Уточнение для Пр.5-26'!S14</f>
        <v>0</v>
      </c>
    </row>
    <row r="15" spans="1:19" x14ac:dyDescent="0.2">
      <c r="A15" s="128">
        <v>5</v>
      </c>
      <c r="B15" s="71" t="s">
        <v>60</v>
      </c>
      <c r="C15" s="31" t="s">
        <v>61</v>
      </c>
      <c r="D15" s="186">
        <f t="shared" si="6"/>
        <v>14747</v>
      </c>
      <c r="E15" s="189">
        <f t="shared" si="3"/>
        <v>0</v>
      </c>
      <c r="F15" s="189">
        <f>'[19]Раз.пос.(Пр.3-26)     '!F15+'[19]Уточнение для Пр.5-26'!F15</f>
        <v>0</v>
      </c>
      <c r="G15" s="189">
        <f>'[19]Раз.пос.(Пр.3-26)     '!G15+'[19]Уточнение для Пр.5-26'!G15</f>
        <v>0</v>
      </c>
      <c r="H15" s="189">
        <f t="shared" si="4"/>
        <v>14747</v>
      </c>
      <c r="I15" s="190">
        <v>0</v>
      </c>
      <c r="J15" s="189">
        <v>3050</v>
      </c>
      <c r="K15" s="189">
        <v>2412</v>
      </c>
      <c r="L15" s="189">
        <v>9285</v>
      </c>
      <c r="M15" s="189">
        <f>'[19]Раз.пос.(Пр.3-26)     '!M15+'[19]Уточнение для Пр.5-26'!M15</f>
        <v>0</v>
      </c>
      <c r="N15" s="189">
        <f>'[19]Раз.пос.(Пр.3-26)     '!N15+'[19]Уточнение для Пр.5-26'!N15</f>
        <v>0</v>
      </c>
      <c r="O15" s="186">
        <f t="shared" si="5"/>
        <v>0</v>
      </c>
      <c r="P15" s="189">
        <v>0</v>
      </c>
      <c r="Q15" s="189">
        <v>0</v>
      </c>
      <c r="R15" s="189">
        <f>'[19]Раз.пос.(Пр.3-26)     '!R15+'[19]Уточнение для Пр.5-26'!R15</f>
        <v>0</v>
      </c>
      <c r="S15" s="189">
        <f>'[19]Раз.пос.(Пр.3-26)     '!S15+'[19]Уточнение для Пр.5-26'!S15</f>
        <v>0</v>
      </c>
    </row>
    <row r="16" spans="1:19" x14ac:dyDescent="0.2">
      <c r="A16" s="128">
        <v>6</v>
      </c>
      <c r="B16" s="834" t="s">
        <v>18</v>
      </c>
      <c r="C16" s="31" t="s">
        <v>19</v>
      </c>
      <c r="D16" s="186">
        <f t="shared" si="6"/>
        <v>120641</v>
      </c>
      <c r="E16" s="189">
        <f t="shared" si="3"/>
        <v>0</v>
      </c>
      <c r="F16" s="189">
        <f>'[19]Раз.пос.(Пр.3-26)     '!F16+'[19]Уточнение для Пр.5-26'!F16</f>
        <v>0</v>
      </c>
      <c r="G16" s="189">
        <f>'[19]Раз.пос.(Пр.3-26)     '!G16+'[19]Уточнение для Пр.5-26'!G16</f>
        <v>0</v>
      </c>
      <c r="H16" s="189">
        <f t="shared" si="4"/>
        <v>119177</v>
      </c>
      <c r="I16" s="190">
        <v>0</v>
      </c>
      <c r="J16" s="189">
        <v>14573</v>
      </c>
      <c r="K16" s="189">
        <v>6607</v>
      </c>
      <c r="L16" s="189">
        <v>97997</v>
      </c>
      <c r="M16" s="189">
        <f>'[19]Раз.пос.(Пр.3-26)     '!M16+'[19]Уточнение для Пр.5-26'!M16</f>
        <v>1025</v>
      </c>
      <c r="N16" s="189">
        <f>'[19]Раз.пос.(Пр.3-26)     '!N16+'[19]Уточнение для Пр.5-26'!N16</f>
        <v>439</v>
      </c>
      <c r="O16" s="186">
        <f t="shared" si="5"/>
        <v>0</v>
      </c>
      <c r="P16" s="189">
        <v>0</v>
      </c>
      <c r="Q16" s="189">
        <v>0</v>
      </c>
      <c r="R16" s="189">
        <f>'[19]Раз.пос.(Пр.3-26)     '!R16+'[19]Уточнение для Пр.5-26'!R16</f>
        <v>0</v>
      </c>
      <c r="S16" s="189">
        <f>'[19]Раз.пос.(Пр.3-26)     '!S16+'[19]Уточнение для Пр.5-26'!S16</f>
        <v>0</v>
      </c>
    </row>
    <row r="17" spans="1:19" x14ac:dyDescent="0.2">
      <c r="A17" s="128">
        <v>7</v>
      </c>
      <c r="B17" s="71" t="s">
        <v>62</v>
      </c>
      <c r="C17" s="31" t="s">
        <v>63</v>
      </c>
      <c r="D17" s="186">
        <f t="shared" si="6"/>
        <v>55682</v>
      </c>
      <c r="E17" s="189">
        <f t="shared" si="3"/>
        <v>0</v>
      </c>
      <c r="F17" s="189">
        <f>'[19]Раз.пос.(Пр.3-26)     '!F17+'[19]Уточнение для Пр.5-26'!F17</f>
        <v>0</v>
      </c>
      <c r="G17" s="189">
        <f>'[19]Раз.пос.(Пр.3-26)     '!G17+'[19]Уточнение для Пр.5-26'!G17</f>
        <v>0</v>
      </c>
      <c r="H17" s="189">
        <f t="shared" si="4"/>
        <v>54078</v>
      </c>
      <c r="I17" s="190">
        <v>1373</v>
      </c>
      <c r="J17" s="189">
        <v>9140</v>
      </c>
      <c r="K17" s="189">
        <v>6568</v>
      </c>
      <c r="L17" s="189">
        <v>36997</v>
      </c>
      <c r="M17" s="189">
        <f>'[19]Раз.пос.(Пр.3-26)     '!M17+'[19]Уточнение для Пр.5-26'!M17</f>
        <v>1025</v>
      </c>
      <c r="N17" s="189">
        <f>'[19]Раз.пос.(Пр.3-26)     '!N17+'[19]Уточнение для Пр.5-26'!N17</f>
        <v>439</v>
      </c>
      <c r="O17" s="186">
        <f t="shared" si="5"/>
        <v>140</v>
      </c>
      <c r="P17" s="189">
        <v>0</v>
      </c>
      <c r="Q17" s="189">
        <v>140</v>
      </c>
      <c r="R17" s="189">
        <f>'[19]Раз.пос.(Пр.3-26)     '!R17+'[19]Уточнение для Пр.5-26'!R17</f>
        <v>0</v>
      </c>
      <c r="S17" s="189">
        <f>'[19]Раз.пос.(Пр.3-26)     '!S17+'[19]Уточнение для Пр.5-26'!S17</f>
        <v>0</v>
      </c>
    </row>
    <row r="18" spans="1:19" x14ac:dyDescent="0.2">
      <c r="A18" s="128">
        <v>8</v>
      </c>
      <c r="B18" s="834" t="s">
        <v>64</v>
      </c>
      <c r="C18" s="31" t="s">
        <v>65</v>
      </c>
      <c r="D18" s="186">
        <f t="shared" si="6"/>
        <v>15025</v>
      </c>
      <c r="E18" s="189">
        <f t="shared" si="3"/>
        <v>0</v>
      </c>
      <c r="F18" s="189">
        <f>'[19]Раз.пос.(Пр.3-26)     '!F18+'[19]Уточнение для Пр.5-26'!F18</f>
        <v>0</v>
      </c>
      <c r="G18" s="189">
        <f>'[19]Раз.пос.(Пр.3-26)     '!G18+'[19]Уточнение для Пр.5-26'!G18</f>
        <v>0</v>
      </c>
      <c r="H18" s="189">
        <f t="shared" si="4"/>
        <v>15025</v>
      </c>
      <c r="I18" s="190">
        <v>0</v>
      </c>
      <c r="J18" s="189">
        <v>2631</v>
      </c>
      <c r="K18" s="189">
        <v>2238</v>
      </c>
      <c r="L18" s="189">
        <v>10156</v>
      </c>
      <c r="M18" s="189">
        <f>'[19]Раз.пос.(Пр.3-26)     '!M18+'[19]Уточнение для Пр.5-26'!M18</f>
        <v>0</v>
      </c>
      <c r="N18" s="189">
        <f>'[19]Раз.пос.(Пр.3-26)     '!N18+'[19]Уточнение для Пр.5-26'!N18</f>
        <v>0</v>
      </c>
      <c r="O18" s="186">
        <f t="shared" si="5"/>
        <v>0</v>
      </c>
      <c r="P18" s="189">
        <v>0</v>
      </c>
      <c r="Q18" s="189">
        <v>0</v>
      </c>
      <c r="R18" s="189">
        <f>'[19]Раз.пос.(Пр.3-26)     '!R18+'[19]Уточнение для Пр.5-26'!R18</f>
        <v>0</v>
      </c>
      <c r="S18" s="189">
        <f>'[19]Раз.пос.(Пр.3-26)     '!S18+'[19]Уточнение для Пр.5-26'!S18</f>
        <v>0</v>
      </c>
    </row>
    <row r="19" spans="1:19" x14ac:dyDescent="0.2">
      <c r="A19" s="128">
        <v>9</v>
      </c>
      <c r="B19" s="834" t="s">
        <v>66</v>
      </c>
      <c r="C19" s="31" t="s">
        <v>67</v>
      </c>
      <c r="D19" s="186">
        <f t="shared" si="6"/>
        <v>20139</v>
      </c>
      <c r="E19" s="189">
        <f t="shared" si="3"/>
        <v>0</v>
      </c>
      <c r="F19" s="189">
        <f>'[19]Раз.пос.(Пр.3-26)     '!F19+'[19]Уточнение для Пр.5-26'!F19</f>
        <v>0</v>
      </c>
      <c r="G19" s="189">
        <f>'[19]Раз.пос.(Пр.3-26)     '!G19+'[19]Уточнение для Пр.5-26'!G19</f>
        <v>0</v>
      </c>
      <c r="H19" s="189">
        <f t="shared" si="4"/>
        <v>18675</v>
      </c>
      <c r="I19" s="190">
        <v>0</v>
      </c>
      <c r="J19" s="189">
        <v>1427</v>
      </c>
      <c r="K19" s="189">
        <v>3738</v>
      </c>
      <c r="L19" s="189">
        <v>13510</v>
      </c>
      <c r="M19" s="189">
        <f>'[19]Раз.пос.(Пр.3-26)     '!M19+'[19]Уточнение для Пр.5-26'!M19</f>
        <v>1025</v>
      </c>
      <c r="N19" s="189">
        <f>'[19]Раз.пос.(Пр.3-26)     '!N19+'[19]Уточнение для Пр.5-26'!N19</f>
        <v>439</v>
      </c>
      <c r="O19" s="186">
        <f t="shared" si="5"/>
        <v>0</v>
      </c>
      <c r="P19" s="189">
        <v>0</v>
      </c>
      <c r="Q19" s="189">
        <v>0</v>
      </c>
      <c r="R19" s="189">
        <f>'[19]Раз.пос.(Пр.3-26)     '!R19+'[19]Уточнение для Пр.5-26'!R19</f>
        <v>0</v>
      </c>
      <c r="S19" s="189">
        <f>'[19]Раз.пос.(Пр.3-26)     '!S19+'[19]Уточнение для Пр.5-26'!S19</f>
        <v>0</v>
      </c>
    </row>
    <row r="20" spans="1:19" x14ac:dyDescent="0.2">
      <c r="A20" s="128">
        <v>10</v>
      </c>
      <c r="B20" s="834" t="s">
        <v>68</v>
      </c>
      <c r="C20" s="31" t="s">
        <v>69</v>
      </c>
      <c r="D20" s="186">
        <f t="shared" si="6"/>
        <v>18963</v>
      </c>
      <c r="E20" s="189">
        <f t="shared" si="3"/>
        <v>0</v>
      </c>
      <c r="F20" s="189">
        <f>'[19]Раз.пос.(Пр.3-26)     '!F20+'[19]Уточнение для Пр.5-26'!F20</f>
        <v>0</v>
      </c>
      <c r="G20" s="189">
        <f>'[19]Раз.пос.(Пр.3-26)     '!G20+'[19]Уточнение для Пр.5-26'!G20</f>
        <v>0</v>
      </c>
      <c r="H20" s="189">
        <f t="shared" si="4"/>
        <v>18963</v>
      </c>
      <c r="I20" s="190">
        <v>0</v>
      </c>
      <c r="J20" s="189">
        <v>530</v>
      </c>
      <c r="K20" s="189">
        <v>1575</v>
      </c>
      <c r="L20" s="189">
        <v>16858</v>
      </c>
      <c r="M20" s="189">
        <f>'[19]Раз.пос.(Пр.3-26)     '!M20+'[19]Уточнение для Пр.5-26'!M20</f>
        <v>0</v>
      </c>
      <c r="N20" s="189">
        <f>'[19]Раз.пос.(Пр.3-26)     '!N20+'[19]Уточнение для Пр.5-26'!N20</f>
        <v>0</v>
      </c>
      <c r="O20" s="186">
        <f t="shared" si="5"/>
        <v>0</v>
      </c>
      <c r="P20" s="189">
        <v>0</v>
      </c>
      <c r="Q20" s="189">
        <v>0</v>
      </c>
      <c r="R20" s="189">
        <f>'[19]Раз.пос.(Пр.3-26)     '!R20+'[19]Уточнение для Пр.5-26'!R20</f>
        <v>0</v>
      </c>
      <c r="S20" s="189">
        <f>'[19]Раз.пос.(Пр.3-26)     '!S20+'[19]Уточнение для Пр.5-26'!S20</f>
        <v>0</v>
      </c>
    </row>
    <row r="21" spans="1:19" x14ac:dyDescent="0.2">
      <c r="A21" s="128">
        <v>11</v>
      </c>
      <c r="B21" s="834" t="s">
        <v>70</v>
      </c>
      <c r="C21" s="31" t="s">
        <v>71</v>
      </c>
      <c r="D21" s="186">
        <f t="shared" si="6"/>
        <v>12965</v>
      </c>
      <c r="E21" s="189">
        <f t="shared" si="3"/>
        <v>0</v>
      </c>
      <c r="F21" s="189">
        <f>'[19]Раз.пос.(Пр.3-26)     '!F21+'[19]Уточнение для Пр.5-26'!F21</f>
        <v>0</v>
      </c>
      <c r="G21" s="189">
        <f>'[19]Раз.пос.(Пр.3-26)     '!G21+'[19]Уточнение для Пр.5-26'!G21</f>
        <v>0</v>
      </c>
      <c r="H21" s="189">
        <f t="shared" si="4"/>
        <v>12965</v>
      </c>
      <c r="I21" s="190">
        <v>0</v>
      </c>
      <c r="J21" s="189">
        <v>2886</v>
      </c>
      <c r="K21" s="189">
        <v>1123</v>
      </c>
      <c r="L21" s="189">
        <v>8956</v>
      </c>
      <c r="M21" s="189">
        <f>'[19]Раз.пос.(Пр.3-26)     '!M21+'[19]Уточнение для Пр.5-26'!M21</f>
        <v>0</v>
      </c>
      <c r="N21" s="189">
        <f>'[19]Раз.пос.(Пр.3-26)     '!N21+'[19]Уточнение для Пр.5-26'!N21</f>
        <v>0</v>
      </c>
      <c r="O21" s="186">
        <f t="shared" si="5"/>
        <v>0</v>
      </c>
      <c r="P21" s="189">
        <v>0</v>
      </c>
      <c r="Q21" s="189">
        <v>0</v>
      </c>
      <c r="R21" s="189">
        <f>'[19]Раз.пос.(Пр.3-26)     '!R21+'[19]Уточнение для Пр.5-26'!R21</f>
        <v>0</v>
      </c>
      <c r="S21" s="189">
        <f>'[19]Раз.пос.(Пр.3-26)     '!S21+'[19]Уточнение для Пр.5-26'!S21</f>
        <v>0</v>
      </c>
    </row>
    <row r="22" spans="1:19" x14ac:dyDescent="0.2">
      <c r="A22" s="128">
        <v>12</v>
      </c>
      <c r="B22" s="834" t="s">
        <v>72</v>
      </c>
      <c r="C22" s="31" t="s">
        <v>73</v>
      </c>
      <c r="D22" s="186">
        <f t="shared" si="6"/>
        <v>51025</v>
      </c>
      <c r="E22" s="189">
        <f t="shared" si="3"/>
        <v>0</v>
      </c>
      <c r="F22" s="189">
        <f>'[19]Раз.пос.(Пр.3-26)     '!F22+'[19]Уточнение для Пр.5-26'!F22</f>
        <v>0</v>
      </c>
      <c r="G22" s="189">
        <f>'[19]Раз.пос.(Пр.3-26)     '!G22+'[19]Уточнение для Пр.5-26'!G22</f>
        <v>0</v>
      </c>
      <c r="H22" s="189">
        <f t="shared" si="4"/>
        <v>49561</v>
      </c>
      <c r="I22" s="190">
        <v>0</v>
      </c>
      <c r="J22" s="189">
        <v>6000</v>
      </c>
      <c r="K22" s="189">
        <v>3766</v>
      </c>
      <c r="L22" s="189">
        <v>39795</v>
      </c>
      <c r="M22" s="189">
        <f>'[19]Раз.пос.(Пр.3-26)     '!M22+'[19]Уточнение для Пр.5-26'!M22</f>
        <v>1025</v>
      </c>
      <c r="N22" s="189">
        <f>'[19]Раз.пос.(Пр.3-26)     '!N22+'[19]Уточнение для Пр.5-26'!N22</f>
        <v>439</v>
      </c>
      <c r="O22" s="186">
        <f t="shared" si="5"/>
        <v>0</v>
      </c>
      <c r="P22" s="189">
        <v>0</v>
      </c>
      <c r="Q22" s="189">
        <v>0</v>
      </c>
      <c r="R22" s="189">
        <f>'[19]Раз.пос.(Пр.3-26)     '!R22+'[19]Уточнение для Пр.5-26'!R22</f>
        <v>0</v>
      </c>
      <c r="S22" s="189">
        <f>'[19]Раз.пос.(Пр.3-26)     '!S22+'[19]Уточнение для Пр.5-26'!S22</f>
        <v>0</v>
      </c>
    </row>
    <row r="23" spans="1:19" x14ac:dyDescent="0.2">
      <c r="A23" s="128">
        <v>13</v>
      </c>
      <c r="B23" s="834" t="s">
        <v>74</v>
      </c>
      <c r="C23" s="31" t="s">
        <v>75</v>
      </c>
      <c r="D23" s="186">
        <f t="shared" si="6"/>
        <v>0</v>
      </c>
      <c r="E23" s="189">
        <f t="shared" si="3"/>
        <v>0</v>
      </c>
      <c r="F23" s="189">
        <f>'[19]Раз.пос.(Пр.3-26)     '!F23+'[19]Уточнение для Пр.5-26'!F23</f>
        <v>0</v>
      </c>
      <c r="G23" s="189">
        <f>'[19]Раз.пос.(Пр.3-26)     '!G23+'[19]Уточнение для Пр.5-26'!G23</f>
        <v>0</v>
      </c>
      <c r="H23" s="189">
        <f t="shared" si="4"/>
        <v>0</v>
      </c>
      <c r="I23" s="190">
        <v>0</v>
      </c>
      <c r="J23" s="189">
        <v>0</v>
      </c>
      <c r="K23" s="189">
        <v>0</v>
      </c>
      <c r="L23" s="189">
        <v>0</v>
      </c>
      <c r="M23" s="189">
        <f>'[19]Раз.пос.(Пр.3-26)     '!M23+'[19]Уточнение для Пр.5-26'!M23</f>
        <v>0</v>
      </c>
      <c r="N23" s="189">
        <f>'[19]Раз.пос.(Пр.3-26)     '!N23+'[19]Уточнение для Пр.5-26'!N23</f>
        <v>0</v>
      </c>
      <c r="O23" s="186">
        <f t="shared" si="5"/>
        <v>0</v>
      </c>
      <c r="P23" s="189">
        <v>0</v>
      </c>
      <c r="Q23" s="189">
        <v>0</v>
      </c>
      <c r="R23" s="189">
        <f>'[19]Раз.пос.(Пр.3-26)     '!R23+'[19]Уточнение для Пр.5-26'!R23</f>
        <v>0</v>
      </c>
      <c r="S23" s="189">
        <f>'[19]Раз.пос.(Пр.3-26)     '!S23+'[19]Уточнение для Пр.5-26'!S23</f>
        <v>0</v>
      </c>
    </row>
    <row r="24" spans="1:19" x14ac:dyDescent="0.2">
      <c r="A24" s="128">
        <v>14</v>
      </c>
      <c r="B24" s="834" t="s">
        <v>76</v>
      </c>
      <c r="C24" s="31" t="s">
        <v>77</v>
      </c>
      <c r="D24" s="186">
        <f t="shared" si="6"/>
        <v>17819</v>
      </c>
      <c r="E24" s="189">
        <f t="shared" si="3"/>
        <v>0</v>
      </c>
      <c r="F24" s="189">
        <f>'[19]Раз.пос.(Пр.3-26)     '!F24+'[19]Уточнение для Пр.5-26'!F24</f>
        <v>0</v>
      </c>
      <c r="G24" s="189">
        <f>'[19]Раз.пос.(Пр.3-26)     '!G24+'[19]Уточнение для Пр.5-26'!G24</f>
        <v>0</v>
      </c>
      <c r="H24" s="189">
        <f t="shared" si="4"/>
        <v>17819</v>
      </c>
      <c r="I24" s="190">
        <v>0</v>
      </c>
      <c r="J24" s="189">
        <v>902</v>
      </c>
      <c r="K24" s="189">
        <v>1088</v>
      </c>
      <c r="L24" s="189">
        <v>15829</v>
      </c>
      <c r="M24" s="189">
        <f>'[19]Раз.пос.(Пр.3-26)     '!M24+'[19]Уточнение для Пр.5-26'!M24</f>
        <v>0</v>
      </c>
      <c r="N24" s="189">
        <f>'[19]Раз.пос.(Пр.3-26)     '!N24+'[19]Уточнение для Пр.5-26'!N24</f>
        <v>0</v>
      </c>
      <c r="O24" s="186">
        <f t="shared" si="5"/>
        <v>0</v>
      </c>
      <c r="P24" s="189">
        <v>0</v>
      </c>
      <c r="Q24" s="189">
        <v>0</v>
      </c>
      <c r="R24" s="189">
        <f>'[19]Раз.пос.(Пр.3-26)     '!R24+'[19]Уточнение для Пр.5-26'!R24</f>
        <v>0</v>
      </c>
      <c r="S24" s="189">
        <f>'[19]Раз.пос.(Пр.3-26)     '!S24+'[19]Уточнение для Пр.5-26'!S24</f>
        <v>0</v>
      </c>
    </row>
    <row r="25" spans="1:19" x14ac:dyDescent="0.2">
      <c r="A25" s="128">
        <v>15</v>
      </c>
      <c r="B25" s="834" t="s">
        <v>78</v>
      </c>
      <c r="C25" s="31" t="s">
        <v>79</v>
      </c>
      <c r="D25" s="186">
        <f t="shared" si="6"/>
        <v>37188</v>
      </c>
      <c r="E25" s="189">
        <f t="shared" si="3"/>
        <v>0</v>
      </c>
      <c r="F25" s="189">
        <f>'[19]Раз.пос.(Пр.3-26)     '!F25+'[19]Уточнение для Пр.5-26'!F25</f>
        <v>0</v>
      </c>
      <c r="G25" s="189">
        <f>'[19]Раз.пос.(Пр.3-26)     '!G25+'[19]Уточнение для Пр.5-26'!G25</f>
        <v>0</v>
      </c>
      <c r="H25" s="189">
        <f t="shared" si="4"/>
        <v>35724</v>
      </c>
      <c r="I25" s="190">
        <v>0</v>
      </c>
      <c r="J25" s="189">
        <v>3905</v>
      </c>
      <c r="K25" s="189">
        <v>7165</v>
      </c>
      <c r="L25" s="189">
        <v>24654</v>
      </c>
      <c r="M25" s="189">
        <f>'[19]Раз.пос.(Пр.3-26)     '!M25+'[19]Уточнение для Пр.5-26'!M25</f>
        <v>1025</v>
      </c>
      <c r="N25" s="189">
        <f>'[19]Раз.пос.(Пр.3-26)     '!N25+'[19]Уточнение для Пр.5-26'!N25</f>
        <v>439</v>
      </c>
      <c r="O25" s="186">
        <f t="shared" si="5"/>
        <v>0</v>
      </c>
      <c r="P25" s="189">
        <v>0</v>
      </c>
      <c r="Q25" s="189">
        <v>0</v>
      </c>
      <c r="R25" s="189">
        <f>'[19]Раз.пос.(Пр.3-26)     '!R25+'[19]Уточнение для Пр.5-26'!R25</f>
        <v>0</v>
      </c>
      <c r="S25" s="189">
        <f>'[19]Раз.пос.(Пр.3-26)     '!S25+'[19]Уточнение для Пр.5-26'!S25</f>
        <v>0</v>
      </c>
    </row>
    <row r="26" spans="1:19" x14ac:dyDescent="0.2">
      <c r="A26" s="128">
        <v>16</v>
      </c>
      <c r="B26" s="834" t="s">
        <v>80</v>
      </c>
      <c r="C26" s="31" t="s">
        <v>81</v>
      </c>
      <c r="D26" s="186">
        <f t="shared" si="6"/>
        <v>51194</v>
      </c>
      <c r="E26" s="189">
        <f t="shared" si="3"/>
        <v>0</v>
      </c>
      <c r="F26" s="189">
        <f>'[19]Раз.пос.(Пр.3-26)     '!F26+'[19]Уточнение для Пр.5-26'!F26</f>
        <v>0</v>
      </c>
      <c r="G26" s="189">
        <f>'[19]Раз.пос.(Пр.3-26)     '!G26+'[19]Уточнение для Пр.5-26'!G26</f>
        <v>0</v>
      </c>
      <c r="H26" s="189">
        <f t="shared" si="4"/>
        <v>51194</v>
      </c>
      <c r="I26" s="190">
        <v>0</v>
      </c>
      <c r="J26" s="189">
        <v>4200</v>
      </c>
      <c r="K26" s="189">
        <v>5195</v>
      </c>
      <c r="L26" s="189">
        <v>41799</v>
      </c>
      <c r="M26" s="189">
        <f>'[19]Раз.пос.(Пр.3-26)     '!M26+'[19]Уточнение для Пр.5-26'!M26</f>
        <v>0</v>
      </c>
      <c r="N26" s="189">
        <f>'[19]Раз.пос.(Пр.3-26)     '!N26+'[19]Уточнение для Пр.5-26'!N26</f>
        <v>0</v>
      </c>
      <c r="O26" s="186">
        <f t="shared" si="5"/>
        <v>0</v>
      </c>
      <c r="P26" s="189">
        <v>0</v>
      </c>
      <c r="Q26" s="189">
        <v>0</v>
      </c>
      <c r="R26" s="189">
        <f>'[19]Раз.пос.(Пр.3-26)     '!R26+'[19]Уточнение для Пр.5-26'!R26</f>
        <v>0</v>
      </c>
      <c r="S26" s="189">
        <f>'[19]Раз.пос.(Пр.3-26)     '!S26+'[19]Уточнение для Пр.5-26'!S26</f>
        <v>0</v>
      </c>
    </row>
    <row r="27" spans="1:19" x14ac:dyDescent="0.2">
      <c r="A27" s="128">
        <v>17</v>
      </c>
      <c r="B27" s="834" t="s">
        <v>20</v>
      </c>
      <c r="C27" s="31" t="s">
        <v>21</v>
      </c>
      <c r="D27" s="186">
        <f t="shared" si="6"/>
        <v>71220</v>
      </c>
      <c r="E27" s="189">
        <f t="shared" si="3"/>
        <v>0</v>
      </c>
      <c r="F27" s="189">
        <f>'[19]Раз.пос.(Пр.3-26)     '!F27+'[19]Уточнение для Пр.5-26'!F27</f>
        <v>0</v>
      </c>
      <c r="G27" s="189">
        <f>'[19]Раз.пос.(Пр.3-26)     '!G27+'[19]Уточнение для Пр.5-26'!G27</f>
        <v>0</v>
      </c>
      <c r="H27" s="189">
        <f t="shared" si="4"/>
        <v>69756</v>
      </c>
      <c r="I27" s="190">
        <v>100</v>
      </c>
      <c r="J27" s="189">
        <v>4100</v>
      </c>
      <c r="K27" s="189">
        <v>7431</v>
      </c>
      <c r="L27" s="189">
        <v>58125</v>
      </c>
      <c r="M27" s="189">
        <f>'[19]Раз.пос.(Пр.3-26)     '!M27+'[19]Уточнение для Пр.5-26'!M27</f>
        <v>1025</v>
      </c>
      <c r="N27" s="189">
        <f>'[19]Раз.пос.(Пр.3-26)     '!N27+'[19]Уточнение для Пр.5-26'!N27</f>
        <v>439</v>
      </c>
      <c r="O27" s="186">
        <f t="shared" si="5"/>
        <v>0</v>
      </c>
      <c r="P27" s="189">
        <v>0</v>
      </c>
      <c r="Q27" s="189">
        <v>0</v>
      </c>
      <c r="R27" s="189">
        <f>'[19]Раз.пос.(Пр.3-26)     '!R27+'[19]Уточнение для Пр.5-26'!R27</f>
        <v>0</v>
      </c>
      <c r="S27" s="189">
        <f>'[19]Раз.пос.(Пр.3-26)     '!S27+'[19]Уточнение для Пр.5-26'!S27</f>
        <v>0</v>
      </c>
    </row>
    <row r="28" spans="1:19" x14ac:dyDescent="0.2">
      <c r="A28" s="128">
        <v>18</v>
      </c>
      <c r="B28" s="71" t="s">
        <v>82</v>
      </c>
      <c r="C28" s="31" t="s">
        <v>83</v>
      </c>
      <c r="D28" s="186">
        <f t="shared" si="6"/>
        <v>18099</v>
      </c>
      <c r="E28" s="189">
        <f t="shared" si="3"/>
        <v>0</v>
      </c>
      <c r="F28" s="189">
        <f>'[19]Раз.пос.(Пр.3-26)     '!F28+'[19]Уточнение для Пр.5-26'!F28</f>
        <v>0</v>
      </c>
      <c r="G28" s="189">
        <f>'[19]Раз.пос.(Пр.3-26)     '!G28+'[19]Уточнение для Пр.5-26'!G28</f>
        <v>0</v>
      </c>
      <c r="H28" s="189">
        <f t="shared" si="4"/>
        <v>18099</v>
      </c>
      <c r="I28" s="190">
        <v>0</v>
      </c>
      <c r="J28" s="189">
        <v>2400</v>
      </c>
      <c r="K28" s="189">
        <v>0</v>
      </c>
      <c r="L28" s="189">
        <v>15699</v>
      </c>
      <c r="M28" s="189">
        <f>'[19]Раз.пос.(Пр.3-26)     '!M28+'[19]Уточнение для Пр.5-26'!M28</f>
        <v>0</v>
      </c>
      <c r="N28" s="189">
        <f>'[19]Раз.пос.(Пр.3-26)     '!N28+'[19]Уточнение для Пр.5-26'!N28</f>
        <v>0</v>
      </c>
      <c r="O28" s="186">
        <f t="shared" si="5"/>
        <v>0</v>
      </c>
      <c r="P28" s="189">
        <v>0</v>
      </c>
      <c r="Q28" s="189">
        <v>0</v>
      </c>
      <c r="R28" s="189">
        <f>'[19]Раз.пос.(Пр.3-26)     '!R28+'[19]Уточнение для Пр.5-26'!R28</f>
        <v>0</v>
      </c>
      <c r="S28" s="189">
        <f>'[19]Раз.пос.(Пр.3-26)     '!S28+'[19]Уточнение для Пр.5-26'!S28</f>
        <v>0</v>
      </c>
    </row>
    <row r="29" spans="1:19" x14ac:dyDescent="0.2">
      <c r="A29" s="128">
        <v>19</v>
      </c>
      <c r="B29" s="71" t="s">
        <v>84</v>
      </c>
      <c r="C29" s="31" t="s">
        <v>85</v>
      </c>
      <c r="D29" s="186">
        <f t="shared" si="6"/>
        <v>9724</v>
      </c>
      <c r="E29" s="189">
        <f t="shared" si="3"/>
        <v>0</v>
      </c>
      <c r="F29" s="189">
        <f>'[19]Раз.пос.(Пр.3-26)     '!F29+'[19]Уточнение для Пр.5-26'!F29</f>
        <v>0</v>
      </c>
      <c r="G29" s="189">
        <f>'[19]Раз.пос.(Пр.3-26)     '!G29+'[19]Уточнение для Пр.5-26'!G29</f>
        <v>0</v>
      </c>
      <c r="H29" s="189">
        <f t="shared" si="4"/>
        <v>9724</v>
      </c>
      <c r="I29" s="190">
        <v>0</v>
      </c>
      <c r="J29" s="189">
        <v>468</v>
      </c>
      <c r="K29" s="189">
        <v>1143</v>
      </c>
      <c r="L29" s="189">
        <v>8113</v>
      </c>
      <c r="M29" s="189">
        <f>'[19]Раз.пос.(Пр.3-26)     '!M29+'[19]Уточнение для Пр.5-26'!M29</f>
        <v>0</v>
      </c>
      <c r="N29" s="189">
        <f>'[19]Раз.пос.(Пр.3-26)     '!N29+'[19]Уточнение для Пр.5-26'!N29</f>
        <v>0</v>
      </c>
      <c r="O29" s="186">
        <f t="shared" si="5"/>
        <v>0</v>
      </c>
      <c r="P29" s="189">
        <v>0</v>
      </c>
      <c r="Q29" s="189">
        <v>0</v>
      </c>
      <c r="R29" s="189">
        <f>'[19]Раз.пос.(Пр.3-26)     '!R29+'[19]Уточнение для Пр.5-26'!R29</f>
        <v>0</v>
      </c>
      <c r="S29" s="189">
        <f>'[19]Раз.пос.(Пр.3-26)     '!S29+'[19]Уточнение для Пр.5-26'!S29</f>
        <v>0</v>
      </c>
    </row>
    <row r="30" spans="1:19" x14ac:dyDescent="0.2">
      <c r="A30" s="128">
        <v>20</v>
      </c>
      <c r="B30" s="71" t="s">
        <v>86</v>
      </c>
      <c r="C30" s="31" t="s">
        <v>87</v>
      </c>
      <c r="D30" s="186">
        <f t="shared" si="6"/>
        <v>60446</v>
      </c>
      <c r="E30" s="189">
        <f t="shared" si="3"/>
        <v>0</v>
      </c>
      <c r="F30" s="189">
        <f>'[19]Раз.пос.(Пр.3-26)     '!F30+'[19]Уточнение для Пр.5-26'!F30</f>
        <v>0</v>
      </c>
      <c r="G30" s="189">
        <f>'[19]Раз.пос.(Пр.3-26)     '!G30+'[19]Уточнение для Пр.5-26'!G30</f>
        <v>0</v>
      </c>
      <c r="H30" s="189">
        <f t="shared" si="4"/>
        <v>58982</v>
      </c>
      <c r="I30" s="190">
        <v>900</v>
      </c>
      <c r="J30" s="189">
        <v>4896</v>
      </c>
      <c r="K30" s="189">
        <v>6211</v>
      </c>
      <c r="L30" s="189">
        <v>46975</v>
      </c>
      <c r="M30" s="189">
        <f>'[19]Раз.пос.(Пр.3-26)     '!M30+'[19]Уточнение для Пр.5-26'!M30</f>
        <v>1025</v>
      </c>
      <c r="N30" s="189">
        <f>'[19]Раз.пос.(Пр.3-26)     '!N30+'[19]Уточнение для Пр.5-26'!N30</f>
        <v>439</v>
      </c>
      <c r="O30" s="186">
        <f t="shared" si="5"/>
        <v>0</v>
      </c>
      <c r="P30" s="189">
        <v>0</v>
      </c>
      <c r="Q30" s="189">
        <v>0</v>
      </c>
      <c r="R30" s="189">
        <f>'[19]Раз.пос.(Пр.3-26)     '!R30+'[19]Уточнение для Пр.5-26'!R30</f>
        <v>0</v>
      </c>
      <c r="S30" s="189">
        <f>'[19]Раз.пос.(Пр.3-26)     '!S30+'[19]Уточнение для Пр.5-26'!S30</f>
        <v>0</v>
      </c>
    </row>
    <row r="31" spans="1:19" x14ac:dyDescent="0.2">
      <c r="A31" s="128">
        <v>21</v>
      </c>
      <c r="B31" s="71" t="s">
        <v>22</v>
      </c>
      <c r="C31" s="31" t="s">
        <v>23</v>
      </c>
      <c r="D31" s="186">
        <f t="shared" si="6"/>
        <v>72190</v>
      </c>
      <c r="E31" s="189">
        <f t="shared" si="3"/>
        <v>0</v>
      </c>
      <c r="F31" s="189">
        <f>'[19]Раз.пос.(Пр.3-26)     '!F31+'[19]Уточнение для Пр.5-26'!F31</f>
        <v>0</v>
      </c>
      <c r="G31" s="189">
        <f>'[19]Раз.пос.(Пр.3-26)     '!G31+'[19]Уточнение для Пр.5-26'!G31</f>
        <v>0</v>
      </c>
      <c r="H31" s="189">
        <f t="shared" si="4"/>
        <v>70148</v>
      </c>
      <c r="I31" s="190">
        <v>0</v>
      </c>
      <c r="J31" s="189">
        <v>5715</v>
      </c>
      <c r="K31" s="189">
        <v>5245</v>
      </c>
      <c r="L31" s="189">
        <v>59188</v>
      </c>
      <c r="M31" s="189">
        <f>'[19]Раз.пос.(Пр.3-26)     '!M31+'[19]Уточнение для Пр.5-26'!M31</f>
        <v>1025</v>
      </c>
      <c r="N31" s="189">
        <f>'[19]Раз.пос.(Пр.3-26)     '!N31+'[19]Уточнение для Пр.5-26'!N31</f>
        <v>439</v>
      </c>
      <c r="O31" s="186">
        <f t="shared" si="5"/>
        <v>578</v>
      </c>
      <c r="P31" s="189">
        <v>0</v>
      </c>
      <c r="Q31" s="189">
        <v>578</v>
      </c>
      <c r="R31" s="189">
        <f>'[19]Раз.пос.(Пр.3-26)     '!R31+'[19]Уточнение для Пр.5-26'!R31</f>
        <v>0</v>
      </c>
      <c r="S31" s="189">
        <f>'[19]Раз.пос.(Пр.3-26)     '!S31+'[19]Уточнение для Пр.5-26'!S31</f>
        <v>0</v>
      </c>
    </row>
    <row r="32" spans="1:19" x14ac:dyDescent="0.2">
      <c r="A32" s="128">
        <v>22</v>
      </c>
      <c r="B32" s="834" t="s">
        <v>24</v>
      </c>
      <c r="C32" s="31" t="s">
        <v>25</v>
      </c>
      <c r="D32" s="186">
        <f t="shared" si="6"/>
        <v>17892</v>
      </c>
      <c r="E32" s="189">
        <f t="shared" si="3"/>
        <v>0</v>
      </c>
      <c r="F32" s="189">
        <f>'[19]Раз.пос.(Пр.3-26)     '!F32+'[19]Уточнение для Пр.5-26'!F32</f>
        <v>0</v>
      </c>
      <c r="G32" s="189">
        <f>'[19]Раз.пос.(Пр.3-26)     '!G32+'[19]Уточнение для Пр.5-26'!G32</f>
        <v>0</v>
      </c>
      <c r="H32" s="189">
        <f t="shared" si="4"/>
        <v>17892</v>
      </c>
      <c r="I32" s="190">
        <v>0</v>
      </c>
      <c r="J32" s="189">
        <v>2718</v>
      </c>
      <c r="K32" s="189">
        <v>2232</v>
      </c>
      <c r="L32" s="189">
        <v>12942</v>
      </c>
      <c r="M32" s="189">
        <f>'[19]Раз.пос.(Пр.3-26)     '!M32+'[19]Уточнение для Пр.5-26'!M32</f>
        <v>0</v>
      </c>
      <c r="N32" s="189">
        <f>'[19]Раз.пос.(Пр.3-26)     '!N32+'[19]Уточнение для Пр.5-26'!N32</f>
        <v>0</v>
      </c>
      <c r="O32" s="186">
        <f t="shared" si="5"/>
        <v>0</v>
      </c>
      <c r="P32" s="189">
        <v>0</v>
      </c>
      <c r="Q32" s="189">
        <v>0</v>
      </c>
      <c r="R32" s="189">
        <f>'[19]Раз.пос.(Пр.3-26)     '!R32+'[19]Уточнение для Пр.5-26'!R32</f>
        <v>0</v>
      </c>
      <c r="S32" s="189">
        <f>'[19]Раз.пос.(Пр.3-26)     '!S32+'[19]Уточнение для Пр.5-26'!S32</f>
        <v>0</v>
      </c>
    </row>
    <row r="33" spans="1:19" x14ac:dyDescent="0.2">
      <c r="A33" s="128">
        <v>23</v>
      </c>
      <c r="B33" s="834" t="s">
        <v>88</v>
      </c>
      <c r="C33" s="31" t="s">
        <v>89</v>
      </c>
      <c r="D33" s="186">
        <f t="shared" si="6"/>
        <v>0</v>
      </c>
      <c r="E33" s="189">
        <f t="shared" si="3"/>
        <v>0</v>
      </c>
      <c r="F33" s="189">
        <f>'[19]Раз.пос.(Пр.3-26)     '!F33+'[19]Уточнение для Пр.5-26'!F33</f>
        <v>0</v>
      </c>
      <c r="G33" s="189">
        <f>'[19]Раз.пос.(Пр.3-26)     '!G33+'[19]Уточнение для Пр.5-26'!G33</f>
        <v>0</v>
      </c>
      <c r="H33" s="189">
        <f t="shared" si="4"/>
        <v>0</v>
      </c>
      <c r="I33" s="190">
        <v>0</v>
      </c>
      <c r="J33" s="189">
        <v>0</v>
      </c>
      <c r="K33" s="189">
        <v>0</v>
      </c>
      <c r="L33" s="189">
        <v>0</v>
      </c>
      <c r="M33" s="189">
        <f>'[19]Раз.пос.(Пр.3-26)     '!M33+'[19]Уточнение для Пр.5-26'!M33</f>
        <v>0</v>
      </c>
      <c r="N33" s="189">
        <f>'[19]Раз.пос.(Пр.3-26)     '!N33+'[19]Уточнение для Пр.5-26'!N33</f>
        <v>0</v>
      </c>
      <c r="O33" s="186">
        <v>0</v>
      </c>
      <c r="P33" s="189">
        <v>0</v>
      </c>
      <c r="Q33" s="189">
        <v>0</v>
      </c>
      <c r="R33" s="189">
        <f>'[19]Раз.пос.(Пр.3-26)     '!R33+'[19]Уточнение для Пр.5-26'!R33</f>
        <v>0</v>
      </c>
      <c r="S33" s="189">
        <f>'[19]Раз.пос.(Пр.3-26)     '!S33+'[19]Уточнение для Пр.5-26'!S33</f>
        <v>0</v>
      </c>
    </row>
    <row r="34" spans="1:19" ht="24" x14ac:dyDescent="0.2">
      <c r="A34" s="128">
        <v>24</v>
      </c>
      <c r="B34" s="834" t="s">
        <v>90</v>
      </c>
      <c r="C34" s="31" t="s">
        <v>91</v>
      </c>
      <c r="D34" s="186">
        <f t="shared" si="6"/>
        <v>0</v>
      </c>
      <c r="E34" s="189">
        <f t="shared" si="3"/>
        <v>0</v>
      </c>
      <c r="F34" s="189">
        <f>'[19]Раз.пос.(Пр.3-26)     '!F34+'[19]Уточнение для Пр.5-26'!F34</f>
        <v>0</v>
      </c>
      <c r="G34" s="189">
        <f>'[19]Раз.пос.(Пр.3-26)     '!G34+'[19]Уточнение для Пр.5-26'!G34</f>
        <v>0</v>
      </c>
      <c r="H34" s="189">
        <f t="shared" si="4"/>
        <v>0</v>
      </c>
      <c r="I34" s="190">
        <v>0</v>
      </c>
      <c r="J34" s="189">
        <v>0</v>
      </c>
      <c r="K34" s="189">
        <v>0</v>
      </c>
      <c r="L34" s="189">
        <v>0</v>
      </c>
      <c r="M34" s="189">
        <f>'[19]Раз.пос.(Пр.3-26)     '!M34+'[19]Уточнение для Пр.5-26'!M34</f>
        <v>0</v>
      </c>
      <c r="N34" s="189">
        <f>'[19]Раз.пос.(Пр.3-26)     '!N34+'[19]Уточнение для Пр.5-26'!N34</f>
        <v>0</v>
      </c>
      <c r="O34" s="186">
        <v>0</v>
      </c>
      <c r="P34" s="189">
        <v>0</v>
      </c>
      <c r="Q34" s="189">
        <v>0</v>
      </c>
      <c r="R34" s="189">
        <f>'[19]Раз.пос.(Пр.3-26)     '!R34+'[19]Уточнение для Пр.5-26'!R34</f>
        <v>0</v>
      </c>
      <c r="S34" s="189">
        <f>'[19]Раз.пос.(Пр.3-26)     '!S34+'[19]Уточнение для Пр.5-26'!S34</f>
        <v>0</v>
      </c>
    </row>
    <row r="35" spans="1:19" x14ac:dyDescent="0.2">
      <c r="A35" s="128">
        <v>25</v>
      </c>
      <c r="B35" s="71" t="s">
        <v>92</v>
      </c>
      <c r="C35" s="31" t="s">
        <v>93</v>
      </c>
      <c r="D35" s="186">
        <f>E35+H35+M35+N35+O35+S35</f>
        <v>251587</v>
      </c>
      <c r="E35" s="189">
        <f t="shared" si="3"/>
        <v>0</v>
      </c>
      <c r="F35" s="189">
        <f>'[19]Раз.пос.(Пр.3-26)     '!F35+'[19]Уточнение для Пр.5-26'!F35</f>
        <v>0</v>
      </c>
      <c r="G35" s="189">
        <f>'[19]Раз.пос.(Пр.3-26)     '!G35+'[19]Уточнение для Пр.5-26'!G35</f>
        <v>0</v>
      </c>
      <c r="H35" s="189">
        <f t="shared" si="4"/>
        <v>234919</v>
      </c>
      <c r="I35" s="190">
        <v>0</v>
      </c>
      <c r="J35" s="189">
        <v>38800</v>
      </c>
      <c r="K35" s="189">
        <v>3209</v>
      </c>
      <c r="L35" s="189">
        <v>192910</v>
      </c>
      <c r="M35" s="189">
        <f>'[19]Раз.пос.(Пр.3-26)     '!M35+'[19]Уточнение для Пр.5-26'!M35</f>
        <v>2050</v>
      </c>
      <c r="N35" s="189">
        <f>'[19]Раз.пос.(Пр.3-26)     '!N35+'[19]Уточнение для Пр.5-26'!N35</f>
        <v>878</v>
      </c>
      <c r="O35" s="186">
        <f t="shared" si="5"/>
        <v>6968</v>
      </c>
      <c r="P35" s="189">
        <v>0</v>
      </c>
      <c r="Q35" s="189">
        <v>6968</v>
      </c>
      <c r="R35" s="189">
        <f>'[19]Раз.пос.(Пр.3-26)     '!R35+'[19]Уточнение для Пр.5-26'!R35</f>
        <v>0</v>
      </c>
      <c r="S35" s="189">
        <f>'[19]Раз.пос.(Пр.3-26)     '!S35+'[19]Уточнение для Пр.5-26'!S35</f>
        <v>6772</v>
      </c>
    </row>
    <row r="36" spans="1:19" x14ac:dyDescent="0.2">
      <c r="A36" s="128">
        <v>26</v>
      </c>
      <c r="B36" s="834" t="s">
        <v>94</v>
      </c>
      <c r="C36" s="31" t="s">
        <v>95</v>
      </c>
      <c r="D36" s="186">
        <f>E36+H36+M36+N36+O36+S36</f>
        <v>0</v>
      </c>
      <c r="E36" s="189">
        <f t="shared" si="3"/>
        <v>0</v>
      </c>
      <c r="F36" s="189">
        <f>'[19]Раз.пос.(Пр.3-26)     '!F36+'[19]Уточнение для Пр.5-26'!F36</f>
        <v>0</v>
      </c>
      <c r="G36" s="189">
        <f>'[19]Раз.пос.(Пр.3-26)     '!G36+'[19]Уточнение для Пр.5-26'!G36</f>
        <v>0</v>
      </c>
      <c r="H36" s="189">
        <f t="shared" si="4"/>
        <v>0</v>
      </c>
      <c r="I36" s="190">
        <v>0</v>
      </c>
      <c r="J36" s="189">
        <v>0</v>
      </c>
      <c r="K36" s="189">
        <v>0</v>
      </c>
      <c r="L36" s="189">
        <v>0</v>
      </c>
      <c r="M36" s="189">
        <f>'[19]Раз.пос.(Пр.3-26)     '!M36+'[19]Уточнение для Пр.5-26'!M36</f>
        <v>0</v>
      </c>
      <c r="N36" s="189">
        <f>'[19]Раз.пос.(Пр.3-26)     '!N36+'[19]Уточнение для Пр.5-26'!N36</f>
        <v>0</v>
      </c>
      <c r="O36" s="186">
        <f t="shared" si="5"/>
        <v>0</v>
      </c>
      <c r="P36" s="189">
        <v>0</v>
      </c>
      <c r="Q36" s="189">
        <v>0</v>
      </c>
      <c r="R36" s="189">
        <f>'[19]Раз.пос.(Пр.3-26)     '!R36+'[19]Уточнение для Пр.5-26'!R36</f>
        <v>0</v>
      </c>
      <c r="S36" s="189">
        <f>'[19]Раз.пос.(Пр.3-26)     '!S36+'[19]Уточнение для Пр.5-26'!S36</f>
        <v>0</v>
      </c>
    </row>
    <row r="37" spans="1:19" x14ac:dyDescent="0.2">
      <c r="A37" s="128">
        <v>27</v>
      </c>
      <c r="B37" s="72" t="s">
        <v>96</v>
      </c>
      <c r="C37" s="31" t="s">
        <v>97</v>
      </c>
      <c r="D37" s="186">
        <f t="shared" si="6"/>
        <v>36967</v>
      </c>
      <c r="E37" s="189">
        <f t="shared" si="3"/>
        <v>0</v>
      </c>
      <c r="F37" s="189">
        <f>'[19]Раз.пос.(Пр.3-26)     '!F37+'[19]Уточнение для Пр.5-26'!F37</f>
        <v>0</v>
      </c>
      <c r="G37" s="189">
        <f>'[19]Раз.пос.(Пр.3-26)     '!G37+'[19]Уточнение для Пр.5-26'!G37</f>
        <v>0</v>
      </c>
      <c r="H37" s="189">
        <f t="shared" si="4"/>
        <v>36967</v>
      </c>
      <c r="I37" s="190">
        <v>2690</v>
      </c>
      <c r="J37" s="189">
        <v>0</v>
      </c>
      <c r="K37" s="189">
        <v>34277</v>
      </c>
      <c r="L37" s="189">
        <v>0</v>
      </c>
      <c r="M37" s="189">
        <f>'[19]Раз.пос.(Пр.3-26)     '!M37+'[19]Уточнение для Пр.5-26'!M37</f>
        <v>0</v>
      </c>
      <c r="N37" s="189">
        <f>'[19]Раз.пос.(Пр.3-26)     '!N37+'[19]Уточнение для Пр.5-26'!N37</f>
        <v>0</v>
      </c>
      <c r="O37" s="186">
        <f t="shared" si="5"/>
        <v>0</v>
      </c>
      <c r="P37" s="189">
        <v>0</v>
      </c>
      <c r="Q37" s="189">
        <v>0</v>
      </c>
      <c r="R37" s="189">
        <f>'[19]Раз.пос.(Пр.3-26)     '!R37+'[19]Уточнение для Пр.5-26'!R37</f>
        <v>0</v>
      </c>
      <c r="S37" s="189">
        <f>'[19]Раз.пос.(Пр.3-26)     '!S37+'[19]Уточнение для Пр.5-26'!S37</f>
        <v>0</v>
      </c>
    </row>
    <row r="38" spans="1:19" x14ac:dyDescent="0.2">
      <c r="A38" s="128">
        <v>28</v>
      </c>
      <c r="B38" s="72" t="s">
        <v>26</v>
      </c>
      <c r="C38" s="31" t="s">
        <v>27</v>
      </c>
      <c r="D38" s="186">
        <f t="shared" si="6"/>
        <v>80413</v>
      </c>
      <c r="E38" s="189">
        <f t="shared" si="3"/>
        <v>0</v>
      </c>
      <c r="F38" s="189">
        <f>'[19]Раз.пос.(Пр.3-26)     '!F38+'[19]Уточнение для Пр.5-26'!F38</f>
        <v>0</v>
      </c>
      <c r="G38" s="189">
        <f>'[19]Раз.пос.(Пр.3-26)     '!G38+'[19]Уточнение для Пр.5-26'!G38</f>
        <v>0</v>
      </c>
      <c r="H38" s="189">
        <f t="shared" si="4"/>
        <v>78949</v>
      </c>
      <c r="I38" s="190">
        <v>600</v>
      </c>
      <c r="J38" s="189">
        <v>4800</v>
      </c>
      <c r="K38" s="189">
        <v>5830</v>
      </c>
      <c r="L38" s="189">
        <v>67719</v>
      </c>
      <c r="M38" s="189">
        <f>'[19]Раз.пос.(Пр.3-26)     '!M38+'[19]Уточнение для Пр.5-26'!M38</f>
        <v>1025</v>
      </c>
      <c r="N38" s="189">
        <f>'[19]Раз.пос.(Пр.3-26)     '!N38+'[19]Уточнение для Пр.5-26'!N38</f>
        <v>439</v>
      </c>
      <c r="O38" s="186">
        <f t="shared" si="5"/>
        <v>0</v>
      </c>
      <c r="P38" s="189">
        <v>0</v>
      </c>
      <c r="Q38" s="189">
        <v>0</v>
      </c>
      <c r="R38" s="189">
        <f>'[19]Раз.пос.(Пр.3-26)     '!R38+'[19]Уточнение для Пр.5-26'!R38</f>
        <v>0</v>
      </c>
      <c r="S38" s="189">
        <f>'[19]Раз.пос.(Пр.3-26)     '!S38+'[19]Уточнение для Пр.5-26'!S38</f>
        <v>0</v>
      </c>
    </row>
    <row r="39" spans="1:19" x14ac:dyDescent="0.2">
      <c r="A39" s="128">
        <v>29</v>
      </c>
      <c r="B39" s="71" t="s">
        <v>98</v>
      </c>
      <c r="C39" s="31" t="s">
        <v>99</v>
      </c>
      <c r="D39" s="186">
        <f t="shared" si="6"/>
        <v>109587</v>
      </c>
      <c r="E39" s="189">
        <f t="shared" si="3"/>
        <v>0</v>
      </c>
      <c r="F39" s="189">
        <f>'[19]Раз.пос.(Пр.3-26)     '!F39+'[19]Уточнение для Пр.5-26'!F39</f>
        <v>0</v>
      </c>
      <c r="G39" s="189">
        <f>'[19]Раз.пос.(Пр.3-26)     '!G39+'[19]Уточнение для Пр.5-26'!G39</f>
        <v>0</v>
      </c>
      <c r="H39" s="189">
        <f t="shared" si="4"/>
        <v>107845</v>
      </c>
      <c r="I39" s="190">
        <v>500</v>
      </c>
      <c r="J39" s="189">
        <v>12000</v>
      </c>
      <c r="K39" s="189">
        <v>9952</v>
      </c>
      <c r="L39" s="189">
        <v>85393</v>
      </c>
      <c r="M39" s="189">
        <f>'[19]Раз.пос.(Пр.3-26)     '!M39+'[19]Уточнение для Пр.5-26'!M39</f>
        <v>1025</v>
      </c>
      <c r="N39" s="189">
        <f>'[19]Раз.пос.(Пр.3-26)     '!N39+'[19]Уточнение для Пр.5-26'!N39</f>
        <v>439</v>
      </c>
      <c r="O39" s="186">
        <f t="shared" si="5"/>
        <v>278</v>
      </c>
      <c r="P39" s="189">
        <v>0</v>
      </c>
      <c r="Q39" s="189">
        <v>278</v>
      </c>
      <c r="R39" s="189">
        <f>'[19]Раз.пос.(Пр.3-26)     '!R39+'[19]Уточнение для Пр.5-26'!R39</f>
        <v>0</v>
      </c>
      <c r="S39" s="189">
        <f>'[19]Раз.пос.(Пр.3-26)     '!S39+'[19]Уточнение для Пр.5-26'!S39</f>
        <v>0</v>
      </c>
    </row>
    <row r="40" spans="1:19" x14ac:dyDescent="0.2">
      <c r="A40" s="128">
        <v>30</v>
      </c>
      <c r="B40" s="72" t="s">
        <v>100</v>
      </c>
      <c r="C40" s="31" t="s">
        <v>101</v>
      </c>
      <c r="D40" s="186">
        <f t="shared" si="6"/>
        <v>20382</v>
      </c>
      <c r="E40" s="189">
        <f t="shared" si="3"/>
        <v>0</v>
      </c>
      <c r="F40" s="189">
        <f>'[19]Раз.пос.(Пр.3-26)     '!F40+'[19]Уточнение для Пр.5-26'!F40</f>
        <v>0</v>
      </c>
      <c r="G40" s="189">
        <f>'[19]Раз.пос.(Пр.3-26)     '!G40+'[19]Уточнение для Пр.5-26'!G40</f>
        <v>0</v>
      </c>
      <c r="H40" s="189">
        <f t="shared" si="4"/>
        <v>20382</v>
      </c>
      <c r="I40" s="190">
        <v>0</v>
      </c>
      <c r="J40" s="189">
        <v>3715</v>
      </c>
      <c r="K40" s="189">
        <v>0</v>
      </c>
      <c r="L40" s="189">
        <v>16667</v>
      </c>
      <c r="M40" s="189">
        <f>'[19]Раз.пос.(Пр.3-26)     '!M40+'[19]Уточнение для Пр.5-26'!M40</f>
        <v>0</v>
      </c>
      <c r="N40" s="189">
        <f>'[19]Раз.пос.(Пр.3-26)     '!N40+'[19]Уточнение для Пр.5-26'!N40</f>
        <v>0</v>
      </c>
      <c r="O40" s="186">
        <f t="shared" si="5"/>
        <v>0</v>
      </c>
      <c r="P40" s="189">
        <v>0</v>
      </c>
      <c r="Q40" s="189">
        <v>0</v>
      </c>
      <c r="R40" s="189">
        <f>'[19]Раз.пос.(Пр.3-26)     '!R40+'[19]Уточнение для Пр.5-26'!R40</f>
        <v>0</v>
      </c>
      <c r="S40" s="189">
        <f>'[19]Раз.пос.(Пр.3-26)     '!S40+'[19]Уточнение для Пр.5-26'!S40</f>
        <v>0</v>
      </c>
    </row>
    <row r="41" spans="1:19" x14ac:dyDescent="0.2">
      <c r="A41" s="128">
        <v>31</v>
      </c>
      <c r="B41" s="834" t="s">
        <v>102</v>
      </c>
      <c r="C41" s="31" t="s">
        <v>103</v>
      </c>
      <c r="D41" s="186">
        <f t="shared" si="6"/>
        <v>63163</v>
      </c>
      <c r="E41" s="189">
        <f t="shared" si="3"/>
        <v>0</v>
      </c>
      <c r="F41" s="189">
        <f>'[19]Раз.пос.(Пр.3-26)     '!F41+'[19]Уточнение для Пр.5-26'!F41</f>
        <v>0</v>
      </c>
      <c r="G41" s="189">
        <f>'[19]Раз.пос.(Пр.3-26)     '!G41+'[19]Уточнение для Пр.5-26'!G41</f>
        <v>0</v>
      </c>
      <c r="H41" s="189">
        <f t="shared" si="4"/>
        <v>61699</v>
      </c>
      <c r="I41" s="190">
        <v>860</v>
      </c>
      <c r="J41" s="189">
        <v>3900</v>
      </c>
      <c r="K41" s="189">
        <v>4238</v>
      </c>
      <c r="L41" s="189">
        <v>52701</v>
      </c>
      <c r="M41" s="189">
        <f>'[19]Раз.пос.(Пр.3-26)     '!M41+'[19]Уточнение для Пр.5-26'!M41</f>
        <v>1025</v>
      </c>
      <c r="N41" s="189">
        <f>'[19]Раз.пос.(Пр.3-26)     '!N41+'[19]Уточнение для Пр.5-26'!N41</f>
        <v>439</v>
      </c>
      <c r="O41" s="186">
        <f t="shared" si="5"/>
        <v>0</v>
      </c>
      <c r="P41" s="189">
        <v>0</v>
      </c>
      <c r="Q41" s="189">
        <v>0</v>
      </c>
      <c r="R41" s="189">
        <f>'[19]Раз.пос.(Пр.3-26)     '!R41+'[19]Уточнение для Пр.5-26'!R41</f>
        <v>0</v>
      </c>
      <c r="S41" s="189">
        <f>'[19]Раз.пос.(Пр.3-26)     '!S41+'[19]Уточнение для Пр.5-26'!S41</f>
        <v>0</v>
      </c>
    </row>
    <row r="42" spans="1:19" x14ac:dyDescent="0.2">
      <c r="A42" s="128">
        <v>32</v>
      </c>
      <c r="B42" s="72" t="s">
        <v>104</v>
      </c>
      <c r="C42" s="31" t="s">
        <v>105</v>
      </c>
      <c r="D42" s="186">
        <f t="shared" si="6"/>
        <v>21746</v>
      </c>
      <c r="E42" s="189">
        <f t="shared" si="3"/>
        <v>0</v>
      </c>
      <c r="F42" s="189">
        <f>'[19]Раз.пос.(Пр.3-26)     '!F42+'[19]Уточнение для Пр.5-26'!F42</f>
        <v>0</v>
      </c>
      <c r="G42" s="189">
        <f>'[19]Раз.пос.(Пр.3-26)     '!G42+'[19]Уточнение для Пр.5-26'!G42</f>
        <v>0</v>
      </c>
      <c r="H42" s="189">
        <f t="shared" si="4"/>
        <v>21746</v>
      </c>
      <c r="I42" s="190">
        <v>0</v>
      </c>
      <c r="J42" s="189">
        <v>1450</v>
      </c>
      <c r="K42" s="189">
        <v>2454</v>
      </c>
      <c r="L42" s="189">
        <v>17842</v>
      </c>
      <c r="M42" s="189">
        <f>'[19]Раз.пос.(Пр.3-26)     '!M42+'[19]Уточнение для Пр.5-26'!M42</f>
        <v>0</v>
      </c>
      <c r="N42" s="189">
        <f>'[19]Раз.пос.(Пр.3-26)     '!N42+'[19]Уточнение для Пр.5-26'!N42</f>
        <v>0</v>
      </c>
      <c r="O42" s="186">
        <f t="shared" si="5"/>
        <v>0</v>
      </c>
      <c r="P42" s="189">
        <v>0</v>
      </c>
      <c r="Q42" s="189">
        <v>0</v>
      </c>
      <c r="R42" s="189">
        <f>'[19]Раз.пос.(Пр.3-26)     '!R42+'[19]Уточнение для Пр.5-26'!R42</f>
        <v>0</v>
      </c>
      <c r="S42" s="189">
        <f>'[19]Раз.пос.(Пр.3-26)     '!S42+'[19]Уточнение для Пр.5-26'!S42</f>
        <v>0</v>
      </c>
    </row>
    <row r="43" spans="1:19" x14ac:dyDescent="0.2">
      <c r="A43" s="128">
        <v>33</v>
      </c>
      <c r="B43" s="71" t="s">
        <v>106</v>
      </c>
      <c r="C43" s="31" t="s">
        <v>107</v>
      </c>
      <c r="D43" s="186">
        <f t="shared" si="6"/>
        <v>87163</v>
      </c>
      <c r="E43" s="189">
        <f t="shared" si="3"/>
        <v>0</v>
      </c>
      <c r="F43" s="189">
        <f>'[19]Раз.пос.(Пр.3-26)     '!F43+'[19]Уточнение для Пр.5-26'!F43</f>
        <v>0</v>
      </c>
      <c r="G43" s="189">
        <f>'[19]Раз.пос.(Пр.3-26)     '!G43+'[19]Уточнение для Пр.5-26'!G43</f>
        <v>0</v>
      </c>
      <c r="H43" s="189">
        <f t="shared" si="4"/>
        <v>85699</v>
      </c>
      <c r="I43" s="190">
        <v>0</v>
      </c>
      <c r="J43" s="189">
        <v>5571</v>
      </c>
      <c r="K43" s="189">
        <v>6668</v>
      </c>
      <c r="L43" s="189">
        <v>73460</v>
      </c>
      <c r="M43" s="189">
        <f>'[19]Раз.пос.(Пр.3-26)     '!M43+'[19]Уточнение для Пр.5-26'!M43</f>
        <v>1025</v>
      </c>
      <c r="N43" s="189">
        <f>'[19]Раз.пос.(Пр.3-26)     '!N43+'[19]Уточнение для Пр.5-26'!N43</f>
        <v>439</v>
      </c>
      <c r="O43" s="186">
        <f t="shared" si="5"/>
        <v>0</v>
      </c>
      <c r="P43" s="189">
        <v>0</v>
      </c>
      <c r="Q43" s="189">
        <v>0</v>
      </c>
      <c r="R43" s="189">
        <f>'[19]Раз.пос.(Пр.3-26)     '!R43+'[19]Уточнение для Пр.5-26'!R43</f>
        <v>0</v>
      </c>
      <c r="S43" s="189">
        <f>'[19]Раз.пос.(Пр.3-26)     '!S43+'[19]Уточнение для Пр.5-26'!S43</f>
        <v>0</v>
      </c>
    </row>
    <row r="44" spans="1:19" x14ac:dyDescent="0.2">
      <c r="A44" s="128">
        <v>34</v>
      </c>
      <c r="B44" s="129" t="s">
        <v>108</v>
      </c>
      <c r="C44" s="130" t="s">
        <v>109</v>
      </c>
      <c r="D44" s="186">
        <f t="shared" si="6"/>
        <v>18702</v>
      </c>
      <c r="E44" s="189">
        <f t="shared" si="3"/>
        <v>0</v>
      </c>
      <c r="F44" s="189">
        <f>'[19]Раз.пос.(Пр.3-26)     '!F44+'[19]Уточнение для Пр.5-26'!F44</f>
        <v>0</v>
      </c>
      <c r="G44" s="189">
        <f>'[19]Раз.пос.(Пр.3-26)     '!G44+'[19]Уточнение для Пр.5-26'!G44</f>
        <v>0</v>
      </c>
      <c r="H44" s="189">
        <f t="shared" si="4"/>
        <v>18702</v>
      </c>
      <c r="I44" s="190">
        <v>0</v>
      </c>
      <c r="J44" s="189">
        <v>2032</v>
      </c>
      <c r="K44" s="189">
        <v>1579</v>
      </c>
      <c r="L44" s="189">
        <v>15091</v>
      </c>
      <c r="M44" s="189">
        <f>'[19]Раз.пос.(Пр.3-26)     '!M44+'[19]Уточнение для Пр.5-26'!M44</f>
        <v>0</v>
      </c>
      <c r="N44" s="189">
        <f>'[19]Раз.пос.(Пр.3-26)     '!N44+'[19]Уточнение для Пр.5-26'!N44</f>
        <v>0</v>
      </c>
      <c r="O44" s="186">
        <f t="shared" si="5"/>
        <v>0</v>
      </c>
      <c r="P44" s="189">
        <v>0</v>
      </c>
      <c r="Q44" s="189">
        <v>0</v>
      </c>
      <c r="R44" s="189">
        <f>'[19]Раз.пос.(Пр.3-26)     '!R44+'[19]Уточнение для Пр.5-26'!R44</f>
        <v>0</v>
      </c>
      <c r="S44" s="189">
        <f>'[19]Раз.пос.(Пр.3-26)     '!S44+'[19]Уточнение для Пр.5-26'!S44</f>
        <v>0</v>
      </c>
    </row>
    <row r="45" spans="1:19" x14ac:dyDescent="0.2">
      <c r="A45" s="128">
        <v>35</v>
      </c>
      <c r="B45" s="71" t="s">
        <v>110</v>
      </c>
      <c r="C45" s="31" t="s">
        <v>111</v>
      </c>
      <c r="D45" s="186">
        <f t="shared" si="6"/>
        <v>15361</v>
      </c>
      <c r="E45" s="189">
        <f t="shared" si="3"/>
        <v>0</v>
      </c>
      <c r="F45" s="189">
        <f>'[19]Раз.пос.(Пр.3-26)     '!F45+'[19]Уточнение для Пр.5-26'!F45</f>
        <v>0</v>
      </c>
      <c r="G45" s="189">
        <f>'[19]Раз.пос.(Пр.3-26)     '!G45+'[19]Уточнение для Пр.5-26'!G45</f>
        <v>0</v>
      </c>
      <c r="H45" s="189">
        <f t="shared" si="4"/>
        <v>15361</v>
      </c>
      <c r="I45" s="190">
        <v>0</v>
      </c>
      <c r="J45" s="189">
        <v>985</v>
      </c>
      <c r="K45" s="189">
        <v>15</v>
      </c>
      <c r="L45" s="189">
        <v>14361</v>
      </c>
      <c r="M45" s="189">
        <f>'[19]Раз.пос.(Пр.3-26)     '!M45+'[19]Уточнение для Пр.5-26'!M45</f>
        <v>0</v>
      </c>
      <c r="N45" s="189">
        <f>'[19]Раз.пос.(Пр.3-26)     '!N45+'[19]Уточнение для Пр.5-26'!N45</f>
        <v>0</v>
      </c>
      <c r="O45" s="186">
        <f t="shared" si="5"/>
        <v>0</v>
      </c>
      <c r="P45" s="189">
        <v>0</v>
      </c>
      <c r="Q45" s="189">
        <v>0</v>
      </c>
      <c r="R45" s="189">
        <f>'[19]Раз.пос.(Пр.3-26)     '!R45+'[19]Уточнение для Пр.5-26'!R45</f>
        <v>0</v>
      </c>
      <c r="S45" s="189">
        <f>'[19]Раз.пос.(Пр.3-26)     '!S45+'[19]Уточнение для Пр.5-26'!S45</f>
        <v>0</v>
      </c>
    </row>
    <row r="46" spans="1:19" x14ac:dyDescent="0.2">
      <c r="A46" s="128">
        <v>36</v>
      </c>
      <c r="B46" s="71" t="s">
        <v>112</v>
      </c>
      <c r="C46" s="31" t="s">
        <v>113</v>
      </c>
      <c r="D46" s="186">
        <f t="shared" si="6"/>
        <v>21135</v>
      </c>
      <c r="E46" s="189">
        <f t="shared" si="3"/>
        <v>0</v>
      </c>
      <c r="F46" s="189">
        <f>'[19]Раз.пос.(Пр.3-26)     '!F46+'[19]Уточнение для Пр.5-26'!F46</f>
        <v>0</v>
      </c>
      <c r="G46" s="189">
        <f>'[19]Раз.пос.(Пр.3-26)     '!G46+'[19]Уточнение для Пр.5-26'!G46</f>
        <v>0</v>
      </c>
      <c r="H46" s="189">
        <f t="shared" si="4"/>
        <v>19671</v>
      </c>
      <c r="I46" s="190">
        <v>0</v>
      </c>
      <c r="J46" s="189">
        <v>1405</v>
      </c>
      <c r="K46" s="189">
        <v>3795</v>
      </c>
      <c r="L46" s="189">
        <v>14471</v>
      </c>
      <c r="M46" s="189">
        <f>'[19]Раз.пос.(Пр.3-26)     '!M46+'[19]Уточнение для Пр.5-26'!M46</f>
        <v>1025</v>
      </c>
      <c r="N46" s="189">
        <f>'[19]Раз.пос.(Пр.3-26)     '!N46+'[19]Уточнение для Пр.5-26'!N46</f>
        <v>439</v>
      </c>
      <c r="O46" s="186">
        <f t="shared" si="5"/>
        <v>0</v>
      </c>
      <c r="P46" s="189">
        <v>0</v>
      </c>
      <c r="Q46" s="189">
        <v>0</v>
      </c>
      <c r="R46" s="189">
        <f>'[19]Раз.пос.(Пр.3-26)     '!R46+'[19]Уточнение для Пр.5-26'!R46</f>
        <v>0</v>
      </c>
      <c r="S46" s="189">
        <f>'[19]Раз.пос.(Пр.3-26)     '!S46+'[19]Уточнение для Пр.5-26'!S46</f>
        <v>0</v>
      </c>
    </row>
    <row r="47" spans="1:19" x14ac:dyDescent="0.2">
      <c r="A47" s="128">
        <v>37</v>
      </c>
      <c r="B47" s="834" t="s">
        <v>114</v>
      </c>
      <c r="C47" s="31" t="s">
        <v>115</v>
      </c>
      <c r="D47" s="186">
        <f t="shared" si="6"/>
        <v>8705</v>
      </c>
      <c r="E47" s="189">
        <f t="shared" si="3"/>
        <v>0</v>
      </c>
      <c r="F47" s="189">
        <f>'[19]Раз.пос.(Пр.3-26)     '!F47+'[19]Уточнение для Пр.5-26'!F47</f>
        <v>0</v>
      </c>
      <c r="G47" s="189">
        <f>'[19]Раз.пос.(Пр.3-26)     '!G47+'[19]Уточнение для Пр.5-26'!G47</f>
        <v>0</v>
      </c>
      <c r="H47" s="189">
        <f t="shared" si="4"/>
        <v>8705</v>
      </c>
      <c r="I47" s="190">
        <v>0</v>
      </c>
      <c r="J47" s="189">
        <v>1292</v>
      </c>
      <c r="K47" s="189">
        <v>505</v>
      </c>
      <c r="L47" s="189">
        <v>6908</v>
      </c>
      <c r="M47" s="189">
        <f>'[19]Раз.пос.(Пр.3-26)     '!M47+'[19]Уточнение для Пр.5-26'!M47</f>
        <v>0</v>
      </c>
      <c r="N47" s="189">
        <f>'[19]Раз.пос.(Пр.3-26)     '!N47+'[19]Уточнение для Пр.5-26'!N47</f>
        <v>0</v>
      </c>
      <c r="O47" s="186">
        <f t="shared" si="5"/>
        <v>0</v>
      </c>
      <c r="P47" s="189">
        <v>0</v>
      </c>
      <c r="Q47" s="189">
        <v>0</v>
      </c>
      <c r="R47" s="189">
        <f>'[19]Раз.пос.(Пр.3-26)     '!R47+'[19]Уточнение для Пр.5-26'!R47</f>
        <v>0</v>
      </c>
      <c r="S47" s="189">
        <f>'[19]Раз.пос.(Пр.3-26)     '!S47+'[19]Уточнение для Пр.5-26'!S47</f>
        <v>0</v>
      </c>
    </row>
    <row r="48" spans="1:19" x14ac:dyDescent="0.2">
      <c r="A48" s="128">
        <v>38</v>
      </c>
      <c r="B48" s="72" t="s">
        <v>116</v>
      </c>
      <c r="C48" s="31" t="s">
        <v>117</v>
      </c>
      <c r="D48" s="186">
        <f t="shared" si="6"/>
        <v>15116</v>
      </c>
      <c r="E48" s="189">
        <f t="shared" si="3"/>
        <v>0</v>
      </c>
      <c r="F48" s="189">
        <f>'[19]Раз.пос.(Пр.3-26)     '!F48+'[19]Уточнение для Пр.5-26'!F48</f>
        <v>0</v>
      </c>
      <c r="G48" s="189">
        <f>'[19]Раз.пос.(Пр.3-26)     '!G48+'[19]Уточнение для Пр.5-26'!G48</f>
        <v>0</v>
      </c>
      <c r="H48" s="189">
        <f t="shared" si="4"/>
        <v>15116</v>
      </c>
      <c r="I48" s="190">
        <v>0</v>
      </c>
      <c r="J48" s="189">
        <v>388</v>
      </c>
      <c r="K48" s="189">
        <v>98</v>
      </c>
      <c r="L48" s="189">
        <v>14630</v>
      </c>
      <c r="M48" s="189">
        <f>'[19]Раз.пос.(Пр.3-26)     '!M48+'[19]Уточнение для Пр.5-26'!M48</f>
        <v>0</v>
      </c>
      <c r="N48" s="189">
        <f>'[19]Раз.пос.(Пр.3-26)     '!N48+'[19]Уточнение для Пр.5-26'!N48</f>
        <v>0</v>
      </c>
      <c r="O48" s="186">
        <f t="shared" si="5"/>
        <v>0</v>
      </c>
      <c r="P48" s="189">
        <v>0</v>
      </c>
      <c r="Q48" s="189">
        <v>0</v>
      </c>
      <c r="R48" s="189">
        <f>'[19]Раз.пос.(Пр.3-26)     '!R48+'[19]Уточнение для Пр.5-26'!R48</f>
        <v>0</v>
      </c>
      <c r="S48" s="189">
        <f>'[19]Раз.пос.(Пр.3-26)     '!S48+'[19]Уточнение для Пр.5-26'!S48</f>
        <v>0</v>
      </c>
    </row>
    <row r="49" spans="1:19" x14ac:dyDescent="0.2">
      <c r="A49" s="128">
        <v>39</v>
      </c>
      <c r="B49" s="834" t="s">
        <v>28</v>
      </c>
      <c r="C49" s="31" t="s">
        <v>29</v>
      </c>
      <c r="D49" s="186">
        <f t="shared" si="6"/>
        <v>119728</v>
      </c>
      <c r="E49" s="189">
        <f t="shared" si="3"/>
        <v>0</v>
      </c>
      <c r="F49" s="189">
        <f>'[19]Раз.пос.(Пр.3-26)     '!F49+'[19]Уточнение для Пр.5-26'!F49</f>
        <v>0</v>
      </c>
      <c r="G49" s="189">
        <f>'[19]Раз.пос.(Пр.3-26)     '!G49+'[19]Уточнение для Пр.5-26'!G49</f>
        <v>0</v>
      </c>
      <c r="H49" s="189">
        <f t="shared" si="4"/>
        <v>114925</v>
      </c>
      <c r="I49" s="190">
        <v>0</v>
      </c>
      <c r="J49" s="189">
        <v>10837</v>
      </c>
      <c r="K49" s="189">
        <v>4262</v>
      </c>
      <c r="L49" s="189">
        <v>99826</v>
      </c>
      <c r="M49" s="189">
        <f>'[19]Раз.пос.(Пр.3-26)     '!M49+'[19]Уточнение для Пр.5-26'!M49</f>
        <v>2050</v>
      </c>
      <c r="N49" s="189">
        <f>'[19]Раз.пос.(Пр.3-26)     '!N49+'[19]Уточнение для Пр.5-26'!N49</f>
        <v>878</v>
      </c>
      <c r="O49" s="186">
        <f t="shared" si="5"/>
        <v>1875</v>
      </c>
      <c r="P49" s="189">
        <v>0</v>
      </c>
      <c r="Q49" s="189">
        <v>1875</v>
      </c>
      <c r="R49" s="189">
        <f>'[19]Раз.пос.(Пр.3-26)     '!R49+'[19]Уточнение для Пр.5-26'!R49</f>
        <v>0</v>
      </c>
      <c r="S49" s="189">
        <f>'[19]Раз.пос.(Пр.3-26)     '!S49+'[19]Уточнение для Пр.5-26'!S49</f>
        <v>0</v>
      </c>
    </row>
    <row r="50" spans="1:19" x14ac:dyDescent="0.2">
      <c r="A50" s="128">
        <v>40</v>
      </c>
      <c r="B50" s="71" t="s">
        <v>118</v>
      </c>
      <c r="C50" s="31" t="s">
        <v>119</v>
      </c>
      <c r="D50" s="186">
        <f t="shared" si="6"/>
        <v>18495</v>
      </c>
      <c r="E50" s="189">
        <f t="shared" si="3"/>
        <v>0</v>
      </c>
      <c r="F50" s="189">
        <f>'[19]Раз.пос.(Пр.3-26)     '!F50+'[19]Уточнение для Пр.5-26'!F50</f>
        <v>0</v>
      </c>
      <c r="G50" s="189">
        <f>'[19]Раз.пос.(Пр.3-26)     '!G50+'[19]Уточнение для Пр.5-26'!G50</f>
        <v>0</v>
      </c>
      <c r="H50" s="189">
        <f t="shared" si="4"/>
        <v>18495</v>
      </c>
      <c r="I50" s="190">
        <v>0</v>
      </c>
      <c r="J50" s="189">
        <v>1656</v>
      </c>
      <c r="K50" s="189">
        <v>3195</v>
      </c>
      <c r="L50" s="189">
        <v>13644</v>
      </c>
      <c r="M50" s="189">
        <f>'[19]Раз.пос.(Пр.3-26)     '!M50+'[19]Уточнение для Пр.5-26'!M50</f>
        <v>0</v>
      </c>
      <c r="N50" s="189">
        <f>'[19]Раз.пос.(Пр.3-26)     '!N50+'[19]Уточнение для Пр.5-26'!N50</f>
        <v>0</v>
      </c>
      <c r="O50" s="186">
        <f t="shared" si="5"/>
        <v>0</v>
      </c>
      <c r="P50" s="189">
        <v>0</v>
      </c>
      <c r="Q50" s="189">
        <v>0</v>
      </c>
      <c r="R50" s="189">
        <f>'[19]Раз.пос.(Пр.3-26)     '!R50+'[19]Уточнение для Пр.5-26'!R50</f>
        <v>0</v>
      </c>
      <c r="S50" s="189">
        <f>'[19]Раз.пос.(Пр.3-26)     '!S50+'[19]Уточнение для Пр.5-26'!S50</f>
        <v>0</v>
      </c>
    </row>
    <row r="51" spans="1:19" x14ac:dyDescent="0.2">
      <c r="A51" s="128">
        <v>41</v>
      </c>
      <c r="B51" s="71" t="s">
        <v>120</v>
      </c>
      <c r="C51" s="31" t="s">
        <v>121</v>
      </c>
      <c r="D51" s="186">
        <f t="shared" si="6"/>
        <v>110914</v>
      </c>
      <c r="E51" s="189">
        <f t="shared" si="3"/>
        <v>0</v>
      </c>
      <c r="F51" s="189">
        <f>'[19]Раз.пос.(Пр.3-26)     '!F51+'[19]Уточнение для Пр.5-26'!F51</f>
        <v>0</v>
      </c>
      <c r="G51" s="189">
        <f>'[19]Раз.пос.(Пр.3-26)     '!G51+'[19]Уточнение для Пр.5-26'!G51</f>
        <v>0</v>
      </c>
      <c r="H51" s="189">
        <f t="shared" si="4"/>
        <v>109450</v>
      </c>
      <c r="I51" s="190">
        <v>0</v>
      </c>
      <c r="J51" s="189">
        <v>2300</v>
      </c>
      <c r="K51" s="189">
        <v>13381</v>
      </c>
      <c r="L51" s="189">
        <v>93769</v>
      </c>
      <c r="M51" s="189">
        <f>'[19]Раз.пос.(Пр.3-26)     '!M51+'[19]Уточнение для Пр.5-26'!M51</f>
        <v>1025</v>
      </c>
      <c r="N51" s="189">
        <f>'[19]Раз.пос.(Пр.3-26)     '!N51+'[19]Уточнение для Пр.5-26'!N51</f>
        <v>439</v>
      </c>
      <c r="O51" s="186">
        <f t="shared" si="5"/>
        <v>0</v>
      </c>
      <c r="P51" s="189">
        <v>0</v>
      </c>
      <c r="Q51" s="189">
        <v>0</v>
      </c>
      <c r="R51" s="189">
        <f>'[19]Раз.пос.(Пр.3-26)     '!R51+'[19]Уточнение для Пр.5-26'!R51</f>
        <v>0</v>
      </c>
      <c r="S51" s="189">
        <f>'[19]Раз.пос.(Пр.3-26)     '!S51+'[19]Уточнение для Пр.5-26'!S51</f>
        <v>0</v>
      </c>
    </row>
    <row r="52" spans="1:19" x14ac:dyDescent="0.2">
      <c r="A52" s="128">
        <v>42</v>
      </c>
      <c r="B52" s="834" t="s">
        <v>122</v>
      </c>
      <c r="C52" s="31" t="s">
        <v>123</v>
      </c>
      <c r="D52" s="186">
        <f t="shared" si="6"/>
        <v>13460</v>
      </c>
      <c r="E52" s="189">
        <f t="shared" si="3"/>
        <v>0</v>
      </c>
      <c r="F52" s="189">
        <f>'[19]Раз.пос.(Пр.3-26)     '!F52+'[19]Уточнение для Пр.5-26'!F52</f>
        <v>0</v>
      </c>
      <c r="G52" s="189">
        <f>'[19]Раз.пос.(Пр.3-26)     '!G52+'[19]Уточнение для Пр.5-26'!G52</f>
        <v>0</v>
      </c>
      <c r="H52" s="189">
        <f t="shared" si="4"/>
        <v>13460</v>
      </c>
      <c r="I52" s="190">
        <v>0</v>
      </c>
      <c r="J52" s="189">
        <v>732</v>
      </c>
      <c r="K52" s="189">
        <v>1364</v>
      </c>
      <c r="L52" s="189">
        <v>11364</v>
      </c>
      <c r="M52" s="189">
        <f>'[19]Раз.пос.(Пр.3-26)     '!M52+'[19]Уточнение для Пр.5-26'!M52</f>
        <v>0</v>
      </c>
      <c r="N52" s="189">
        <f>'[19]Раз.пос.(Пр.3-26)     '!N52+'[19]Уточнение для Пр.5-26'!N52</f>
        <v>0</v>
      </c>
      <c r="O52" s="186">
        <f t="shared" si="5"/>
        <v>0</v>
      </c>
      <c r="P52" s="189">
        <v>0</v>
      </c>
      <c r="Q52" s="189">
        <v>0</v>
      </c>
      <c r="R52" s="189">
        <f>'[19]Раз.пос.(Пр.3-26)     '!R52+'[19]Уточнение для Пр.5-26'!R52</f>
        <v>0</v>
      </c>
      <c r="S52" s="189">
        <f>'[19]Раз.пос.(Пр.3-26)     '!S52+'[19]Уточнение для Пр.5-26'!S52</f>
        <v>0</v>
      </c>
    </row>
    <row r="53" spans="1:19" x14ac:dyDescent="0.2">
      <c r="A53" s="128">
        <v>43</v>
      </c>
      <c r="B53" s="72" t="s">
        <v>124</v>
      </c>
      <c r="C53" s="31" t="s">
        <v>125</v>
      </c>
      <c r="D53" s="186">
        <f t="shared" si="6"/>
        <v>28404</v>
      </c>
      <c r="E53" s="189">
        <f t="shared" si="3"/>
        <v>0</v>
      </c>
      <c r="F53" s="189">
        <f>'[19]Раз.пос.(Пр.3-26)     '!F53+'[19]Уточнение для Пр.5-26'!F53</f>
        <v>0</v>
      </c>
      <c r="G53" s="189">
        <f>'[19]Раз.пос.(Пр.3-26)     '!G53+'[19]Уточнение для Пр.5-26'!G53</f>
        <v>0</v>
      </c>
      <c r="H53" s="189">
        <f t="shared" si="4"/>
        <v>26940</v>
      </c>
      <c r="I53" s="190">
        <v>0</v>
      </c>
      <c r="J53" s="189">
        <v>4658</v>
      </c>
      <c r="K53" s="189">
        <v>1985</v>
      </c>
      <c r="L53" s="189">
        <v>20297</v>
      </c>
      <c r="M53" s="189">
        <f>'[19]Раз.пос.(Пр.3-26)     '!M53+'[19]Уточнение для Пр.5-26'!M53</f>
        <v>1025</v>
      </c>
      <c r="N53" s="189">
        <f>'[19]Раз.пос.(Пр.3-26)     '!N53+'[19]Уточнение для Пр.5-26'!N53</f>
        <v>439</v>
      </c>
      <c r="O53" s="186">
        <f t="shared" si="5"/>
        <v>0</v>
      </c>
      <c r="P53" s="189">
        <v>0</v>
      </c>
      <c r="Q53" s="189">
        <v>0</v>
      </c>
      <c r="R53" s="189">
        <f>'[19]Раз.пос.(Пр.3-26)     '!R53+'[19]Уточнение для Пр.5-26'!R53</f>
        <v>0</v>
      </c>
      <c r="S53" s="189">
        <f>'[19]Раз.пос.(Пр.3-26)     '!S53+'[19]Уточнение для Пр.5-26'!S53</f>
        <v>0</v>
      </c>
    </row>
    <row r="54" spans="1:19" x14ac:dyDescent="0.2">
      <c r="A54" s="128">
        <v>44</v>
      </c>
      <c r="B54" s="834" t="s">
        <v>126</v>
      </c>
      <c r="C54" s="31" t="s">
        <v>127</v>
      </c>
      <c r="D54" s="186">
        <f t="shared" si="6"/>
        <v>27434</v>
      </c>
      <c r="E54" s="189">
        <f t="shared" si="3"/>
        <v>0</v>
      </c>
      <c r="F54" s="189">
        <f>'[19]Раз.пос.(Пр.3-26)     '!F54+'[19]Уточнение для Пр.5-26'!F54</f>
        <v>0</v>
      </c>
      <c r="G54" s="189">
        <f>'[19]Раз.пос.(Пр.3-26)     '!G54+'[19]Уточнение для Пр.5-26'!G54</f>
        <v>0</v>
      </c>
      <c r="H54" s="189">
        <f t="shared" si="4"/>
        <v>25970</v>
      </c>
      <c r="I54" s="190">
        <v>0</v>
      </c>
      <c r="J54" s="189">
        <v>435</v>
      </c>
      <c r="K54" s="189">
        <v>1236</v>
      </c>
      <c r="L54" s="189">
        <v>24299</v>
      </c>
      <c r="M54" s="189">
        <f>'[19]Раз.пос.(Пр.3-26)     '!M54+'[19]Уточнение для Пр.5-26'!M54</f>
        <v>1025</v>
      </c>
      <c r="N54" s="189">
        <f>'[19]Раз.пос.(Пр.3-26)     '!N54+'[19]Уточнение для Пр.5-26'!N54</f>
        <v>439</v>
      </c>
      <c r="O54" s="186">
        <f t="shared" si="5"/>
        <v>0</v>
      </c>
      <c r="P54" s="189">
        <v>0</v>
      </c>
      <c r="Q54" s="189">
        <v>0</v>
      </c>
      <c r="R54" s="189">
        <f>'[19]Раз.пос.(Пр.3-26)     '!R54+'[19]Уточнение для Пр.5-26'!R54</f>
        <v>0</v>
      </c>
      <c r="S54" s="189">
        <f>'[19]Раз.пос.(Пр.3-26)     '!S54+'[19]Уточнение для Пр.5-26'!S54</f>
        <v>0</v>
      </c>
    </row>
    <row r="55" spans="1:19" x14ac:dyDescent="0.2">
      <c r="A55" s="128">
        <v>45</v>
      </c>
      <c r="B55" s="72" t="s">
        <v>128</v>
      </c>
      <c r="C55" s="31" t="s">
        <v>129</v>
      </c>
      <c r="D55" s="186">
        <f t="shared" si="6"/>
        <v>36351</v>
      </c>
      <c r="E55" s="189">
        <f t="shared" si="3"/>
        <v>0</v>
      </c>
      <c r="F55" s="189">
        <f>'[19]Раз.пос.(Пр.3-26)     '!F55+'[19]Уточнение для Пр.5-26'!F55</f>
        <v>0</v>
      </c>
      <c r="G55" s="189">
        <f>'[19]Раз.пос.(Пр.3-26)     '!G55+'[19]Уточнение для Пр.5-26'!G55</f>
        <v>0</v>
      </c>
      <c r="H55" s="189">
        <f t="shared" si="4"/>
        <v>34887</v>
      </c>
      <c r="I55" s="190">
        <v>0</v>
      </c>
      <c r="J55" s="189">
        <v>2761</v>
      </c>
      <c r="K55" s="189">
        <v>836</v>
      </c>
      <c r="L55" s="189">
        <v>31290</v>
      </c>
      <c r="M55" s="189">
        <f>'[19]Раз.пос.(Пр.3-26)     '!M55+'[19]Уточнение для Пр.5-26'!M55</f>
        <v>1025</v>
      </c>
      <c r="N55" s="189">
        <f>'[19]Раз.пос.(Пр.3-26)     '!N55+'[19]Уточнение для Пр.5-26'!N55</f>
        <v>439</v>
      </c>
      <c r="O55" s="186">
        <f t="shared" si="5"/>
        <v>0</v>
      </c>
      <c r="P55" s="189">
        <v>0</v>
      </c>
      <c r="Q55" s="189">
        <v>0</v>
      </c>
      <c r="R55" s="189">
        <f>'[19]Раз.пос.(Пр.3-26)     '!R55+'[19]Уточнение для Пр.5-26'!R55</f>
        <v>0</v>
      </c>
      <c r="S55" s="189">
        <f>'[19]Раз.пос.(Пр.3-26)     '!S55+'[19]Уточнение для Пр.5-26'!S55</f>
        <v>0</v>
      </c>
    </row>
    <row r="56" spans="1:19" x14ac:dyDescent="0.2">
      <c r="A56" s="128">
        <v>46</v>
      </c>
      <c r="B56" s="834" t="s">
        <v>130</v>
      </c>
      <c r="C56" s="31" t="s">
        <v>131</v>
      </c>
      <c r="D56" s="186">
        <f t="shared" si="6"/>
        <v>6763</v>
      </c>
      <c r="E56" s="189">
        <f t="shared" si="3"/>
        <v>0</v>
      </c>
      <c r="F56" s="189">
        <f>'[19]Раз.пос.(Пр.3-26)     '!F56+'[19]Уточнение для Пр.5-26'!F56</f>
        <v>0</v>
      </c>
      <c r="G56" s="189">
        <f>'[19]Раз.пос.(Пр.3-26)     '!G56+'[19]Уточнение для Пр.5-26'!G56</f>
        <v>0</v>
      </c>
      <c r="H56" s="189">
        <f t="shared" si="4"/>
        <v>6763</v>
      </c>
      <c r="I56" s="190">
        <v>0</v>
      </c>
      <c r="J56" s="189">
        <v>422</v>
      </c>
      <c r="K56" s="189">
        <v>2269</v>
      </c>
      <c r="L56" s="189">
        <v>4072</v>
      </c>
      <c r="M56" s="189">
        <f>'[19]Раз.пос.(Пр.3-26)     '!M56+'[19]Уточнение для Пр.5-26'!M56</f>
        <v>0</v>
      </c>
      <c r="N56" s="189">
        <f>'[19]Раз.пос.(Пр.3-26)     '!N56+'[19]Уточнение для Пр.5-26'!N56</f>
        <v>0</v>
      </c>
      <c r="O56" s="186">
        <f t="shared" si="5"/>
        <v>0</v>
      </c>
      <c r="P56" s="189">
        <v>0</v>
      </c>
      <c r="Q56" s="189">
        <v>0</v>
      </c>
      <c r="R56" s="189">
        <f>'[19]Раз.пос.(Пр.3-26)     '!R56+'[19]Уточнение для Пр.5-26'!R56</f>
        <v>0</v>
      </c>
      <c r="S56" s="189">
        <f>'[19]Раз.пос.(Пр.3-26)     '!S56+'[19]Уточнение для Пр.5-26'!S56</f>
        <v>0</v>
      </c>
    </row>
    <row r="57" spans="1:19" x14ac:dyDescent="0.2">
      <c r="A57" s="128">
        <v>47</v>
      </c>
      <c r="B57" s="72" t="s">
        <v>132</v>
      </c>
      <c r="C57" s="31" t="s">
        <v>133</v>
      </c>
      <c r="D57" s="186">
        <f t="shared" si="6"/>
        <v>13761</v>
      </c>
      <c r="E57" s="189">
        <f t="shared" si="3"/>
        <v>0</v>
      </c>
      <c r="F57" s="189">
        <f>'[19]Раз.пос.(Пр.3-26)     '!F57+'[19]Уточнение для Пр.5-26'!F57</f>
        <v>0</v>
      </c>
      <c r="G57" s="189">
        <f>'[19]Раз.пос.(Пр.3-26)     '!G57+'[19]Уточнение для Пр.5-26'!G57</f>
        <v>0</v>
      </c>
      <c r="H57" s="189">
        <f t="shared" si="4"/>
        <v>12297</v>
      </c>
      <c r="I57" s="190">
        <v>0</v>
      </c>
      <c r="J57" s="189">
        <v>1857</v>
      </c>
      <c r="K57" s="189">
        <v>0</v>
      </c>
      <c r="L57" s="189">
        <v>10440</v>
      </c>
      <c r="M57" s="189">
        <f>'[19]Раз.пос.(Пр.3-26)     '!M57+'[19]Уточнение для Пр.5-26'!M57</f>
        <v>1025</v>
      </c>
      <c r="N57" s="189">
        <f>'[19]Раз.пос.(Пр.3-26)     '!N57+'[19]Уточнение для Пр.5-26'!N57</f>
        <v>439</v>
      </c>
      <c r="O57" s="186">
        <f t="shared" si="5"/>
        <v>0</v>
      </c>
      <c r="P57" s="189">
        <v>0</v>
      </c>
      <c r="Q57" s="189">
        <v>0</v>
      </c>
      <c r="R57" s="189">
        <f>'[19]Раз.пос.(Пр.3-26)     '!R57+'[19]Уточнение для Пр.5-26'!R57</f>
        <v>0</v>
      </c>
      <c r="S57" s="189">
        <f>'[19]Раз.пос.(Пр.3-26)     '!S57+'[19]Уточнение для Пр.5-26'!S57</f>
        <v>0</v>
      </c>
    </row>
    <row r="58" spans="1:19" x14ac:dyDescent="0.2">
      <c r="A58" s="128">
        <v>48</v>
      </c>
      <c r="B58" s="834" t="s">
        <v>134</v>
      </c>
      <c r="C58" s="31" t="s">
        <v>135</v>
      </c>
      <c r="D58" s="186">
        <f t="shared" si="6"/>
        <v>21701</v>
      </c>
      <c r="E58" s="189">
        <f t="shared" si="3"/>
        <v>0</v>
      </c>
      <c r="F58" s="189">
        <f>'[19]Раз.пос.(Пр.3-26)     '!F58+'[19]Уточнение для Пр.5-26'!F58</f>
        <v>0</v>
      </c>
      <c r="G58" s="189">
        <f>'[19]Раз.пос.(Пр.3-26)     '!G58+'[19]Уточнение для Пр.5-26'!G58</f>
        <v>0</v>
      </c>
      <c r="H58" s="189">
        <f t="shared" si="4"/>
        <v>21701</v>
      </c>
      <c r="I58" s="190">
        <v>0</v>
      </c>
      <c r="J58" s="189">
        <v>300</v>
      </c>
      <c r="K58" s="189">
        <v>2822</v>
      </c>
      <c r="L58" s="189">
        <v>18579</v>
      </c>
      <c r="M58" s="189">
        <f>'[19]Раз.пос.(Пр.3-26)     '!M58+'[19]Уточнение для Пр.5-26'!M58</f>
        <v>0</v>
      </c>
      <c r="N58" s="189">
        <f>'[19]Раз.пос.(Пр.3-26)     '!N58+'[19]Уточнение для Пр.5-26'!N58</f>
        <v>0</v>
      </c>
      <c r="O58" s="186">
        <f t="shared" si="5"/>
        <v>0</v>
      </c>
      <c r="P58" s="189">
        <v>0</v>
      </c>
      <c r="Q58" s="189">
        <v>0</v>
      </c>
      <c r="R58" s="189">
        <f>'[19]Раз.пос.(Пр.3-26)     '!R58+'[19]Уточнение для Пр.5-26'!R58</f>
        <v>0</v>
      </c>
      <c r="S58" s="189">
        <f>'[19]Раз.пос.(Пр.3-26)     '!S58+'[19]Уточнение для Пр.5-26'!S58</f>
        <v>0</v>
      </c>
    </row>
    <row r="59" spans="1:19" x14ac:dyDescent="0.2">
      <c r="A59" s="128">
        <v>49</v>
      </c>
      <c r="B59" s="834" t="s">
        <v>136</v>
      </c>
      <c r="C59" s="31" t="s">
        <v>137</v>
      </c>
      <c r="D59" s="186">
        <f t="shared" si="6"/>
        <v>118031</v>
      </c>
      <c r="E59" s="189">
        <f t="shared" si="3"/>
        <v>0</v>
      </c>
      <c r="F59" s="189">
        <f>'[19]Раз.пос.(Пр.3-26)     '!F59+'[19]Уточнение для Пр.5-26'!F59</f>
        <v>0</v>
      </c>
      <c r="G59" s="189">
        <f>'[19]Раз.пос.(Пр.3-26)     '!G59+'[19]Уточнение для Пр.5-26'!G59</f>
        <v>0</v>
      </c>
      <c r="H59" s="189">
        <f t="shared" si="4"/>
        <v>115701</v>
      </c>
      <c r="I59" s="190">
        <v>0</v>
      </c>
      <c r="J59" s="189">
        <v>12285</v>
      </c>
      <c r="K59" s="189">
        <v>15091</v>
      </c>
      <c r="L59" s="189">
        <v>88325</v>
      </c>
      <c r="M59" s="189">
        <f>'[19]Раз.пос.(Пр.3-26)     '!M59+'[19]Уточнение для Пр.5-26'!M59</f>
        <v>1025</v>
      </c>
      <c r="N59" s="189">
        <f>'[19]Раз.пос.(Пр.3-26)     '!N59+'[19]Уточнение для Пр.5-26'!N59</f>
        <v>439</v>
      </c>
      <c r="O59" s="186">
        <f t="shared" si="5"/>
        <v>866</v>
      </c>
      <c r="P59" s="189">
        <v>0</v>
      </c>
      <c r="Q59" s="189">
        <v>866</v>
      </c>
      <c r="R59" s="189">
        <f>'[19]Раз.пос.(Пр.3-26)     '!R59+'[19]Уточнение для Пр.5-26'!R59</f>
        <v>0</v>
      </c>
      <c r="S59" s="189">
        <f>'[19]Раз.пос.(Пр.3-26)     '!S59+'[19]Уточнение для Пр.5-26'!S59</f>
        <v>0</v>
      </c>
    </row>
    <row r="60" spans="1:19" x14ac:dyDescent="0.2">
      <c r="A60" s="128">
        <v>50</v>
      </c>
      <c r="B60" s="834" t="s">
        <v>138</v>
      </c>
      <c r="C60" s="31" t="s">
        <v>139</v>
      </c>
      <c r="D60" s="186">
        <f t="shared" si="6"/>
        <v>21604</v>
      </c>
      <c r="E60" s="189">
        <f t="shared" si="3"/>
        <v>0</v>
      </c>
      <c r="F60" s="189">
        <f>'[19]Раз.пос.(Пр.3-26)     '!F60+'[19]Уточнение для Пр.5-26'!F60</f>
        <v>0</v>
      </c>
      <c r="G60" s="189">
        <f>'[19]Раз.пос.(Пр.3-26)     '!G60+'[19]Уточнение для Пр.5-26'!G60</f>
        <v>0</v>
      </c>
      <c r="H60" s="189">
        <f t="shared" si="4"/>
        <v>21604</v>
      </c>
      <c r="I60" s="190">
        <v>0</v>
      </c>
      <c r="J60" s="189">
        <v>3040</v>
      </c>
      <c r="K60" s="189">
        <v>2264</v>
      </c>
      <c r="L60" s="189">
        <v>16300</v>
      </c>
      <c r="M60" s="189">
        <f>'[19]Раз.пос.(Пр.3-26)     '!M60+'[19]Уточнение для Пр.5-26'!M60</f>
        <v>0</v>
      </c>
      <c r="N60" s="189">
        <f>'[19]Раз.пос.(Пр.3-26)     '!N60+'[19]Уточнение для Пр.5-26'!N60</f>
        <v>0</v>
      </c>
      <c r="O60" s="186">
        <f t="shared" si="5"/>
        <v>0</v>
      </c>
      <c r="P60" s="189">
        <v>0</v>
      </c>
      <c r="Q60" s="189">
        <v>0</v>
      </c>
      <c r="R60" s="189">
        <f>'[19]Раз.пос.(Пр.3-26)     '!R60+'[19]Уточнение для Пр.5-26'!R60</f>
        <v>0</v>
      </c>
      <c r="S60" s="189">
        <f>'[19]Раз.пос.(Пр.3-26)     '!S60+'[19]Уточнение для Пр.5-26'!S60</f>
        <v>0</v>
      </c>
    </row>
    <row r="61" spans="1:19" x14ac:dyDescent="0.2">
      <c r="A61" s="128">
        <v>51</v>
      </c>
      <c r="B61" s="834" t="s">
        <v>140</v>
      </c>
      <c r="C61" s="31" t="s">
        <v>141</v>
      </c>
      <c r="D61" s="186">
        <f t="shared" si="6"/>
        <v>11636</v>
      </c>
      <c r="E61" s="189">
        <f t="shared" si="3"/>
        <v>0</v>
      </c>
      <c r="F61" s="189">
        <f>'[19]Раз.пос.(Пр.3-26)     '!F61+'[19]Уточнение для Пр.5-26'!F61</f>
        <v>0</v>
      </c>
      <c r="G61" s="189">
        <f>'[19]Раз.пос.(Пр.3-26)     '!G61+'[19]Уточнение для Пр.5-26'!G61</f>
        <v>0</v>
      </c>
      <c r="H61" s="189">
        <f t="shared" si="4"/>
        <v>10172</v>
      </c>
      <c r="I61" s="190">
        <v>0</v>
      </c>
      <c r="J61" s="189">
        <v>468</v>
      </c>
      <c r="K61" s="189">
        <v>1424</v>
      </c>
      <c r="L61" s="189">
        <v>8280</v>
      </c>
      <c r="M61" s="189">
        <f>'[19]Раз.пос.(Пр.3-26)     '!M61+'[19]Уточнение для Пр.5-26'!M61</f>
        <v>1025</v>
      </c>
      <c r="N61" s="189">
        <f>'[19]Раз.пос.(Пр.3-26)     '!N61+'[19]Уточнение для Пр.5-26'!N61</f>
        <v>439</v>
      </c>
      <c r="O61" s="186">
        <f t="shared" si="5"/>
        <v>0</v>
      </c>
      <c r="P61" s="189">
        <v>0</v>
      </c>
      <c r="Q61" s="189">
        <v>0</v>
      </c>
      <c r="R61" s="189">
        <f>'[19]Раз.пос.(Пр.3-26)     '!R61+'[19]Уточнение для Пр.5-26'!R61</f>
        <v>0</v>
      </c>
      <c r="S61" s="189">
        <f>'[19]Раз.пос.(Пр.3-26)     '!S61+'[19]Уточнение для Пр.5-26'!S61</f>
        <v>0</v>
      </c>
    </row>
    <row r="62" spans="1:19" x14ac:dyDescent="0.2">
      <c r="A62" s="128">
        <v>52</v>
      </c>
      <c r="B62" s="72" t="s">
        <v>142</v>
      </c>
      <c r="C62" s="31" t="s">
        <v>143</v>
      </c>
      <c r="D62" s="186">
        <f t="shared" si="6"/>
        <v>20711</v>
      </c>
      <c r="E62" s="189">
        <f t="shared" si="3"/>
        <v>0</v>
      </c>
      <c r="F62" s="189">
        <f>'[19]Раз.пос.(Пр.3-26)     '!F62+'[19]Уточнение для Пр.5-26'!F62</f>
        <v>0</v>
      </c>
      <c r="G62" s="189">
        <f>'[19]Раз.пос.(Пр.3-26)     '!G62+'[19]Уточнение для Пр.5-26'!G62</f>
        <v>0</v>
      </c>
      <c r="H62" s="189">
        <f t="shared" si="4"/>
        <v>20711</v>
      </c>
      <c r="I62" s="190">
        <v>0</v>
      </c>
      <c r="J62" s="189">
        <v>1500</v>
      </c>
      <c r="K62" s="189">
        <v>1451</v>
      </c>
      <c r="L62" s="189">
        <v>17760</v>
      </c>
      <c r="M62" s="189">
        <f>'[19]Раз.пос.(Пр.3-26)     '!M62+'[19]Уточнение для Пр.5-26'!M62</f>
        <v>0</v>
      </c>
      <c r="N62" s="189">
        <f>'[19]Раз.пос.(Пр.3-26)     '!N62+'[19]Уточнение для Пр.5-26'!N62</f>
        <v>0</v>
      </c>
      <c r="O62" s="186">
        <f t="shared" si="5"/>
        <v>0</v>
      </c>
      <c r="P62" s="189">
        <v>0</v>
      </c>
      <c r="Q62" s="189">
        <v>0</v>
      </c>
      <c r="R62" s="189">
        <f>'[19]Раз.пос.(Пр.3-26)     '!R62+'[19]Уточнение для Пр.5-26'!R62</f>
        <v>0</v>
      </c>
      <c r="S62" s="189">
        <f>'[19]Раз.пос.(Пр.3-26)     '!S62+'[19]Уточнение для Пр.5-26'!S62</f>
        <v>0</v>
      </c>
    </row>
    <row r="63" spans="1:19" x14ac:dyDescent="0.2">
      <c r="A63" s="128">
        <v>53</v>
      </c>
      <c r="B63" s="834" t="s">
        <v>144</v>
      </c>
      <c r="C63" s="31" t="s">
        <v>145</v>
      </c>
      <c r="D63" s="186">
        <f t="shared" si="6"/>
        <v>0</v>
      </c>
      <c r="E63" s="189">
        <f t="shared" si="3"/>
        <v>0</v>
      </c>
      <c r="F63" s="189">
        <f>'[19]Раз.пос.(Пр.3-26)     '!F63+'[19]Уточнение для Пр.5-26'!F63</f>
        <v>0</v>
      </c>
      <c r="G63" s="189">
        <f>'[19]Раз.пос.(Пр.3-26)     '!G63+'[19]Уточнение для Пр.5-26'!G63</f>
        <v>0</v>
      </c>
      <c r="H63" s="189">
        <f t="shared" si="4"/>
        <v>0</v>
      </c>
      <c r="I63" s="190">
        <v>0</v>
      </c>
      <c r="J63" s="189">
        <v>0</v>
      </c>
      <c r="K63" s="189">
        <v>0</v>
      </c>
      <c r="L63" s="189">
        <v>0</v>
      </c>
      <c r="M63" s="189">
        <f>'[19]Раз.пос.(Пр.3-26)     '!M63+'[19]Уточнение для Пр.5-26'!M63</f>
        <v>0</v>
      </c>
      <c r="N63" s="189">
        <f>'[19]Раз.пос.(Пр.3-26)     '!N63+'[19]Уточнение для Пр.5-26'!N63</f>
        <v>0</v>
      </c>
      <c r="O63" s="186">
        <v>0</v>
      </c>
      <c r="P63" s="189">
        <v>0</v>
      </c>
      <c r="Q63" s="189">
        <v>0</v>
      </c>
      <c r="R63" s="189">
        <f>'[19]Раз.пос.(Пр.3-26)     '!R63+'[19]Уточнение для Пр.5-26'!R63</f>
        <v>0</v>
      </c>
      <c r="S63" s="189">
        <f>'[19]Раз.пос.(Пр.3-26)     '!S63+'[19]Уточнение для Пр.5-26'!S63</f>
        <v>0</v>
      </c>
    </row>
    <row r="64" spans="1:19" x14ac:dyDescent="0.2">
      <c r="A64" s="128">
        <v>54</v>
      </c>
      <c r="B64" s="834" t="s">
        <v>146</v>
      </c>
      <c r="C64" s="31" t="s">
        <v>147</v>
      </c>
      <c r="D64" s="186">
        <f t="shared" si="6"/>
        <v>0</v>
      </c>
      <c r="E64" s="189">
        <f t="shared" si="3"/>
        <v>0</v>
      </c>
      <c r="F64" s="189">
        <f>'[19]Раз.пос.(Пр.3-26)     '!F64+'[19]Уточнение для Пр.5-26'!F64</f>
        <v>0</v>
      </c>
      <c r="G64" s="189">
        <f>'[19]Раз.пос.(Пр.3-26)     '!G64+'[19]Уточнение для Пр.5-26'!G64</f>
        <v>0</v>
      </c>
      <c r="H64" s="189">
        <f t="shared" si="4"/>
        <v>0</v>
      </c>
      <c r="I64" s="190">
        <v>0</v>
      </c>
      <c r="J64" s="189">
        <v>0</v>
      </c>
      <c r="K64" s="189">
        <v>0</v>
      </c>
      <c r="L64" s="189">
        <v>0</v>
      </c>
      <c r="M64" s="189">
        <f>'[19]Раз.пос.(Пр.3-26)     '!M64+'[19]Уточнение для Пр.5-26'!M64</f>
        <v>0</v>
      </c>
      <c r="N64" s="189">
        <f>'[19]Раз.пос.(Пр.3-26)     '!N64+'[19]Уточнение для Пр.5-26'!N64</f>
        <v>0</v>
      </c>
      <c r="O64" s="186">
        <v>0</v>
      </c>
      <c r="P64" s="189">
        <v>0</v>
      </c>
      <c r="Q64" s="189">
        <v>0</v>
      </c>
      <c r="R64" s="189">
        <f>'[19]Раз.пос.(Пр.3-26)     '!R64+'[19]Уточнение для Пр.5-26'!R64</f>
        <v>0</v>
      </c>
      <c r="S64" s="189">
        <f>'[19]Раз.пос.(Пр.3-26)     '!S64+'[19]Уточнение для Пр.5-26'!S64</f>
        <v>0</v>
      </c>
    </row>
    <row r="65" spans="1:19" x14ac:dyDescent="0.2">
      <c r="A65" s="128">
        <v>55</v>
      </c>
      <c r="B65" s="834" t="s">
        <v>148</v>
      </c>
      <c r="C65" s="31" t="s">
        <v>149</v>
      </c>
      <c r="D65" s="186">
        <f t="shared" si="6"/>
        <v>91341</v>
      </c>
      <c r="E65" s="189">
        <f t="shared" si="3"/>
        <v>0</v>
      </c>
      <c r="F65" s="189">
        <f>'[19]Раз.пос.(Пр.3-26)     '!F65+'[19]Уточнение для Пр.5-26'!F65</f>
        <v>0</v>
      </c>
      <c r="G65" s="189">
        <f>'[19]Раз.пос.(Пр.3-26)     '!G65+'[19]Уточнение для Пр.5-26'!G65</f>
        <v>0</v>
      </c>
      <c r="H65" s="189">
        <f t="shared" si="4"/>
        <v>91341</v>
      </c>
      <c r="I65" s="190">
        <v>0</v>
      </c>
      <c r="J65" s="189">
        <v>500</v>
      </c>
      <c r="K65" s="189">
        <v>0</v>
      </c>
      <c r="L65" s="189">
        <v>90841</v>
      </c>
      <c r="M65" s="189">
        <f>'[19]Раз.пос.(Пр.3-26)     '!M65+'[19]Уточнение для Пр.5-26'!M65</f>
        <v>0</v>
      </c>
      <c r="N65" s="189">
        <f>'[19]Раз.пос.(Пр.3-26)     '!N65+'[19]Уточнение для Пр.5-26'!N65</f>
        <v>0</v>
      </c>
      <c r="O65" s="186">
        <f t="shared" si="5"/>
        <v>0</v>
      </c>
      <c r="P65" s="189">
        <v>0</v>
      </c>
      <c r="Q65" s="189">
        <v>0</v>
      </c>
      <c r="R65" s="189">
        <f>'[19]Раз.пос.(Пр.3-26)     '!R65+'[19]Уточнение для Пр.5-26'!R65</f>
        <v>0</v>
      </c>
      <c r="S65" s="189">
        <f>'[19]Раз.пос.(Пр.3-26)     '!S65+'[19]Уточнение для Пр.5-26'!S65</f>
        <v>0</v>
      </c>
    </row>
    <row r="66" spans="1:19" x14ac:dyDescent="0.2">
      <c r="A66" s="128">
        <v>56</v>
      </c>
      <c r="B66" s="72" t="s">
        <v>150</v>
      </c>
      <c r="C66" s="31" t="s">
        <v>151</v>
      </c>
      <c r="D66" s="186">
        <f t="shared" si="6"/>
        <v>64988</v>
      </c>
      <c r="E66" s="189">
        <f t="shared" si="3"/>
        <v>0</v>
      </c>
      <c r="F66" s="189">
        <f>'[19]Раз.пос.(Пр.3-26)     '!F66+'[19]Уточнение для Пр.5-26'!F66</f>
        <v>0</v>
      </c>
      <c r="G66" s="189">
        <f>'[19]Раз.пос.(Пр.3-26)     '!G66+'[19]Уточнение для Пр.5-26'!G66</f>
        <v>0</v>
      </c>
      <c r="H66" s="189">
        <f t="shared" si="4"/>
        <v>64988</v>
      </c>
      <c r="I66" s="190">
        <v>0</v>
      </c>
      <c r="J66" s="189">
        <v>400</v>
      </c>
      <c r="K66" s="189">
        <v>0</v>
      </c>
      <c r="L66" s="189">
        <v>64588</v>
      </c>
      <c r="M66" s="189">
        <f>'[19]Раз.пос.(Пр.3-26)     '!M66+'[19]Уточнение для Пр.5-26'!M66</f>
        <v>0</v>
      </c>
      <c r="N66" s="189">
        <f>'[19]Раз.пос.(Пр.3-26)     '!N66+'[19]Уточнение для Пр.5-26'!N66</f>
        <v>0</v>
      </c>
      <c r="O66" s="186">
        <f t="shared" si="5"/>
        <v>0</v>
      </c>
      <c r="P66" s="189">
        <v>0</v>
      </c>
      <c r="Q66" s="189">
        <v>0</v>
      </c>
      <c r="R66" s="189">
        <f>'[19]Раз.пос.(Пр.3-26)     '!R66+'[19]Уточнение для Пр.5-26'!R66</f>
        <v>0</v>
      </c>
      <c r="S66" s="189">
        <f>'[19]Раз.пос.(Пр.3-26)     '!S66+'[19]Уточнение для Пр.5-26'!S66</f>
        <v>0</v>
      </c>
    </row>
    <row r="67" spans="1:19" x14ac:dyDescent="0.2">
      <c r="A67" s="128">
        <v>57</v>
      </c>
      <c r="B67" s="71" t="s">
        <v>152</v>
      </c>
      <c r="C67" s="31" t="s">
        <v>153</v>
      </c>
      <c r="D67" s="186">
        <f t="shared" si="6"/>
        <v>0</v>
      </c>
      <c r="E67" s="189">
        <f t="shared" si="3"/>
        <v>0</v>
      </c>
      <c r="F67" s="189">
        <f>'[19]Раз.пос.(Пр.3-26)     '!F67+'[19]Уточнение для Пр.5-26'!F67</f>
        <v>0</v>
      </c>
      <c r="G67" s="189">
        <f>'[19]Раз.пос.(Пр.3-26)     '!G67+'[19]Уточнение для Пр.5-26'!G67</f>
        <v>0</v>
      </c>
      <c r="H67" s="189">
        <f t="shared" si="4"/>
        <v>0</v>
      </c>
      <c r="I67" s="190">
        <v>0</v>
      </c>
      <c r="J67" s="189">
        <v>0</v>
      </c>
      <c r="K67" s="189">
        <v>0</v>
      </c>
      <c r="L67" s="189">
        <v>0</v>
      </c>
      <c r="M67" s="189">
        <f>'[19]Раз.пос.(Пр.3-26)     '!M67+'[19]Уточнение для Пр.5-26'!M67</f>
        <v>0</v>
      </c>
      <c r="N67" s="189">
        <f>'[19]Раз.пос.(Пр.3-26)     '!N67+'[19]Уточнение для Пр.5-26'!N67</f>
        <v>0</v>
      </c>
      <c r="O67" s="186">
        <f t="shared" si="5"/>
        <v>0</v>
      </c>
      <c r="P67" s="189">
        <v>0</v>
      </c>
      <c r="Q67" s="189">
        <v>0</v>
      </c>
      <c r="R67" s="189">
        <f>'[19]Раз.пос.(Пр.3-26)     '!R67+'[19]Уточнение для Пр.5-26'!R67</f>
        <v>0</v>
      </c>
      <c r="S67" s="189">
        <f>'[19]Раз.пос.(Пр.3-26)     '!S67+'[19]Уточнение для Пр.5-26'!S67</f>
        <v>0</v>
      </c>
    </row>
    <row r="68" spans="1:19" x14ac:dyDescent="0.2">
      <c r="A68" s="128">
        <v>58</v>
      </c>
      <c r="B68" s="72" t="s">
        <v>154</v>
      </c>
      <c r="C68" s="31" t="s">
        <v>155</v>
      </c>
      <c r="D68" s="186">
        <f t="shared" si="6"/>
        <v>133735</v>
      </c>
      <c r="E68" s="189">
        <f t="shared" si="3"/>
        <v>0</v>
      </c>
      <c r="F68" s="189">
        <f>'[19]Раз.пос.(Пр.3-26)     '!F68+'[19]Уточнение для Пр.5-26'!F68</f>
        <v>0</v>
      </c>
      <c r="G68" s="189">
        <f>'[19]Раз.пос.(Пр.3-26)     '!G68+'[19]Уточнение для Пр.5-26'!G68</f>
        <v>0</v>
      </c>
      <c r="H68" s="189">
        <f t="shared" si="4"/>
        <v>133735</v>
      </c>
      <c r="I68" s="190">
        <v>0</v>
      </c>
      <c r="J68" s="189">
        <v>1397</v>
      </c>
      <c r="K68" s="189">
        <v>0</v>
      </c>
      <c r="L68" s="189">
        <v>132338</v>
      </c>
      <c r="M68" s="189">
        <f>'[19]Раз.пос.(Пр.3-26)     '!M68+'[19]Уточнение для Пр.5-26'!M68</f>
        <v>0</v>
      </c>
      <c r="N68" s="189">
        <f>'[19]Раз.пос.(Пр.3-26)     '!N68+'[19]Уточнение для Пр.5-26'!N68</f>
        <v>0</v>
      </c>
      <c r="O68" s="186">
        <f t="shared" si="5"/>
        <v>0</v>
      </c>
      <c r="P68" s="189">
        <v>0</v>
      </c>
      <c r="Q68" s="189">
        <v>0</v>
      </c>
      <c r="R68" s="189">
        <f>'[19]Раз.пос.(Пр.3-26)     '!R68+'[19]Уточнение для Пр.5-26'!R68</f>
        <v>0</v>
      </c>
      <c r="S68" s="189">
        <f>'[19]Раз.пос.(Пр.3-26)     '!S68+'[19]Уточнение для Пр.5-26'!S68</f>
        <v>0</v>
      </c>
    </row>
    <row r="69" spans="1:19" x14ac:dyDescent="0.2">
      <c r="A69" s="128">
        <v>59</v>
      </c>
      <c r="B69" s="834" t="s">
        <v>156</v>
      </c>
      <c r="C69" s="31" t="s">
        <v>157</v>
      </c>
      <c r="D69" s="186">
        <f t="shared" si="6"/>
        <v>0</v>
      </c>
      <c r="E69" s="189">
        <f t="shared" si="3"/>
        <v>0</v>
      </c>
      <c r="F69" s="189">
        <f>'[19]Раз.пос.(Пр.3-26)     '!F69+'[19]Уточнение для Пр.5-26'!F69</f>
        <v>0</v>
      </c>
      <c r="G69" s="189">
        <f>'[19]Раз.пос.(Пр.3-26)     '!G69+'[19]Уточнение для Пр.5-26'!G69</f>
        <v>0</v>
      </c>
      <c r="H69" s="189">
        <f t="shared" si="4"/>
        <v>0</v>
      </c>
      <c r="I69" s="190">
        <v>0</v>
      </c>
      <c r="J69" s="189">
        <v>0</v>
      </c>
      <c r="K69" s="189">
        <v>0</v>
      </c>
      <c r="L69" s="189">
        <v>0</v>
      </c>
      <c r="M69" s="189">
        <f>'[19]Раз.пос.(Пр.3-26)     '!M69+'[19]Уточнение для Пр.5-26'!M69</f>
        <v>0</v>
      </c>
      <c r="N69" s="189">
        <f>'[19]Раз.пос.(Пр.3-26)     '!N69+'[19]Уточнение для Пр.5-26'!N69</f>
        <v>0</v>
      </c>
      <c r="O69" s="186">
        <f t="shared" si="5"/>
        <v>0</v>
      </c>
      <c r="P69" s="189">
        <v>0</v>
      </c>
      <c r="Q69" s="189">
        <v>0</v>
      </c>
      <c r="R69" s="189">
        <f>'[19]Раз.пос.(Пр.3-26)     '!R69+'[19]Уточнение для Пр.5-26'!R69</f>
        <v>0</v>
      </c>
      <c r="S69" s="189">
        <f>'[19]Раз.пос.(Пр.3-26)     '!S69+'[19]Уточнение для Пр.5-26'!S69</f>
        <v>0</v>
      </c>
    </row>
    <row r="70" spans="1:19" ht="24" x14ac:dyDescent="0.2">
      <c r="A70" s="128">
        <v>60</v>
      </c>
      <c r="B70" s="71" t="s">
        <v>158</v>
      </c>
      <c r="C70" s="31" t="s">
        <v>159</v>
      </c>
      <c r="D70" s="186">
        <f t="shared" si="6"/>
        <v>30354</v>
      </c>
      <c r="E70" s="189">
        <f t="shared" si="3"/>
        <v>0</v>
      </c>
      <c r="F70" s="189">
        <f>'[19]Раз.пос.(Пр.3-26)     '!F70+'[19]Уточнение для Пр.5-26'!F70</f>
        <v>0</v>
      </c>
      <c r="G70" s="189">
        <f>'[19]Раз.пос.(Пр.3-26)     '!G70+'[19]Уточнение для Пр.5-26'!G70</f>
        <v>0</v>
      </c>
      <c r="H70" s="189">
        <f t="shared" si="4"/>
        <v>30354</v>
      </c>
      <c r="I70" s="190">
        <v>12000</v>
      </c>
      <c r="J70" s="189">
        <v>0</v>
      </c>
      <c r="K70" s="189">
        <v>18354</v>
      </c>
      <c r="L70" s="189">
        <v>0</v>
      </c>
      <c r="M70" s="189">
        <f>'[19]Раз.пос.(Пр.3-26)     '!M70+'[19]Уточнение для Пр.5-26'!M70</f>
        <v>0</v>
      </c>
      <c r="N70" s="189">
        <f>'[19]Раз.пос.(Пр.3-26)     '!N70+'[19]Уточнение для Пр.5-26'!N70</f>
        <v>0</v>
      </c>
      <c r="O70" s="186">
        <f t="shared" si="5"/>
        <v>0</v>
      </c>
      <c r="P70" s="189">
        <v>0</v>
      </c>
      <c r="Q70" s="189">
        <v>0</v>
      </c>
      <c r="R70" s="189">
        <f>'[19]Раз.пос.(Пр.3-26)     '!R70+'[19]Уточнение для Пр.5-26'!R70</f>
        <v>0</v>
      </c>
      <c r="S70" s="189">
        <f>'[19]Раз.пос.(Пр.3-26)     '!S70+'[19]Уточнение для Пр.5-26'!S70</f>
        <v>0</v>
      </c>
    </row>
    <row r="71" spans="1:19" ht="24" x14ac:dyDescent="0.2">
      <c r="A71" s="128">
        <v>61</v>
      </c>
      <c r="B71" s="71" t="s">
        <v>160</v>
      </c>
      <c r="C71" s="31" t="s">
        <v>161</v>
      </c>
      <c r="D71" s="186">
        <f t="shared" si="6"/>
        <v>23397</v>
      </c>
      <c r="E71" s="189">
        <f t="shared" si="3"/>
        <v>0</v>
      </c>
      <c r="F71" s="189">
        <f>'[19]Раз.пос.(Пр.3-26)     '!F71+'[19]Уточнение для Пр.5-26'!F71</f>
        <v>0</v>
      </c>
      <c r="G71" s="189">
        <f>'[19]Раз.пос.(Пр.3-26)     '!G71+'[19]Уточнение для Пр.5-26'!G71</f>
        <v>0</v>
      </c>
      <c r="H71" s="189">
        <f t="shared" si="4"/>
        <v>23397</v>
      </c>
      <c r="I71" s="190">
        <v>12000</v>
      </c>
      <c r="J71" s="189">
        <v>0</v>
      </c>
      <c r="K71" s="189">
        <v>11397</v>
      </c>
      <c r="L71" s="189">
        <v>0</v>
      </c>
      <c r="M71" s="189">
        <f>'[19]Раз.пос.(Пр.3-26)     '!M71+'[19]Уточнение для Пр.5-26'!M71</f>
        <v>0</v>
      </c>
      <c r="N71" s="189">
        <f>'[19]Раз.пос.(Пр.3-26)     '!N71+'[19]Уточнение для Пр.5-26'!N71</f>
        <v>0</v>
      </c>
      <c r="O71" s="186">
        <f t="shared" si="5"/>
        <v>0</v>
      </c>
      <c r="P71" s="189">
        <v>0</v>
      </c>
      <c r="Q71" s="189">
        <v>0</v>
      </c>
      <c r="R71" s="189">
        <f>'[19]Раз.пос.(Пр.3-26)     '!R71+'[19]Уточнение для Пр.5-26'!R71</f>
        <v>0</v>
      </c>
      <c r="S71" s="189">
        <f>'[19]Раз.пос.(Пр.3-26)     '!S71+'[19]Уточнение для Пр.5-26'!S71</f>
        <v>0</v>
      </c>
    </row>
    <row r="72" spans="1:19" x14ac:dyDescent="0.2">
      <c r="A72" s="128">
        <v>62</v>
      </c>
      <c r="B72" s="72" t="s">
        <v>162</v>
      </c>
      <c r="C72" s="31" t="s">
        <v>163</v>
      </c>
      <c r="D72" s="186">
        <f t="shared" si="6"/>
        <v>77469</v>
      </c>
      <c r="E72" s="189">
        <f t="shared" si="3"/>
        <v>0</v>
      </c>
      <c r="F72" s="189">
        <f>'[19]Раз.пос.(Пр.3-26)     '!F72+'[19]Уточнение для Пр.5-26'!F72</f>
        <v>0</v>
      </c>
      <c r="G72" s="189">
        <f>'[19]Раз.пос.(Пр.3-26)     '!G72+'[19]Уточнение для Пр.5-26'!G72</f>
        <v>0</v>
      </c>
      <c r="H72" s="189">
        <f t="shared" si="4"/>
        <v>76005</v>
      </c>
      <c r="I72" s="190">
        <v>0</v>
      </c>
      <c r="J72" s="189">
        <v>14100</v>
      </c>
      <c r="K72" s="189">
        <v>0</v>
      </c>
      <c r="L72" s="189">
        <v>61905</v>
      </c>
      <c r="M72" s="189">
        <f>'[19]Раз.пос.(Пр.3-26)     '!M72+'[19]Уточнение для Пр.5-26'!M72</f>
        <v>1025</v>
      </c>
      <c r="N72" s="189">
        <f>'[19]Раз.пос.(Пр.3-26)     '!N72+'[19]Уточнение для Пр.5-26'!N72</f>
        <v>439</v>
      </c>
      <c r="O72" s="186">
        <f t="shared" si="5"/>
        <v>0</v>
      </c>
      <c r="P72" s="189">
        <v>0</v>
      </c>
      <c r="Q72" s="189">
        <v>0</v>
      </c>
      <c r="R72" s="189">
        <f>'[19]Раз.пос.(Пр.3-26)     '!R72+'[19]Уточнение для Пр.5-26'!R72</f>
        <v>0</v>
      </c>
      <c r="S72" s="189">
        <f>'[19]Раз.пос.(Пр.3-26)     '!S72+'[19]Уточнение для Пр.5-26'!S72</f>
        <v>0</v>
      </c>
    </row>
    <row r="73" spans="1:19" x14ac:dyDescent="0.2">
      <c r="A73" s="128">
        <v>63</v>
      </c>
      <c r="B73" s="72" t="s">
        <v>164</v>
      </c>
      <c r="C73" s="31" t="s">
        <v>165</v>
      </c>
      <c r="D73" s="186">
        <f t="shared" si="6"/>
        <v>18947</v>
      </c>
      <c r="E73" s="189">
        <f t="shared" si="3"/>
        <v>0</v>
      </c>
      <c r="F73" s="189">
        <f>'[19]Раз.пос.(Пр.3-26)     '!F73+'[19]Уточнение для Пр.5-26'!F73</f>
        <v>0</v>
      </c>
      <c r="G73" s="189">
        <f>'[19]Раз.пос.(Пр.3-26)     '!G73+'[19]Уточнение для Пр.5-26'!G73</f>
        <v>0</v>
      </c>
      <c r="H73" s="189">
        <f t="shared" si="4"/>
        <v>17483</v>
      </c>
      <c r="I73" s="190">
        <v>0</v>
      </c>
      <c r="J73" s="189">
        <v>300</v>
      </c>
      <c r="K73" s="189">
        <v>0</v>
      </c>
      <c r="L73" s="189">
        <v>17183</v>
      </c>
      <c r="M73" s="189">
        <f>'[19]Раз.пос.(Пр.3-26)     '!M73+'[19]Уточнение для Пр.5-26'!M73</f>
        <v>1025</v>
      </c>
      <c r="N73" s="189">
        <f>'[19]Раз.пос.(Пр.3-26)     '!N73+'[19]Уточнение для Пр.5-26'!N73</f>
        <v>439</v>
      </c>
      <c r="O73" s="186">
        <f t="shared" si="5"/>
        <v>0</v>
      </c>
      <c r="P73" s="189">
        <v>0</v>
      </c>
      <c r="Q73" s="189">
        <v>0</v>
      </c>
      <c r="R73" s="189">
        <f>'[19]Раз.пос.(Пр.3-26)     '!R73+'[19]Уточнение для Пр.5-26'!R73</f>
        <v>0</v>
      </c>
      <c r="S73" s="189">
        <f>'[19]Раз.пос.(Пр.3-26)     '!S73+'[19]Уточнение для Пр.5-26'!S73</f>
        <v>0</v>
      </c>
    </row>
    <row r="74" spans="1:19" x14ac:dyDescent="0.2">
      <c r="A74" s="128">
        <v>64</v>
      </c>
      <c r="B74" s="72" t="s">
        <v>166</v>
      </c>
      <c r="C74" s="31" t="s">
        <v>167</v>
      </c>
      <c r="D74" s="186">
        <f t="shared" si="6"/>
        <v>79160</v>
      </c>
      <c r="E74" s="189">
        <f t="shared" si="3"/>
        <v>1200</v>
      </c>
      <c r="F74" s="189">
        <f>'[19]Раз.пос.(Пр.3-26)     '!F74+'[19]Уточнение для Пр.5-26'!F74</f>
        <v>1200</v>
      </c>
      <c r="G74" s="189">
        <f>'[19]Раз.пос.(Пр.3-26)     '!G74+'[19]Уточнение для Пр.5-26'!G74</f>
        <v>0</v>
      </c>
      <c r="H74" s="189">
        <f t="shared" si="4"/>
        <v>76496</v>
      </c>
      <c r="I74" s="190">
        <v>0</v>
      </c>
      <c r="J74" s="189">
        <v>15000</v>
      </c>
      <c r="K74" s="189">
        <v>0</v>
      </c>
      <c r="L74" s="189">
        <v>61496</v>
      </c>
      <c r="M74" s="189">
        <f>'[19]Раз.пос.(Пр.3-26)     '!M74+'[19]Уточнение для Пр.5-26'!M74</f>
        <v>1025</v>
      </c>
      <c r="N74" s="189">
        <f>'[19]Раз.пос.(Пр.3-26)     '!N74+'[19]Уточнение для Пр.5-26'!N74</f>
        <v>439</v>
      </c>
      <c r="O74" s="186">
        <f t="shared" si="5"/>
        <v>0</v>
      </c>
      <c r="P74" s="189">
        <v>0</v>
      </c>
      <c r="Q74" s="189">
        <v>0</v>
      </c>
      <c r="R74" s="189">
        <f>'[19]Раз.пос.(Пр.3-26)     '!R74+'[19]Уточнение для Пр.5-26'!R74</f>
        <v>0</v>
      </c>
      <c r="S74" s="189">
        <f>'[19]Раз.пос.(Пр.3-26)     '!S74+'[19]Уточнение для Пр.5-26'!S74</f>
        <v>0</v>
      </c>
    </row>
    <row r="75" spans="1:19" ht="24" x14ac:dyDescent="0.2">
      <c r="A75" s="128">
        <v>65</v>
      </c>
      <c r="B75" s="72" t="s">
        <v>168</v>
      </c>
      <c r="C75" s="31" t="s">
        <v>169</v>
      </c>
      <c r="D75" s="186">
        <f t="shared" si="6"/>
        <v>0</v>
      </c>
      <c r="E75" s="189">
        <f t="shared" si="3"/>
        <v>0</v>
      </c>
      <c r="F75" s="189">
        <f>'[19]Раз.пос.(Пр.3-26)     '!F75+'[19]Уточнение для Пр.5-26'!F75</f>
        <v>0</v>
      </c>
      <c r="G75" s="189">
        <f>'[19]Раз.пос.(Пр.3-26)     '!G75+'[19]Уточнение для Пр.5-26'!G75</f>
        <v>0</v>
      </c>
      <c r="H75" s="189">
        <f t="shared" si="4"/>
        <v>0</v>
      </c>
      <c r="I75" s="190">
        <v>0</v>
      </c>
      <c r="J75" s="189">
        <v>0</v>
      </c>
      <c r="K75" s="189">
        <v>0</v>
      </c>
      <c r="L75" s="189">
        <v>0</v>
      </c>
      <c r="M75" s="189">
        <f>'[19]Раз.пос.(Пр.3-26)     '!M75+'[19]Уточнение для Пр.5-26'!M75</f>
        <v>0</v>
      </c>
      <c r="N75" s="189">
        <f>'[19]Раз.пос.(Пр.3-26)     '!N75+'[19]Уточнение для Пр.5-26'!N75</f>
        <v>0</v>
      </c>
      <c r="O75" s="186">
        <f t="shared" si="5"/>
        <v>0</v>
      </c>
      <c r="P75" s="189">
        <v>0</v>
      </c>
      <c r="Q75" s="189">
        <v>0</v>
      </c>
      <c r="R75" s="189">
        <f>'[19]Раз.пос.(Пр.3-26)     '!R75+'[19]Уточнение для Пр.5-26'!R75</f>
        <v>0</v>
      </c>
      <c r="S75" s="189">
        <f>'[19]Раз.пос.(Пр.3-26)     '!S75+'[19]Уточнение для Пр.5-26'!S75</f>
        <v>0</v>
      </c>
    </row>
    <row r="76" spans="1:19" ht="24" x14ac:dyDescent="0.2">
      <c r="A76" s="128">
        <v>66</v>
      </c>
      <c r="B76" s="71" t="s">
        <v>170</v>
      </c>
      <c r="C76" s="31" t="s">
        <v>171</v>
      </c>
      <c r="D76" s="186">
        <f t="shared" si="6"/>
        <v>41185</v>
      </c>
      <c r="E76" s="189">
        <f t="shared" si="3"/>
        <v>0</v>
      </c>
      <c r="F76" s="189">
        <f>'[19]Раз.пос.(Пр.3-26)     '!F76+'[19]Уточнение для Пр.5-26'!F76</f>
        <v>0</v>
      </c>
      <c r="G76" s="189">
        <f>'[19]Раз.пос.(Пр.3-26)     '!G76+'[19]Уточнение для Пр.5-26'!G76</f>
        <v>0</v>
      </c>
      <c r="H76" s="189">
        <f t="shared" si="4"/>
        <v>41185</v>
      </c>
      <c r="I76" s="190">
        <v>0</v>
      </c>
      <c r="J76" s="189">
        <v>0</v>
      </c>
      <c r="K76" s="189">
        <v>41185</v>
      </c>
      <c r="L76" s="189">
        <v>0</v>
      </c>
      <c r="M76" s="189">
        <f>'[19]Раз.пос.(Пр.3-26)     '!M76+'[19]Уточнение для Пр.5-26'!M76</f>
        <v>0</v>
      </c>
      <c r="N76" s="189">
        <f>'[19]Раз.пос.(Пр.3-26)     '!N76+'[19]Уточнение для Пр.5-26'!N76</f>
        <v>0</v>
      </c>
      <c r="O76" s="186">
        <f t="shared" si="5"/>
        <v>0</v>
      </c>
      <c r="P76" s="189">
        <v>0</v>
      </c>
      <c r="Q76" s="189">
        <v>0</v>
      </c>
      <c r="R76" s="189">
        <f>'[19]Раз.пос.(Пр.3-26)     '!R76+'[19]Уточнение для Пр.5-26'!R76</f>
        <v>0</v>
      </c>
      <c r="S76" s="189">
        <f>'[19]Раз.пос.(Пр.3-26)     '!S76+'[19]Уточнение для Пр.5-26'!S76</f>
        <v>0</v>
      </c>
    </row>
    <row r="77" spans="1:19" ht="24" x14ac:dyDescent="0.2">
      <c r="A77" s="128">
        <v>67</v>
      </c>
      <c r="B77" s="72" t="s">
        <v>172</v>
      </c>
      <c r="C77" s="31" t="s">
        <v>173</v>
      </c>
      <c r="D77" s="186">
        <f t="shared" ref="D77:D139" si="7">E77+H77+M77+N77+O77+S77</f>
        <v>0</v>
      </c>
      <c r="E77" s="189">
        <f t="shared" si="3"/>
        <v>0</v>
      </c>
      <c r="F77" s="189">
        <f>'[19]Раз.пос.(Пр.3-26)     '!F77+'[19]Уточнение для Пр.5-26'!F77</f>
        <v>0</v>
      </c>
      <c r="G77" s="189">
        <f>'[19]Раз.пос.(Пр.3-26)     '!G77+'[19]Уточнение для Пр.5-26'!G77</f>
        <v>0</v>
      </c>
      <c r="H77" s="189">
        <f t="shared" si="4"/>
        <v>0</v>
      </c>
      <c r="I77" s="190">
        <v>0</v>
      </c>
      <c r="J77" s="189">
        <v>0</v>
      </c>
      <c r="K77" s="189">
        <v>0</v>
      </c>
      <c r="L77" s="189">
        <v>0</v>
      </c>
      <c r="M77" s="189">
        <f>'[19]Раз.пос.(Пр.3-26)     '!M77+'[19]Уточнение для Пр.5-26'!M77</f>
        <v>0</v>
      </c>
      <c r="N77" s="189">
        <f>'[19]Раз.пос.(Пр.3-26)     '!N77+'[19]Уточнение для Пр.5-26'!N77</f>
        <v>0</v>
      </c>
      <c r="O77" s="186">
        <f t="shared" si="5"/>
        <v>0</v>
      </c>
      <c r="P77" s="189">
        <v>0</v>
      </c>
      <c r="Q77" s="189">
        <v>0</v>
      </c>
      <c r="R77" s="189">
        <f>'[19]Раз.пос.(Пр.3-26)     '!R77+'[19]Уточнение для Пр.5-26'!R77</f>
        <v>0</v>
      </c>
      <c r="S77" s="189">
        <f>'[19]Раз.пос.(Пр.3-26)     '!S77+'[19]Уточнение для Пр.5-26'!S77</f>
        <v>0</v>
      </c>
    </row>
    <row r="78" spans="1:19" ht="24" x14ac:dyDescent="0.2">
      <c r="A78" s="128">
        <v>68</v>
      </c>
      <c r="B78" s="72" t="s">
        <v>174</v>
      </c>
      <c r="C78" s="31" t="s">
        <v>175</v>
      </c>
      <c r="D78" s="186">
        <f t="shared" si="7"/>
        <v>0</v>
      </c>
      <c r="E78" s="189">
        <f t="shared" ref="E78:E141" si="8">F78+G78</f>
        <v>0</v>
      </c>
      <c r="F78" s="189">
        <f>'[19]Раз.пос.(Пр.3-26)     '!F78+'[19]Уточнение для Пр.5-26'!F78</f>
        <v>0</v>
      </c>
      <c r="G78" s="189">
        <f>'[19]Раз.пос.(Пр.3-26)     '!G78+'[19]Уточнение для Пр.5-26'!G78</f>
        <v>0</v>
      </c>
      <c r="H78" s="189">
        <f t="shared" ref="H78:H141" si="9">SUM(I78:L78)</f>
        <v>0</v>
      </c>
      <c r="I78" s="190">
        <v>0</v>
      </c>
      <c r="J78" s="189">
        <v>0</v>
      </c>
      <c r="K78" s="189">
        <v>0</v>
      </c>
      <c r="L78" s="189">
        <v>0</v>
      </c>
      <c r="M78" s="189">
        <f>'[19]Раз.пос.(Пр.3-26)     '!M78+'[19]Уточнение для Пр.5-26'!M78</f>
        <v>0</v>
      </c>
      <c r="N78" s="189">
        <f>'[19]Раз.пос.(Пр.3-26)     '!N78+'[19]Уточнение для Пр.5-26'!N78</f>
        <v>0</v>
      </c>
      <c r="O78" s="186">
        <f t="shared" ref="O78:O140" si="10">P78+Q78</f>
        <v>0</v>
      </c>
      <c r="P78" s="189">
        <v>0</v>
      </c>
      <c r="Q78" s="189">
        <v>0</v>
      </c>
      <c r="R78" s="189">
        <f>'[19]Раз.пос.(Пр.3-26)     '!R78+'[19]Уточнение для Пр.5-26'!R78</f>
        <v>0</v>
      </c>
      <c r="S78" s="189">
        <f>'[19]Раз.пос.(Пр.3-26)     '!S78+'[19]Уточнение для Пр.5-26'!S78</f>
        <v>0</v>
      </c>
    </row>
    <row r="79" spans="1:19" ht="24" x14ac:dyDescent="0.2">
      <c r="A79" s="128">
        <v>69</v>
      </c>
      <c r="B79" s="71" t="s">
        <v>176</v>
      </c>
      <c r="C79" s="31" t="s">
        <v>177</v>
      </c>
      <c r="D79" s="186">
        <f t="shared" si="7"/>
        <v>62574</v>
      </c>
      <c r="E79" s="189">
        <f t="shared" si="8"/>
        <v>0</v>
      </c>
      <c r="F79" s="189">
        <f>'[19]Раз.пос.(Пр.3-26)     '!F79+'[19]Уточнение для Пр.5-26'!F79</f>
        <v>0</v>
      </c>
      <c r="G79" s="189">
        <f>'[19]Раз.пос.(Пр.3-26)     '!G79+'[19]Уточнение для Пр.5-26'!G79</f>
        <v>0</v>
      </c>
      <c r="H79" s="189">
        <f t="shared" si="9"/>
        <v>62574</v>
      </c>
      <c r="I79" s="190">
        <v>4274</v>
      </c>
      <c r="J79" s="189">
        <v>0</v>
      </c>
      <c r="K79" s="189">
        <v>58300</v>
      </c>
      <c r="L79" s="189">
        <v>0</v>
      </c>
      <c r="M79" s="189">
        <f>'[19]Раз.пос.(Пр.3-26)     '!M79+'[19]Уточнение для Пр.5-26'!M79</f>
        <v>0</v>
      </c>
      <c r="N79" s="189">
        <f>'[19]Раз.пос.(Пр.3-26)     '!N79+'[19]Уточнение для Пр.5-26'!N79</f>
        <v>0</v>
      </c>
      <c r="O79" s="186">
        <f t="shared" si="10"/>
        <v>0</v>
      </c>
      <c r="P79" s="189">
        <v>0</v>
      </c>
      <c r="Q79" s="189">
        <v>0</v>
      </c>
      <c r="R79" s="189">
        <f>'[19]Раз.пос.(Пр.3-26)     '!R79+'[19]Уточнение для Пр.5-26'!R79</f>
        <v>0</v>
      </c>
      <c r="S79" s="189">
        <f>'[19]Раз.пос.(Пр.3-26)     '!S79+'[19]Уточнение для Пр.5-26'!S79</f>
        <v>0</v>
      </c>
    </row>
    <row r="80" spans="1:19" ht="24" x14ac:dyDescent="0.2">
      <c r="A80" s="128">
        <v>70</v>
      </c>
      <c r="B80" s="71" t="s">
        <v>178</v>
      </c>
      <c r="C80" s="31" t="s">
        <v>179</v>
      </c>
      <c r="D80" s="186">
        <f t="shared" si="7"/>
        <v>0</v>
      </c>
      <c r="E80" s="189">
        <f t="shared" si="8"/>
        <v>0</v>
      </c>
      <c r="F80" s="189">
        <f>'[19]Раз.пос.(Пр.3-26)     '!F80+'[19]Уточнение для Пр.5-26'!F80</f>
        <v>0</v>
      </c>
      <c r="G80" s="189">
        <f>'[19]Раз.пос.(Пр.3-26)     '!G80+'[19]Уточнение для Пр.5-26'!G80</f>
        <v>0</v>
      </c>
      <c r="H80" s="189">
        <f t="shared" si="9"/>
        <v>0</v>
      </c>
      <c r="I80" s="190">
        <v>0</v>
      </c>
      <c r="J80" s="189">
        <v>0</v>
      </c>
      <c r="K80" s="189">
        <v>0</v>
      </c>
      <c r="L80" s="189">
        <v>0</v>
      </c>
      <c r="M80" s="189">
        <f>'[19]Раз.пос.(Пр.3-26)     '!M80+'[19]Уточнение для Пр.5-26'!M80</f>
        <v>0</v>
      </c>
      <c r="N80" s="189">
        <f>'[19]Раз.пос.(Пр.3-26)     '!N80+'[19]Уточнение для Пр.5-26'!N80</f>
        <v>0</v>
      </c>
      <c r="O80" s="186">
        <f t="shared" si="10"/>
        <v>0</v>
      </c>
      <c r="P80" s="189">
        <v>0</v>
      </c>
      <c r="Q80" s="189">
        <v>0</v>
      </c>
      <c r="R80" s="189">
        <f>'[19]Раз.пос.(Пр.3-26)     '!R80+'[19]Уточнение для Пр.5-26'!R80</f>
        <v>0</v>
      </c>
      <c r="S80" s="189">
        <f>'[19]Раз.пос.(Пр.3-26)     '!S80+'[19]Уточнение для Пр.5-26'!S80</f>
        <v>0</v>
      </c>
    </row>
    <row r="81" spans="1:19" ht="24" x14ac:dyDescent="0.2">
      <c r="A81" s="128">
        <v>71</v>
      </c>
      <c r="B81" s="71" t="s">
        <v>180</v>
      </c>
      <c r="C81" s="31" t="s">
        <v>181</v>
      </c>
      <c r="D81" s="186">
        <f t="shared" si="7"/>
        <v>0</v>
      </c>
      <c r="E81" s="189">
        <f t="shared" si="8"/>
        <v>0</v>
      </c>
      <c r="F81" s="189">
        <f>'[19]Раз.пос.(Пр.3-26)     '!F81+'[19]Уточнение для Пр.5-26'!F81</f>
        <v>0</v>
      </c>
      <c r="G81" s="189">
        <f>'[19]Раз.пос.(Пр.3-26)     '!G81+'[19]Уточнение для Пр.5-26'!G81</f>
        <v>0</v>
      </c>
      <c r="H81" s="189">
        <f t="shared" si="9"/>
        <v>0</v>
      </c>
      <c r="I81" s="190">
        <v>0</v>
      </c>
      <c r="J81" s="189">
        <v>0</v>
      </c>
      <c r="K81" s="189">
        <v>0</v>
      </c>
      <c r="L81" s="189">
        <v>0</v>
      </c>
      <c r="M81" s="189">
        <f>'[19]Раз.пос.(Пр.3-26)     '!M81+'[19]Уточнение для Пр.5-26'!M81</f>
        <v>0</v>
      </c>
      <c r="N81" s="189">
        <f>'[19]Раз.пос.(Пр.3-26)     '!N81+'[19]Уточнение для Пр.5-26'!N81</f>
        <v>0</v>
      </c>
      <c r="O81" s="186">
        <f t="shared" si="10"/>
        <v>0</v>
      </c>
      <c r="P81" s="189">
        <v>0</v>
      </c>
      <c r="Q81" s="189">
        <v>0</v>
      </c>
      <c r="R81" s="189">
        <f>'[19]Раз.пос.(Пр.3-26)     '!R81+'[19]Уточнение для Пр.5-26'!R81</f>
        <v>0</v>
      </c>
      <c r="S81" s="189">
        <f>'[19]Раз.пос.(Пр.3-26)     '!S81+'[19]Уточнение для Пр.5-26'!S81</f>
        <v>0</v>
      </c>
    </row>
    <row r="82" spans="1:19" x14ac:dyDescent="0.2">
      <c r="A82" s="128">
        <v>72</v>
      </c>
      <c r="B82" s="834" t="s">
        <v>182</v>
      </c>
      <c r="C82" s="31" t="s">
        <v>183</v>
      </c>
      <c r="D82" s="186">
        <f t="shared" si="7"/>
        <v>105131</v>
      </c>
      <c r="E82" s="189">
        <f t="shared" si="8"/>
        <v>0</v>
      </c>
      <c r="F82" s="189">
        <f>'[19]Раз.пос.(Пр.3-26)     '!F82+'[19]Уточнение для Пр.5-26'!F82</f>
        <v>0</v>
      </c>
      <c r="G82" s="189">
        <f>'[19]Раз.пос.(Пр.3-26)     '!G82+'[19]Уточнение для Пр.5-26'!G82</f>
        <v>0</v>
      </c>
      <c r="H82" s="189">
        <f t="shared" si="9"/>
        <v>103667</v>
      </c>
      <c r="I82" s="190">
        <v>0</v>
      </c>
      <c r="J82" s="189">
        <v>6200</v>
      </c>
      <c r="K82" s="189">
        <v>6867</v>
      </c>
      <c r="L82" s="189">
        <v>90600</v>
      </c>
      <c r="M82" s="189">
        <f>'[19]Раз.пос.(Пр.3-26)     '!M82+'[19]Уточнение для Пр.5-26'!M82</f>
        <v>1025</v>
      </c>
      <c r="N82" s="189">
        <f>'[19]Раз.пос.(Пр.3-26)     '!N82+'[19]Уточнение для Пр.5-26'!N82</f>
        <v>439</v>
      </c>
      <c r="O82" s="186">
        <f t="shared" si="10"/>
        <v>0</v>
      </c>
      <c r="P82" s="189">
        <v>0</v>
      </c>
      <c r="Q82" s="189">
        <v>0</v>
      </c>
      <c r="R82" s="189">
        <f>'[19]Раз.пос.(Пр.3-26)     '!R82+'[19]Уточнение для Пр.5-26'!R82</f>
        <v>0</v>
      </c>
      <c r="S82" s="189">
        <f>'[19]Раз.пос.(Пр.3-26)     '!S82+'[19]Уточнение для Пр.5-26'!S82</f>
        <v>0</v>
      </c>
    </row>
    <row r="83" spans="1:19" x14ac:dyDescent="0.2">
      <c r="A83" s="128">
        <v>73</v>
      </c>
      <c r="B83" s="71" t="s">
        <v>184</v>
      </c>
      <c r="C83" s="31" t="s">
        <v>185</v>
      </c>
      <c r="D83" s="186">
        <f t="shared" si="7"/>
        <v>120765</v>
      </c>
      <c r="E83" s="189">
        <f t="shared" si="8"/>
        <v>0</v>
      </c>
      <c r="F83" s="189">
        <f>'[19]Раз.пос.(Пр.3-26)     '!F83+'[19]Уточнение для Пр.5-26'!F83</f>
        <v>0</v>
      </c>
      <c r="G83" s="189">
        <f>'[19]Раз.пос.(Пр.3-26)     '!G83+'[19]Уточнение для Пр.5-26'!G83</f>
        <v>0</v>
      </c>
      <c r="H83" s="189">
        <f t="shared" si="9"/>
        <v>113817</v>
      </c>
      <c r="I83" s="190">
        <v>0</v>
      </c>
      <c r="J83" s="189">
        <v>33480</v>
      </c>
      <c r="K83" s="189">
        <v>0</v>
      </c>
      <c r="L83" s="189">
        <v>80337</v>
      </c>
      <c r="M83" s="189">
        <f>'[19]Раз.пос.(Пр.3-26)     '!M83+'[19]Уточнение для Пр.5-26'!M83</f>
        <v>3075</v>
      </c>
      <c r="N83" s="189">
        <f>'[19]Раз.пос.(Пр.3-26)     '!N83+'[19]Уточнение для Пр.5-26'!N83</f>
        <v>1317</v>
      </c>
      <c r="O83" s="186">
        <f t="shared" si="10"/>
        <v>2556</v>
      </c>
      <c r="P83" s="189">
        <v>0</v>
      </c>
      <c r="Q83" s="189">
        <v>2556</v>
      </c>
      <c r="R83" s="189">
        <f>'[19]Раз.пос.(Пр.3-26)     '!R83+'[19]Уточнение для Пр.5-26'!R83</f>
        <v>0</v>
      </c>
      <c r="S83" s="189">
        <f>'[19]Раз.пос.(Пр.3-26)     '!S83+'[19]Уточнение для Пр.5-26'!S83</f>
        <v>0</v>
      </c>
    </row>
    <row r="84" spans="1:19" x14ac:dyDescent="0.2">
      <c r="A84" s="128">
        <v>74</v>
      </c>
      <c r="B84" s="834" t="s">
        <v>186</v>
      </c>
      <c r="C84" s="31" t="s">
        <v>187</v>
      </c>
      <c r="D84" s="186">
        <f t="shared" si="7"/>
        <v>18384</v>
      </c>
      <c r="E84" s="189">
        <f t="shared" si="8"/>
        <v>0</v>
      </c>
      <c r="F84" s="189">
        <f>'[19]Раз.пос.(Пр.3-26)     '!F84+'[19]Уточнение для Пр.5-26'!F84</f>
        <v>0</v>
      </c>
      <c r="G84" s="189">
        <f>'[19]Раз.пос.(Пр.3-26)     '!G84+'[19]Уточнение для Пр.5-26'!G84</f>
        <v>0</v>
      </c>
      <c r="H84" s="189">
        <f t="shared" si="9"/>
        <v>16920</v>
      </c>
      <c r="I84" s="190">
        <v>0</v>
      </c>
      <c r="J84" s="189">
        <v>1000</v>
      </c>
      <c r="K84" s="189">
        <v>4341</v>
      </c>
      <c r="L84" s="189">
        <v>11579</v>
      </c>
      <c r="M84" s="189">
        <f>'[19]Раз.пос.(Пр.3-26)     '!M84+'[19]Уточнение для Пр.5-26'!M84</f>
        <v>1025</v>
      </c>
      <c r="N84" s="189">
        <f>'[19]Раз.пос.(Пр.3-26)     '!N84+'[19]Уточнение для Пр.5-26'!N84</f>
        <v>439</v>
      </c>
      <c r="O84" s="186">
        <f t="shared" si="10"/>
        <v>0</v>
      </c>
      <c r="P84" s="189">
        <v>0</v>
      </c>
      <c r="Q84" s="189">
        <v>0</v>
      </c>
      <c r="R84" s="189">
        <f>'[19]Раз.пос.(Пр.3-26)     '!R84+'[19]Уточнение для Пр.5-26'!R84</f>
        <v>0</v>
      </c>
      <c r="S84" s="189">
        <f>'[19]Раз.пос.(Пр.3-26)     '!S84+'[19]Уточнение для Пр.5-26'!S84</f>
        <v>0</v>
      </c>
    </row>
    <row r="85" spans="1:19" x14ac:dyDescent="0.2">
      <c r="A85" s="128">
        <v>75</v>
      </c>
      <c r="B85" s="71" t="s">
        <v>188</v>
      </c>
      <c r="C85" s="31" t="s">
        <v>189</v>
      </c>
      <c r="D85" s="186">
        <f t="shared" si="7"/>
        <v>137939</v>
      </c>
      <c r="E85" s="189">
        <f t="shared" si="8"/>
        <v>0</v>
      </c>
      <c r="F85" s="189">
        <f>'[19]Раз.пос.(Пр.3-26)     '!F85+'[19]Уточнение для Пр.5-26'!F85</f>
        <v>0</v>
      </c>
      <c r="G85" s="189">
        <f>'[19]Раз.пос.(Пр.3-26)     '!G85+'[19]Уточнение для Пр.5-26'!G85</f>
        <v>0</v>
      </c>
      <c r="H85" s="189">
        <f t="shared" si="9"/>
        <v>136475</v>
      </c>
      <c r="I85" s="190">
        <v>0</v>
      </c>
      <c r="J85" s="189">
        <v>6126</v>
      </c>
      <c r="K85" s="189">
        <v>9202</v>
      </c>
      <c r="L85" s="189">
        <v>121147</v>
      </c>
      <c r="M85" s="189">
        <f>'[19]Раз.пос.(Пр.3-26)     '!M85+'[19]Уточнение для Пр.5-26'!M85</f>
        <v>1025</v>
      </c>
      <c r="N85" s="189">
        <f>'[19]Раз.пос.(Пр.3-26)     '!N85+'[19]Уточнение для Пр.5-26'!N85</f>
        <v>439</v>
      </c>
      <c r="O85" s="186">
        <f t="shared" si="10"/>
        <v>0</v>
      </c>
      <c r="P85" s="189">
        <v>0</v>
      </c>
      <c r="Q85" s="189">
        <v>0</v>
      </c>
      <c r="R85" s="189">
        <f>'[19]Раз.пос.(Пр.3-26)     '!R85+'[19]Уточнение для Пр.5-26'!R85</f>
        <v>0</v>
      </c>
      <c r="S85" s="189">
        <f>'[19]Раз.пос.(Пр.3-26)     '!S85+'[19]Уточнение для Пр.5-26'!S85</f>
        <v>0</v>
      </c>
    </row>
    <row r="86" spans="1:19" x14ac:dyDescent="0.2">
      <c r="A86" s="128">
        <v>76</v>
      </c>
      <c r="B86" s="71" t="s">
        <v>190</v>
      </c>
      <c r="C86" s="31" t="s">
        <v>191</v>
      </c>
      <c r="D86" s="186">
        <f t="shared" si="7"/>
        <v>149022</v>
      </c>
      <c r="E86" s="189">
        <f t="shared" si="8"/>
        <v>0</v>
      </c>
      <c r="F86" s="189">
        <f>'[19]Раз.пос.(Пр.3-26)     '!F86+'[19]Уточнение для Пр.5-26'!F86</f>
        <v>0</v>
      </c>
      <c r="G86" s="189">
        <f>'[19]Раз.пос.(Пр.3-26)     '!G86+'[19]Уточнение для Пр.5-26'!G86</f>
        <v>0</v>
      </c>
      <c r="H86" s="189">
        <f t="shared" si="9"/>
        <v>131770</v>
      </c>
      <c r="I86" s="190">
        <v>0</v>
      </c>
      <c r="J86" s="189">
        <v>29500</v>
      </c>
      <c r="K86" s="189">
        <v>12367</v>
      </c>
      <c r="L86" s="189">
        <v>89903</v>
      </c>
      <c r="M86" s="189">
        <f>'[19]Раз.пос.(Пр.3-26)     '!M86+'[19]Уточнение для Пр.5-26'!M86</f>
        <v>2050</v>
      </c>
      <c r="N86" s="189">
        <f>'[19]Раз.пос.(Пр.3-26)     '!N86+'[19]Уточнение для Пр.5-26'!N86</f>
        <v>878</v>
      </c>
      <c r="O86" s="186">
        <f t="shared" si="10"/>
        <v>9932</v>
      </c>
      <c r="P86" s="189">
        <v>0</v>
      </c>
      <c r="Q86" s="189">
        <v>9932</v>
      </c>
      <c r="R86" s="189">
        <f>'[19]Раз.пос.(Пр.3-26)     '!R86+'[19]Уточнение для Пр.5-26'!R86</f>
        <v>0</v>
      </c>
      <c r="S86" s="189">
        <f>'[19]Раз.пос.(Пр.3-26)     '!S86+'[19]Уточнение для Пр.5-26'!S86</f>
        <v>4392</v>
      </c>
    </row>
    <row r="87" spans="1:19" x14ac:dyDescent="0.2">
      <c r="A87" s="128">
        <v>77</v>
      </c>
      <c r="B87" s="71" t="s">
        <v>192</v>
      </c>
      <c r="C87" s="31" t="s">
        <v>193</v>
      </c>
      <c r="D87" s="186">
        <f t="shared" si="7"/>
        <v>180176</v>
      </c>
      <c r="E87" s="189">
        <f t="shared" si="8"/>
        <v>0</v>
      </c>
      <c r="F87" s="189">
        <f>'[19]Раз.пос.(Пр.3-26)     '!F87+'[19]Уточнение для Пр.5-26'!F87</f>
        <v>0</v>
      </c>
      <c r="G87" s="189">
        <f>'[19]Раз.пос.(Пр.3-26)     '!G87+'[19]Уточнение для Пр.5-26'!G87</f>
        <v>0</v>
      </c>
      <c r="H87" s="189">
        <f t="shared" si="9"/>
        <v>180176</v>
      </c>
      <c r="I87" s="190">
        <v>720</v>
      </c>
      <c r="J87" s="189">
        <v>3320</v>
      </c>
      <c r="K87" s="189">
        <v>6344</v>
      </c>
      <c r="L87" s="189">
        <v>169792</v>
      </c>
      <c r="M87" s="189">
        <f>'[19]Раз.пос.(Пр.3-26)     '!M87+'[19]Уточнение для Пр.5-26'!M87</f>
        <v>0</v>
      </c>
      <c r="N87" s="189">
        <f>'[19]Раз.пос.(Пр.3-26)     '!N87+'[19]Уточнение для Пр.5-26'!N87</f>
        <v>0</v>
      </c>
      <c r="O87" s="186">
        <f t="shared" si="10"/>
        <v>0</v>
      </c>
      <c r="P87" s="189">
        <v>0</v>
      </c>
      <c r="Q87" s="189">
        <v>0</v>
      </c>
      <c r="R87" s="189">
        <f>'[19]Раз.пос.(Пр.3-26)     '!R87+'[19]Уточнение для Пр.5-26'!R87</f>
        <v>0</v>
      </c>
      <c r="S87" s="189">
        <f>'[19]Раз.пос.(Пр.3-26)     '!S87+'[19]Уточнение для Пр.5-26'!S87</f>
        <v>0</v>
      </c>
    </row>
    <row r="88" spans="1:19" x14ac:dyDescent="0.2">
      <c r="A88" s="128">
        <v>78</v>
      </c>
      <c r="B88" s="71" t="s">
        <v>194</v>
      </c>
      <c r="C88" s="31" t="s">
        <v>195</v>
      </c>
      <c r="D88" s="186">
        <f t="shared" si="7"/>
        <v>52869</v>
      </c>
      <c r="E88" s="189">
        <f t="shared" si="8"/>
        <v>0</v>
      </c>
      <c r="F88" s="189">
        <f>'[19]Раз.пос.(Пр.3-26)     '!F88+'[19]Уточнение для Пр.5-26'!F88</f>
        <v>0</v>
      </c>
      <c r="G88" s="189">
        <f>'[19]Раз.пос.(Пр.3-26)     '!G88+'[19]Уточнение для Пр.5-26'!G88</f>
        <v>0</v>
      </c>
      <c r="H88" s="189">
        <f t="shared" si="9"/>
        <v>48405</v>
      </c>
      <c r="I88" s="190">
        <v>0</v>
      </c>
      <c r="J88" s="189">
        <v>17500</v>
      </c>
      <c r="K88" s="189">
        <v>2212</v>
      </c>
      <c r="L88" s="189">
        <v>28693</v>
      </c>
      <c r="M88" s="189">
        <f>'[19]Раз.пос.(Пр.3-26)     '!M88+'[19]Уточнение для Пр.5-26'!M88</f>
        <v>1025</v>
      </c>
      <c r="N88" s="189">
        <f>'[19]Раз.пос.(Пр.3-26)     '!N88+'[19]Уточнение для Пр.5-26'!N88</f>
        <v>439</v>
      </c>
      <c r="O88" s="186">
        <f t="shared" si="10"/>
        <v>3000</v>
      </c>
      <c r="P88" s="189">
        <v>0</v>
      </c>
      <c r="Q88" s="189">
        <v>3000</v>
      </c>
      <c r="R88" s="189">
        <f>'[19]Раз.пос.(Пр.3-26)     '!R88+'[19]Уточнение для Пр.5-26'!R88</f>
        <v>0</v>
      </c>
      <c r="S88" s="189">
        <f>'[19]Раз.пос.(Пр.3-26)     '!S88+'[19]Уточнение для Пр.5-26'!S88</f>
        <v>0</v>
      </c>
    </row>
    <row r="89" spans="1:19" x14ac:dyDescent="0.2">
      <c r="A89" s="128">
        <v>79</v>
      </c>
      <c r="B89" s="71" t="s">
        <v>196</v>
      </c>
      <c r="C89" s="31" t="s">
        <v>197</v>
      </c>
      <c r="D89" s="186">
        <f t="shared" si="7"/>
        <v>27321</v>
      </c>
      <c r="E89" s="189">
        <f t="shared" si="8"/>
        <v>27321</v>
      </c>
      <c r="F89" s="189">
        <f>'[19]Раз.пос.(Пр.3-26)     '!F89+'[19]Уточнение для Пр.5-26'!F89</f>
        <v>0</v>
      </c>
      <c r="G89" s="189">
        <f>'[19]Раз.пос.(Пр.3-26)     '!G89+'[19]Уточнение для Пр.5-26'!G89</f>
        <v>27321</v>
      </c>
      <c r="H89" s="189">
        <f t="shared" si="9"/>
        <v>0</v>
      </c>
      <c r="I89" s="190">
        <v>0</v>
      </c>
      <c r="J89" s="189">
        <v>0</v>
      </c>
      <c r="K89" s="189">
        <v>0</v>
      </c>
      <c r="L89" s="189">
        <v>0</v>
      </c>
      <c r="M89" s="189">
        <f>'[19]Раз.пос.(Пр.3-26)     '!M89+'[19]Уточнение для Пр.5-26'!M89</f>
        <v>0</v>
      </c>
      <c r="N89" s="189">
        <f>'[19]Раз.пос.(Пр.3-26)     '!N89+'[19]Уточнение для Пр.5-26'!N89</f>
        <v>0</v>
      </c>
      <c r="O89" s="186">
        <f t="shared" si="10"/>
        <v>0</v>
      </c>
      <c r="P89" s="189">
        <v>0</v>
      </c>
      <c r="Q89" s="189">
        <v>0</v>
      </c>
      <c r="R89" s="189">
        <f>'[19]Раз.пос.(Пр.3-26)     '!R89+'[19]Уточнение для Пр.5-26'!R89</f>
        <v>0</v>
      </c>
      <c r="S89" s="189">
        <f>'[19]Раз.пос.(Пр.3-26)     '!S89+'[19]Уточнение для Пр.5-26'!S89</f>
        <v>0</v>
      </c>
    </row>
    <row r="90" spans="1:19" x14ac:dyDescent="0.2">
      <c r="A90" s="128">
        <v>80</v>
      </c>
      <c r="B90" s="72" t="s">
        <v>30</v>
      </c>
      <c r="C90" s="31" t="s">
        <v>198</v>
      </c>
      <c r="D90" s="186">
        <f t="shared" si="7"/>
        <v>0</v>
      </c>
      <c r="E90" s="189">
        <f t="shared" si="8"/>
        <v>0</v>
      </c>
      <c r="F90" s="189">
        <f>'[19]Раз.пос.(Пр.3-26)     '!F90+'[19]Уточнение для Пр.5-26'!F90</f>
        <v>0</v>
      </c>
      <c r="G90" s="189">
        <f>'[19]Раз.пос.(Пр.3-26)     '!G90+'[19]Уточнение для Пр.5-26'!G90</f>
        <v>0</v>
      </c>
      <c r="H90" s="189">
        <f t="shared" si="9"/>
        <v>0</v>
      </c>
      <c r="I90" s="190">
        <v>0</v>
      </c>
      <c r="J90" s="189">
        <v>0</v>
      </c>
      <c r="K90" s="189">
        <v>0</v>
      </c>
      <c r="L90" s="189">
        <v>0</v>
      </c>
      <c r="M90" s="189">
        <f>'[19]Раз.пос.(Пр.3-26)     '!M90+'[19]Уточнение для Пр.5-26'!M90</f>
        <v>0</v>
      </c>
      <c r="N90" s="189">
        <f>'[19]Раз.пос.(Пр.3-26)     '!N90+'[19]Уточнение для Пр.5-26'!N90</f>
        <v>0</v>
      </c>
      <c r="O90" s="186">
        <v>0</v>
      </c>
      <c r="P90" s="189">
        <v>0</v>
      </c>
      <c r="Q90" s="189">
        <v>0</v>
      </c>
      <c r="R90" s="189">
        <f>'[19]Раз.пос.(Пр.3-26)     '!R90+'[19]Уточнение для Пр.5-26'!R90</f>
        <v>0</v>
      </c>
      <c r="S90" s="189">
        <f>'[19]Раз.пос.(Пр.3-26)     '!S90+'[19]Уточнение для Пр.5-26'!S90</f>
        <v>0</v>
      </c>
    </row>
    <row r="91" spans="1:19" ht="24" x14ac:dyDescent="0.2">
      <c r="A91" s="949">
        <v>81</v>
      </c>
      <c r="B91" s="952" t="s">
        <v>199</v>
      </c>
      <c r="C91" s="191" t="s">
        <v>200</v>
      </c>
      <c r="D91" s="186">
        <f t="shared" si="7"/>
        <v>27136</v>
      </c>
      <c r="E91" s="189">
        <f t="shared" si="8"/>
        <v>5490</v>
      </c>
      <c r="F91" s="189">
        <f>'[19]Раз.пос.(Пр.3-26)     '!F91+'[19]Уточнение для Пр.5-26'!F91</f>
        <v>5490</v>
      </c>
      <c r="G91" s="189">
        <f>'[19]Раз.пос.(Пр.3-26)     '!G91+'[19]Уточнение для Пр.5-26'!G91</f>
        <v>0</v>
      </c>
      <c r="H91" s="189">
        <f t="shared" si="9"/>
        <v>3228</v>
      </c>
      <c r="I91" s="190">
        <v>0</v>
      </c>
      <c r="J91" s="189">
        <v>620</v>
      </c>
      <c r="K91" s="189">
        <v>0</v>
      </c>
      <c r="L91" s="189">
        <v>2608</v>
      </c>
      <c r="M91" s="189">
        <f>'[19]Раз.пос.(Пр.3-26)     '!M91+'[19]Уточнение для Пр.5-26'!M91</f>
        <v>0</v>
      </c>
      <c r="N91" s="189">
        <f>'[19]Раз.пос.(Пр.3-26)     '!N91+'[19]Уточнение для Пр.5-26'!N91</f>
        <v>0</v>
      </c>
      <c r="O91" s="186">
        <f t="shared" si="10"/>
        <v>18418</v>
      </c>
      <c r="P91" s="189">
        <v>0</v>
      </c>
      <c r="Q91" s="189">
        <v>18418</v>
      </c>
      <c r="R91" s="189">
        <f>'[19]Раз.пос.(Пр.3-26)     '!R91+'[19]Уточнение для Пр.5-26'!R91</f>
        <v>0</v>
      </c>
      <c r="S91" s="189">
        <f>'[19]Раз.пос.(Пр.3-26)     '!S91+'[19]Уточнение для Пр.5-26'!S91</f>
        <v>0</v>
      </c>
    </row>
    <row r="92" spans="1:19" ht="36" x14ac:dyDescent="0.2">
      <c r="A92" s="950"/>
      <c r="B92" s="953"/>
      <c r="C92" s="31" t="s">
        <v>201</v>
      </c>
      <c r="D92" s="186">
        <f t="shared" si="7"/>
        <v>11709</v>
      </c>
      <c r="E92" s="189">
        <f t="shared" si="8"/>
        <v>0</v>
      </c>
      <c r="F92" s="189">
        <f>'[19]Раз.пос.(Пр.3-26)     '!F92+'[19]Уточнение для Пр.5-26'!F92</f>
        <v>0</v>
      </c>
      <c r="G92" s="189">
        <f>'[19]Раз.пос.(Пр.3-26)     '!G92+'[19]Уточнение для Пр.5-26'!G92</f>
        <v>0</v>
      </c>
      <c r="H92" s="189">
        <f t="shared" si="9"/>
        <v>3228</v>
      </c>
      <c r="I92" s="190">
        <v>0</v>
      </c>
      <c r="J92" s="189">
        <v>620</v>
      </c>
      <c r="K92" s="189">
        <v>0</v>
      </c>
      <c r="L92" s="189">
        <v>2608</v>
      </c>
      <c r="M92" s="189">
        <f>'[19]Раз.пос.(Пр.3-26)     '!M92+'[19]Уточнение для Пр.5-26'!M92</f>
        <v>0</v>
      </c>
      <c r="N92" s="189">
        <f>'[19]Раз.пос.(Пр.3-26)     '!N92+'[19]Уточнение для Пр.5-26'!N92</f>
        <v>0</v>
      </c>
      <c r="O92" s="186">
        <f t="shared" si="10"/>
        <v>8481</v>
      </c>
      <c r="P92" s="189">
        <v>0</v>
      </c>
      <c r="Q92" s="189">
        <v>8481</v>
      </c>
      <c r="R92" s="189">
        <f>'[19]Раз.пос.(Пр.3-26)     '!R92+'[19]Уточнение для Пр.5-26'!R92</f>
        <v>0</v>
      </c>
      <c r="S92" s="189">
        <f>'[19]Раз.пос.(Пр.3-26)     '!S92+'[19]Уточнение для Пр.5-26'!S92</f>
        <v>0</v>
      </c>
    </row>
    <row r="93" spans="1:19" ht="24" x14ac:dyDescent="0.2">
      <c r="A93" s="950"/>
      <c r="B93" s="953"/>
      <c r="C93" s="31" t="s">
        <v>202</v>
      </c>
      <c r="D93" s="186">
        <f t="shared" si="7"/>
        <v>5490</v>
      </c>
      <c r="E93" s="189">
        <f t="shared" si="8"/>
        <v>5490</v>
      </c>
      <c r="F93" s="189">
        <f>'[19]Раз.пос.(Пр.3-26)     '!F93+'[19]Уточнение для Пр.5-26'!F93</f>
        <v>5490</v>
      </c>
      <c r="G93" s="189">
        <f>'[19]Раз.пос.(Пр.3-26)     '!G93+'[19]Уточнение для Пр.5-26'!G93</f>
        <v>0</v>
      </c>
      <c r="H93" s="189">
        <f t="shared" si="9"/>
        <v>0</v>
      </c>
      <c r="I93" s="190">
        <v>0</v>
      </c>
      <c r="J93" s="189">
        <v>0</v>
      </c>
      <c r="K93" s="189">
        <v>0</v>
      </c>
      <c r="L93" s="189">
        <v>0</v>
      </c>
      <c r="M93" s="189">
        <f>'[19]Раз.пос.(Пр.3-26)     '!M93+'[19]Уточнение для Пр.5-26'!M93</f>
        <v>0</v>
      </c>
      <c r="N93" s="189">
        <f>'[19]Раз.пос.(Пр.3-26)     '!N93+'[19]Уточнение для Пр.5-26'!N93</f>
        <v>0</v>
      </c>
      <c r="O93" s="186">
        <f t="shared" si="10"/>
        <v>0</v>
      </c>
      <c r="P93" s="189">
        <v>0</v>
      </c>
      <c r="Q93" s="189">
        <v>0</v>
      </c>
      <c r="R93" s="189">
        <f>'[19]Раз.пос.(Пр.3-26)     '!R93+'[19]Уточнение для Пр.5-26'!R93</f>
        <v>0</v>
      </c>
      <c r="S93" s="189">
        <f>'[19]Раз.пос.(Пр.3-26)     '!S93+'[19]Уточнение для Пр.5-26'!S93</f>
        <v>0</v>
      </c>
    </row>
    <row r="94" spans="1:19" ht="36" x14ac:dyDescent="0.2">
      <c r="A94" s="951"/>
      <c r="B94" s="954"/>
      <c r="C94" s="131" t="s">
        <v>203</v>
      </c>
      <c r="D94" s="186">
        <f t="shared" si="7"/>
        <v>9937</v>
      </c>
      <c r="E94" s="189">
        <f t="shared" si="8"/>
        <v>0</v>
      </c>
      <c r="F94" s="189">
        <f>'[19]Раз.пос.(Пр.3-26)     '!F94+'[19]Уточнение для Пр.5-26'!F94</f>
        <v>0</v>
      </c>
      <c r="G94" s="189">
        <f>'[19]Раз.пос.(Пр.3-26)     '!G94+'[19]Уточнение для Пр.5-26'!G94</f>
        <v>0</v>
      </c>
      <c r="H94" s="189">
        <f t="shared" si="9"/>
        <v>0</v>
      </c>
      <c r="I94" s="190">
        <v>0</v>
      </c>
      <c r="J94" s="189">
        <v>0</v>
      </c>
      <c r="K94" s="189">
        <v>0</v>
      </c>
      <c r="L94" s="189">
        <v>0</v>
      </c>
      <c r="M94" s="189">
        <f>'[19]Раз.пос.(Пр.3-26)     '!M94+'[19]Уточнение для Пр.5-26'!M94</f>
        <v>0</v>
      </c>
      <c r="N94" s="189">
        <f>'[19]Раз.пос.(Пр.3-26)     '!N94+'[19]Уточнение для Пр.5-26'!N94</f>
        <v>0</v>
      </c>
      <c r="O94" s="186">
        <f t="shared" si="10"/>
        <v>9937</v>
      </c>
      <c r="P94" s="189">
        <v>0</v>
      </c>
      <c r="Q94" s="189">
        <v>9937</v>
      </c>
      <c r="R94" s="189">
        <f>'[19]Раз.пос.(Пр.3-26)     '!R94+'[19]Уточнение для Пр.5-26'!R94</f>
        <v>0</v>
      </c>
      <c r="S94" s="189">
        <f>'[19]Раз.пос.(Пр.3-26)     '!S94+'[19]Уточнение для Пр.5-26'!S94</f>
        <v>0</v>
      </c>
    </row>
    <row r="95" spans="1:19" ht="24" x14ac:dyDescent="0.2">
      <c r="A95" s="128">
        <v>82</v>
      </c>
      <c r="B95" s="72" t="s">
        <v>204</v>
      </c>
      <c r="C95" s="31" t="s">
        <v>205</v>
      </c>
      <c r="D95" s="186">
        <f t="shared" si="7"/>
        <v>10547</v>
      </c>
      <c r="E95" s="189">
        <f t="shared" si="8"/>
        <v>10547</v>
      </c>
      <c r="F95" s="189">
        <f>'[19]Раз.пос.(Пр.3-26)     '!F95+'[19]Уточнение для Пр.5-26'!F95</f>
        <v>1000</v>
      </c>
      <c r="G95" s="189">
        <f>'[19]Раз.пос.(Пр.3-26)     '!G95+'[19]Уточнение для Пр.5-26'!G95</f>
        <v>9547</v>
      </c>
      <c r="H95" s="189">
        <f t="shared" si="9"/>
        <v>0</v>
      </c>
      <c r="I95" s="190">
        <v>0</v>
      </c>
      <c r="J95" s="189">
        <v>0</v>
      </c>
      <c r="K95" s="189">
        <v>0</v>
      </c>
      <c r="L95" s="189">
        <v>0</v>
      </c>
      <c r="M95" s="189">
        <f>'[19]Раз.пос.(Пр.3-26)     '!M95+'[19]Уточнение для Пр.5-26'!M95</f>
        <v>0</v>
      </c>
      <c r="N95" s="189">
        <f>'[19]Раз.пос.(Пр.3-26)     '!N95+'[19]Уточнение для Пр.5-26'!N95</f>
        <v>0</v>
      </c>
      <c r="O95" s="186">
        <f t="shared" si="10"/>
        <v>0</v>
      </c>
      <c r="P95" s="189">
        <v>0</v>
      </c>
      <c r="Q95" s="189">
        <v>0</v>
      </c>
      <c r="R95" s="189">
        <f>'[19]Раз.пос.(Пр.3-26)     '!R95+'[19]Уточнение для Пр.5-26'!R95</f>
        <v>0</v>
      </c>
      <c r="S95" s="189">
        <f>'[19]Раз.пос.(Пр.3-26)     '!S95+'[19]Уточнение для Пр.5-26'!S95</f>
        <v>0</v>
      </c>
    </row>
    <row r="96" spans="1:19" x14ac:dyDescent="0.2">
      <c r="A96" s="128">
        <v>83</v>
      </c>
      <c r="B96" s="72" t="s">
        <v>206</v>
      </c>
      <c r="C96" s="31" t="s">
        <v>207</v>
      </c>
      <c r="D96" s="186">
        <f t="shared" si="7"/>
        <v>3388</v>
      </c>
      <c r="E96" s="189">
        <f t="shared" si="8"/>
        <v>0</v>
      </c>
      <c r="F96" s="189">
        <f>'[19]Раз.пос.(Пр.3-26)     '!F96+'[19]Уточнение для Пр.5-26'!F96</f>
        <v>0</v>
      </c>
      <c r="G96" s="189">
        <f>'[19]Раз.пос.(Пр.3-26)     '!G96+'[19]Уточнение для Пр.5-26'!G96</f>
        <v>0</v>
      </c>
      <c r="H96" s="189">
        <f t="shared" si="9"/>
        <v>3388</v>
      </c>
      <c r="I96" s="190">
        <v>0</v>
      </c>
      <c r="J96" s="189">
        <v>400</v>
      </c>
      <c r="K96" s="189">
        <v>207</v>
      </c>
      <c r="L96" s="189">
        <v>2781</v>
      </c>
      <c r="M96" s="189">
        <f>'[19]Раз.пос.(Пр.3-26)     '!M96+'[19]Уточнение для Пр.5-26'!M96</f>
        <v>0</v>
      </c>
      <c r="N96" s="189">
        <f>'[19]Раз.пос.(Пр.3-26)     '!N96+'[19]Уточнение для Пр.5-26'!N96</f>
        <v>0</v>
      </c>
      <c r="O96" s="186">
        <f t="shared" si="10"/>
        <v>0</v>
      </c>
      <c r="P96" s="189">
        <v>0</v>
      </c>
      <c r="Q96" s="189">
        <v>0</v>
      </c>
      <c r="R96" s="189">
        <f>'[19]Раз.пос.(Пр.3-26)     '!R96+'[19]Уточнение для Пр.5-26'!R96</f>
        <v>0</v>
      </c>
      <c r="S96" s="189">
        <f>'[19]Раз.пос.(Пр.3-26)     '!S96+'[19]Уточнение для Пр.5-26'!S96</f>
        <v>0</v>
      </c>
    </row>
    <row r="97" spans="1:19" x14ac:dyDescent="0.2">
      <c r="A97" s="128">
        <v>84</v>
      </c>
      <c r="B97" s="834" t="s">
        <v>208</v>
      </c>
      <c r="C97" s="31" t="s">
        <v>209</v>
      </c>
      <c r="D97" s="186">
        <f t="shared" si="7"/>
        <v>36354</v>
      </c>
      <c r="E97" s="189">
        <f t="shared" si="8"/>
        <v>0</v>
      </c>
      <c r="F97" s="189">
        <f>'[19]Раз.пос.(Пр.3-26)     '!F97+'[19]Уточнение для Пр.5-26'!F97</f>
        <v>0</v>
      </c>
      <c r="G97" s="189">
        <f>'[19]Раз.пос.(Пр.3-26)     '!G97+'[19]Уточнение для Пр.5-26'!G97</f>
        <v>0</v>
      </c>
      <c r="H97" s="189">
        <f t="shared" si="9"/>
        <v>34890</v>
      </c>
      <c r="I97" s="190">
        <v>0</v>
      </c>
      <c r="J97" s="189">
        <v>8294</v>
      </c>
      <c r="K97" s="189">
        <v>2422</v>
      </c>
      <c r="L97" s="189">
        <v>24174</v>
      </c>
      <c r="M97" s="189">
        <f>'[19]Раз.пос.(Пр.3-26)     '!M97+'[19]Уточнение для Пр.5-26'!M97</f>
        <v>1025</v>
      </c>
      <c r="N97" s="189">
        <f>'[19]Раз.пос.(Пр.3-26)     '!N97+'[19]Уточнение для Пр.5-26'!N97</f>
        <v>439</v>
      </c>
      <c r="O97" s="186">
        <f t="shared" si="10"/>
        <v>0</v>
      </c>
      <c r="P97" s="189">
        <v>0</v>
      </c>
      <c r="Q97" s="189">
        <v>0</v>
      </c>
      <c r="R97" s="189">
        <f>'[19]Раз.пос.(Пр.3-26)     '!R97+'[19]Уточнение для Пр.5-26'!R97</f>
        <v>0</v>
      </c>
      <c r="S97" s="189">
        <f>'[19]Раз.пос.(Пр.3-26)     '!S97+'[19]Уточнение для Пр.5-26'!S97</f>
        <v>0</v>
      </c>
    </row>
    <row r="98" spans="1:19" x14ac:dyDescent="0.2">
      <c r="A98" s="128">
        <v>85</v>
      </c>
      <c r="B98" s="72" t="s">
        <v>210</v>
      </c>
      <c r="C98" s="31" t="s">
        <v>211</v>
      </c>
      <c r="D98" s="186">
        <f t="shared" si="7"/>
        <v>19225</v>
      </c>
      <c r="E98" s="189">
        <f t="shared" si="8"/>
        <v>0</v>
      </c>
      <c r="F98" s="189">
        <f>'[19]Раз.пос.(Пр.3-26)     '!F98+'[19]Уточнение для Пр.5-26'!F98</f>
        <v>0</v>
      </c>
      <c r="G98" s="189">
        <f>'[19]Раз.пос.(Пр.3-26)     '!G98+'[19]Уточнение для Пр.5-26'!G98</f>
        <v>0</v>
      </c>
      <c r="H98" s="189">
        <f t="shared" si="9"/>
        <v>19225</v>
      </c>
      <c r="I98" s="190">
        <v>0</v>
      </c>
      <c r="J98" s="189">
        <v>800</v>
      </c>
      <c r="K98" s="189">
        <v>985</v>
      </c>
      <c r="L98" s="189">
        <v>17440</v>
      </c>
      <c r="M98" s="189">
        <f>'[19]Раз.пос.(Пр.3-26)     '!M98+'[19]Уточнение для Пр.5-26'!M98</f>
        <v>0</v>
      </c>
      <c r="N98" s="189">
        <f>'[19]Раз.пос.(Пр.3-26)     '!N98+'[19]Уточнение для Пр.5-26'!N98</f>
        <v>0</v>
      </c>
      <c r="O98" s="186">
        <f t="shared" si="10"/>
        <v>0</v>
      </c>
      <c r="P98" s="189">
        <v>0</v>
      </c>
      <c r="Q98" s="189">
        <v>0</v>
      </c>
      <c r="R98" s="189">
        <f>'[19]Раз.пос.(Пр.3-26)     '!R98+'[19]Уточнение для Пр.5-26'!R98</f>
        <v>0</v>
      </c>
      <c r="S98" s="189">
        <f>'[19]Раз.пос.(Пр.3-26)     '!S98+'[19]Уточнение для Пр.5-26'!S98</f>
        <v>0</v>
      </c>
    </row>
    <row r="99" spans="1:19" x14ac:dyDescent="0.2">
      <c r="A99" s="128">
        <v>86</v>
      </c>
      <c r="B99" s="834" t="s">
        <v>212</v>
      </c>
      <c r="C99" s="31" t="s">
        <v>213</v>
      </c>
      <c r="D99" s="186">
        <f t="shared" si="7"/>
        <v>16869</v>
      </c>
      <c r="E99" s="189">
        <f t="shared" si="8"/>
        <v>0</v>
      </c>
      <c r="F99" s="189">
        <f>'[19]Раз.пос.(Пр.3-26)     '!F99+'[19]Уточнение для Пр.5-26'!F99</f>
        <v>0</v>
      </c>
      <c r="G99" s="189">
        <f>'[19]Раз.пос.(Пр.3-26)     '!G99+'[19]Уточнение для Пр.5-26'!G99</f>
        <v>0</v>
      </c>
      <c r="H99" s="189">
        <f t="shared" si="9"/>
        <v>16869</v>
      </c>
      <c r="I99" s="190">
        <v>0</v>
      </c>
      <c r="J99" s="189">
        <v>1000</v>
      </c>
      <c r="K99" s="189">
        <v>1730</v>
      </c>
      <c r="L99" s="189">
        <v>14139</v>
      </c>
      <c r="M99" s="189">
        <f>'[19]Раз.пос.(Пр.3-26)     '!M99+'[19]Уточнение для Пр.5-26'!M99</f>
        <v>0</v>
      </c>
      <c r="N99" s="189">
        <f>'[19]Раз.пос.(Пр.3-26)     '!N99+'[19]Уточнение для Пр.5-26'!N99</f>
        <v>0</v>
      </c>
      <c r="O99" s="186">
        <f t="shared" si="10"/>
        <v>0</v>
      </c>
      <c r="P99" s="189">
        <v>0</v>
      </c>
      <c r="Q99" s="189">
        <v>0</v>
      </c>
      <c r="R99" s="189">
        <f>'[19]Раз.пос.(Пр.3-26)     '!R99+'[19]Уточнение для Пр.5-26'!R99</f>
        <v>0</v>
      </c>
      <c r="S99" s="189">
        <f>'[19]Раз.пос.(Пр.3-26)     '!S99+'[19]Уточнение для Пр.5-26'!S99</f>
        <v>0</v>
      </c>
    </row>
    <row r="100" spans="1:19" x14ac:dyDescent="0.2">
      <c r="A100" s="128">
        <v>87</v>
      </c>
      <c r="B100" s="834" t="s">
        <v>214</v>
      </c>
      <c r="C100" s="31" t="s">
        <v>215</v>
      </c>
      <c r="D100" s="186">
        <f t="shared" si="7"/>
        <v>43210</v>
      </c>
      <c r="E100" s="189">
        <f t="shared" si="8"/>
        <v>0</v>
      </c>
      <c r="F100" s="189">
        <f>'[19]Раз.пос.(Пр.3-26)     '!F100+'[19]Уточнение для Пр.5-26'!F100</f>
        <v>0</v>
      </c>
      <c r="G100" s="189">
        <f>'[19]Раз.пос.(Пр.3-26)     '!G100+'[19]Уточнение для Пр.5-26'!G100</f>
        <v>0</v>
      </c>
      <c r="H100" s="189">
        <f t="shared" si="9"/>
        <v>43210</v>
      </c>
      <c r="I100" s="190">
        <v>0</v>
      </c>
      <c r="J100" s="189">
        <v>3097</v>
      </c>
      <c r="K100" s="189">
        <v>5244</v>
      </c>
      <c r="L100" s="189">
        <v>34869</v>
      </c>
      <c r="M100" s="189">
        <f>'[19]Раз.пос.(Пр.3-26)     '!M100+'[19]Уточнение для Пр.5-26'!M100</f>
        <v>0</v>
      </c>
      <c r="N100" s="189">
        <f>'[19]Раз.пос.(Пр.3-26)     '!N100+'[19]Уточнение для Пр.5-26'!N100</f>
        <v>0</v>
      </c>
      <c r="O100" s="186">
        <f t="shared" si="10"/>
        <v>0</v>
      </c>
      <c r="P100" s="189">
        <v>0</v>
      </c>
      <c r="Q100" s="189">
        <v>0</v>
      </c>
      <c r="R100" s="189">
        <f>'[19]Раз.пос.(Пр.3-26)     '!R100+'[19]Уточнение для Пр.5-26'!R100</f>
        <v>0</v>
      </c>
      <c r="S100" s="189">
        <f>'[19]Раз.пос.(Пр.3-26)     '!S100+'[19]Уточнение для Пр.5-26'!S100</f>
        <v>0</v>
      </c>
    </row>
    <row r="101" spans="1:19" x14ac:dyDescent="0.2">
      <c r="A101" s="128">
        <v>88</v>
      </c>
      <c r="B101" s="72" t="s">
        <v>216</v>
      </c>
      <c r="C101" s="31" t="s">
        <v>217</v>
      </c>
      <c r="D101" s="186">
        <f t="shared" si="7"/>
        <v>16566</v>
      </c>
      <c r="E101" s="189">
        <f t="shared" si="8"/>
        <v>0</v>
      </c>
      <c r="F101" s="189">
        <f>'[19]Раз.пос.(Пр.3-26)     '!F101+'[19]Уточнение для Пр.5-26'!F101</f>
        <v>0</v>
      </c>
      <c r="G101" s="189">
        <f>'[19]Раз.пос.(Пр.3-26)     '!G101+'[19]Уточнение для Пр.5-26'!G101</f>
        <v>0</v>
      </c>
      <c r="H101" s="189">
        <f t="shared" si="9"/>
        <v>15102</v>
      </c>
      <c r="I101" s="190">
        <v>0</v>
      </c>
      <c r="J101" s="189">
        <v>1793</v>
      </c>
      <c r="K101" s="189">
        <v>2308</v>
      </c>
      <c r="L101" s="189">
        <v>11001</v>
      </c>
      <c r="M101" s="189">
        <f>'[19]Раз.пос.(Пр.3-26)     '!M101+'[19]Уточнение для Пр.5-26'!M101</f>
        <v>1025</v>
      </c>
      <c r="N101" s="189">
        <f>'[19]Раз.пос.(Пр.3-26)     '!N101+'[19]Уточнение для Пр.5-26'!N101</f>
        <v>439</v>
      </c>
      <c r="O101" s="186">
        <f t="shared" si="10"/>
        <v>0</v>
      </c>
      <c r="P101" s="189">
        <v>0</v>
      </c>
      <c r="Q101" s="189">
        <v>0</v>
      </c>
      <c r="R101" s="189">
        <f>'[19]Раз.пос.(Пр.3-26)     '!R101+'[19]Уточнение для Пр.5-26'!R101</f>
        <v>0</v>
      </c>
      <c r="S101" s="189">
        <f>'[19]Раз.пос.(Пр.3-26)     '!S101+'[19]Уточнение для Пр.5-26'!S101</f>
        <v>0</v>
      </c>
    </row>
    <row r="102" spans="1:19" x14ac:dyDescent="0.2">
      <c r="A102" s="128">
        <v>89</v>
      </c>
      <c r="B102" s="71" t="s">
        <v>218</v>
      </c>
      <c r="C102" s="31" t="s">
        <v>219</v>
      </c>
      <c r="D102" s="186">
        <f t="shared" si="7"/>
        <v>46914</v>
      </c>
      <c r="E102" s="189">
        <f t="shared" si="8"/>
        <v>0</v>
      </c>
      <c r="F102" s="189">
        <f>'[19]Раз.пос.(Пр.3-26)     '!F102+'[19]Уточнение для Пр.5-26'!F102</f>
        <v>0</v>
      </c>
      <c r="G102" s="189">
        <f>'[19]Раз.пос.(Пр.3-26)     '!G102+'[19]Уточнение для Пр.5-26'!G102</f>
        <v>0</v>
      </c>
      <c r="H102" s="189">
        <f t="shared" si="9"/>
        <v>46914</v>
      </c>
      <c r="I102" s="190">
        <v>220</v>
      </c>
      <c r="J102" s="189">
        <v>6023</v>
      </c>
      <c r="K102" s="189">
        <v>3228</v>
      </c>
      <c r="L102" s="189">
        <v>37443</v>
      </c>
      <c r="M102" s="189">
        <f>'[19]Раз.пос.(Пр.3-26)     '!M102+'[19]Уточнение для Пр.5-26'!M102</f>
        <v>0</v>
      </c>
      <c r="N102" s="189">
        <f>'[19]Раз.пос.(Пр.3-26)     '!N102+'[19]Уточнение для Пр.5-26'!N102</f>
        <v>0</v>
      </c>
      <c r="O102" s="186">
        <f t="shared" si="10"/>
        <v>0</v>
      </c>
      <c r="P102" s="189">
        <v>0</v>
      </c>
      <c r="Q102" s="189">
        <v>0</v>
      </c>
      <c r="R102" s="189">
        <f>'[19]Раз.пос.(Пр.3-26)     '!R102+'[19]Уточнение для Пр.5-26'!R102</f>
        <v>0</v>
      </c>
      <c r="S102" s="189">
        <f>'[19]Раз.пос.(Пр.3-26)     '!S102+'[19]Уточнение для Пр.5-26'!S102</f>
        <v>0</v>
      </c>
    </row>
    <row r="103" spans="1:19" x14ac:dyDescent="0.2">
      <c r="A103" s="128">
        <v>90</v>
      </c>
      <c r="B103" s="71" t="s">
        <v>220</v>
      </c>
      <c r="C103" s="31" t="s">
        <v>221</v>
      </c>
      <c r="D103" s="186">
        <f t="shared" si="7"/>
        <v>46931</v>
      </c>
      <c r="E103" s="189">
        <f t="shared" si="8"/>
        <v>0</v>
      </c>
      <c r="F103" s="189">
        <f>'[19]Раз.пос.(Пр.3-26)     '!F103+'[19]Уточнение для Пр.5-26'!F103</f>
        <v>0</v>
      </c>
      <c r="G103" s="189">
        <f>'[19]Раз.пос.(Пр.3-26)     '!G103+'[19]Уточнение для Пр.5-26'!G103</f>
        <v>0</v>
      </c>
      <c r="H103" s="189">
        <f t="shared" si="9"/>
        <v>45467</v>
      </c>
      <c r="I103" s="190">
        <v>231</v>
      </c>
      <c r="J103" s="189">
        <v>3561</v>
      </c>
      <c r="K103" s="189">
        <v>2486</v>
      </c>
      <c r="L103" s="189">
        <v>39189</v>
      </c>
      <c r="M103" s="189">
        <f>'[19]Раз.пос.(Пр.3-26)     '!M103+'[19]Уточнение для Пр.5-26'!M103</f>
        <v>1025</v>
      </c>
      <c r="N103" s="189">
        <f>'[19]Раз.пос.(Пр.3-26)     '!N103+'[19]Уточнение для Пр.5-26'!N103</f>
        <v>439</v>
      </c>
      <c r="O103" s="186">
        <f t="shared" si="10"/>
        <v>0</v>
      </c>
      <c r="P103" s="189">
        <v>0</v>
      </c>
      <c r="Q103" s="189">
        <v>0</v>
      </c>
      <c r="R103" s="189">
        <f>'[19]Раз.пос.(Пр.3-26)     '!R103+'[19]Уточнение для Пр.5-26'!R103</f>
        <v>0</v>
      </c>
      <c r="S103" s="189">
        <f>'[19]Раз.пос.(Пр.3-26)     '!S103+'[19]Уточнение для Пр.5-26'!S103</f>
        <v>0</v>
      </c>
    </row>
    <row r="104" spans="1:19" x14ac:dyDescent="0.2">
      <c r="A104" s="128">
        <v>91</v>
      </c>
      <c r="B104" s="834" t="s">
        <v>222</v>
      </c>
      <c r="C104" s="31" t="s">
        <v>223</v>
      </c>
      <c r="D104" s="186">
        <f t="shared" si="7"/>
        <v>15980</v>
      </c>
      <c r="E104" s="189">
        <f t="shared" si="8"/>
        <v>0</v>
      </c>
      <c r="F104" s="189">
        <f>'[19]Раз.пос.(Пр.3-26)     '!F104+'[19]Уточнение для Пр.5-26'!F104</f>
        <v>0</v>
      </c>
      <c r="G104" s="189">
        <f>'[19]Раз.пос.(Пр.3-26)     '!G104+'[19]Уточнение для Пр.5-26'!G104</f>
        <v>0</v>
      </c>
      <c r="H104" s="189">
        <f t="shared" si="9"/>
        <v>15980</v>
      </c>
      <c r="I104" s="190">
        <v>0</v>
      </c>
      <c r="J104" s="189">
        <v>754</v>
      </c>
      <c r="K104" s="189">
        <v>386</v>
      </c>
      <c r="L104" s="189">
        <v>14840</v>
      </c>
      <c r="M104" s="189">
        <f>'[19]Раз.пос.(Пр.3-26)     '!M104+'[19]Уточнение для Пр.5-26'!M104</f>
        <v>0</v>
      </c>
      <c r="N104" s="189">
        <f>'[19]Раз.пос.(Пр.3-26)     '!N104+'[19]Уточнение для Пр.5-26'!N104</f>
        <v>0</v>
      </c>
      <c r="O104" s="186">
        <f t="shared" si="10"/>
        <v>0</v>
      </c>
      <c r="P104" s="189">
        <v>0</v>
      </c>
      <c r="Q104" s="189">
        <v>0</v>
      </c>
      <c r="R104" s="189">
        <f>'[19]Раз.пос.(Пр.3-26)     '!R104+'[19]Уточнение для Пр.5-26'!R104</f>
        <v>0</v>
      </c>
      <c r="S104" s="189">
        <f>'[19]Раз.пос.(Пр.3-26)     '!S104+'[19]Уточнение для Пр.5-26'!S104</f>
        <v>0</v>
      </c>
    </row>
    <row r="105" spans="1:19" x14ac:dyDescent="0.2">
      <c r="A105" s="128">
        <v>92</v>
      </c>
      <c r="B105" s="71" t="s">
        <v>224</v>
      </c>
      <c r="C105" s="31" t="s">
        <v>225</v>
      </c>
      <c r="D105" s="186">
        <f t="shared" si="7"/>
        <v>16383</v>
      </c>
      <c r="E105" s="189">
        <f t="shared" si="8"/>
        <v>0</v>
      </c>
      <c r="F105" s="189">
        <f>'[19]Раз.пос.(Пр.3-26)     '!F105+'[19]Уточнение для Пр.5-26'!F105</f>
        <v>0</v>
      </c>
      <c r="G105" s="189">
        <f>'[19]Раз.пос.(Пр.3-26)     '!G105+'[19]Уточнение для Пр.5-26'!G105</f>
        <v>0</v>
      </c>
      <c r="H105" s="189">
        <f t="shared" si="9"/>
        <v>16383</v>
      </c>
      <c r="I105" s="190">
        <v>0</v>
      </c>
      <c r="J105" s="189">
        <v>2510</v>
      </c>
      <c r="K105" s="189">
        <v>3449</v>
      </c>
      <c r="L105" s="189">
        <v>10424</v>
      </c>
      <c r="M105" s="189">
        <f>'[19]Раз.пос.(Пр.3-26)     '!M105+'[19]Уточнение для Пр.5-26'!M105</f>
        <v>0</v>
      </c>
      <c r="N105" s="189">
        <f>'[19]Раз.пос.(Пр.3-26)     '!N105+'[19]Уточнение для Пр.5-26'!N105</f>
        <v>0</v>
      </c>
      <c r="O105" s="186">
        <f t="shared" si="10"/>
        <v>0</v>
      </c>
      <c r="P105" s="189">
        <v>0</v>
      </c>
      <c r="Q105" s="189">
        <v>0</v>
      </c>
      <c r="R105" s="189">
        <f>'[19]Раз.пос.(Пр.3-26)     '!R105+'[19]Уточнение для Пр.5-26'!R105</f>
        <v>0</v>
      </c>
      <c r="S105" s="189">
        <f>'[19]Раз.пос.(Пр.3-26)     '!S105+'[19]Уточнение для Пр.5-26'!S105</f>
        <v>0</v>
      </c>
    </row>
    <row r="106" spans="1:19" x14ac:dyDescent="0.2">
      <c r="A106" s="128">
        <v>93</v>
      </c>
      <c r="B106" s="71" t="s">
        <v>226</v>
      </c>
      <c r="C106" s="31" t="s">
        <v>227</v>
      </c>
      <c r="D106" s="186">
        <f t="shared" si="7"/>
        <v>19980</v>
      </c>
      <c r="E106" s="189">
        <f t="shared" si="8"/>
        <v>0</v>
      </c>
      <c r="F106" s="189">
        <f>'[19]Раз.пос.(Пр.3-26)     '!F106+'[19]Уточнение для Пр.5-26'!F106</f>
        <v>0</v>
      </c>
      <c r="G106" s="189">
        <f>'[19]Раз.пос.(Пр.3-26)     '!G106+'[19]Уточнение для Пр.5-26'!G106</f>
        <v>0</v>
      </c>
      <c r="H106" s="189">
        <f t="shared" si="9"/>
        <v>19980</v>
      </c>
      <c r="I106" s="190">
        <v>0</v>
      </c>
      <c r="J106" s="189">
        <v>2144</v>
      </c>
      <c r="K106" s="189">
        <v>2291</v>
      </c>
      <c r="L106" s="189">
        <v>15545</v>
      </c>
      <c r="M106" s="189">
        <f>'[19]Раз.пос.(Пр.3-26)     '!M106+'[19]Уточнение для Пр.5-26'!M106</f>
        <v>0</v>
      </c>
      <c r="N106" s="189">
        <f>'[19]Раз.пос.(Пр.3-26)     '!N106+'[19]Уточнение для Пр.5-26'!N106</f>
        <v>0</v>
      </c>
      <c r="O106" s="186">
        <f t="shared" si="10"/>
        <v>0</v>
      </c>
      <c r="P106" s="189">
        <v>0</v>
      </c>
      <c r="Q106" s="189">
        <v>0</v>
      </c>
      <c r="R106" s="189">
        <f>'[19]Раз.пос.(Пр.3-26)     '!R106+'[19]Уточнение для Пр.5-26'!R106</f>
        <v>0</v>
      </c>
      <c r="S106" s="189">
        <f>'[19]Раз.пос.(Пр.3-26)     '!S106+'[19]Уточнение для Пр.5-26'!S106</f>
        <v>0</v>
      </c>
    </row>
    <row r="107" spans="1:19" x14ac:dyDescent="0.2">
      <c r="A107" s="128">
        <v>94</v>
      </c>
      <c r="B107" s="72" t="s">
        <v>32</v>
      </c>
      <c r="C107" s="31" t="s">
        <v>33</v>
      </c>
      <c r="D107" s="186">
        <f t="shared" si="7"/>
        <v>26998</v>
      </c>
      <c r="E107" s="189">
        <f t="shared" si="8"/>
        <v>0</v>
      </c>
      <c r="F107" s="189">
        <f>'[19]Раз.пос.(Пр.3-26)     '!F107+'[19]Уточнение для Пр.5-26'!F107</f>
        <v>0</v>
      </c>
      <c r="G107" s="189">
        <f>'[19]Раз.пос.(Пр.3-26)     '!G107+'[19]Уточнение для Пр.5-26'!G107</f>
        <v>0</v>
      </c>
      <c r="H107" s="189">
        <f t="shared" si="9"/>
        <v>25060</v>
      </c>
      <c r="I107" s="190">
        <v>0</v>
      </c>
      <c r="J107" s="189">
        <v>3700</v>
      </c>
      <c r="K107" s="189">
        <v>2292</v>
      </c>
      <c r="L107" s="189">
        <v>19068</v>
      </c>
      <c r="M107" s="189">
        <f>'[19]Раз.пос.(Пр.3-26)     '!M107+'[19]Уточнение для Пр.5-26'!M107</f>
        <v>1025</v>
      </c>
      <c r="N107" s="189">
        <f>'[19]Раз.пос.(Пр.3-26)     '!N107+'[19]Уточнение для Пр.5-26'!N107</f>
        <v>439</v>
      </c>
      <c r="O107" s="186">
        <f t="shared" si="10"/>
        <v>474</v>
      </c>
      <c r="P107" s="189">
        <v>0</v>
      </c>
      <c r="Q107" s="189">
        <v>474</v>
      </c>
      <c r="R107" s="189">
        <f>'[19]Раз.пос.(Пр.3-26)     '!R107+'[19]Уточнение для Пр.5-26'!R107</f>
        <v>0</v>
      </c>
      <c r="S107" s="189">
        <f>'[19]Раз.пос.(Пр.3-26)     '!S107+'[19]Уточнение для Пр.5-26'!S107</f>
        <v>0</v>
      </c>
    </row>
    <row r="108" spans="1:19" x14ac:dyDescent="0.2">
      <c r="A108" s="128">
        <v>95</v>
      </c>
      <c r="B108" s="834" t="s">
        <v>228</v>
      </c>
      <c r="C108" s="31" t="s">
        <v>229</v>
      </c>
      <c r="D108" s="186">
        <f t="shared" si="7"/>
        <v>13355</v>
      </c>
      <c r="E108" s="189">
        <f t="shared" si="8"/>
        <v>0</v>
      </c>
      <c r="F108" s="189">
        <f>'[19]Раз.пос.(Пр.3-26)     '!F108+'[19]Уточнение для Пр.5-26'!F108</f>
        <v>0</v>
      </c>
      <c r="G108" s="189">
        <f>'[19]Раз.пос.(Пр.3-26)     '!G108+'[19]Уточнение для Пр.5-26'!G108</f>
        <v>0</v>
      </c>
      <c r="H108" s="189">
        <f t="shared" si="9"/>
        <v>13355</v>
      </c>
      <c r="I108" s="190">
        <v>0</v>
      </c>
      <c r="J108" s="189">
        <v>2220</v>
      </c>
      <c r="K108" s="189">
        <v>1638</v>
      </c>
      <c r="L108" s="189">
        <v>9497</v>
      </c>
      <c r="M108" s="189">
        <f>'[19]Раз.пос.(Пр.3-26)     '!M108+'[19]Уточнение для Пр.5-26'!M108</f>
        <v>0</v>
      </c>
      <c r="N108" s="189">
        <f>'[19]Раз.пос.(Пр.3-26)     '!N108+'[19]Уточнение для Пр.5-26'!N108</f>
        <v>0</v>
      </c>
      <c r="O108" s="186">
        <f t="shared" si="10"/>
        <v>0</v>
      </c>
      <c r="P108" s="189">
        <v>0</v>
      </c>
      <c r="Q108" s="189">
        <v>0</v>
      </c>
      <c r="R108" s="189">
        <f>'[19]Раз.пос.(Пр.3-26)     '!R108+'[19]Уточнение для Пр.5-26'!R108</f>
        <v>0</v>
      </c>
      <c r="S108" s="189">
        <f>'[19]Раз.пос.(Пр.3-26)     '!S108+'[19]Уточнение для Пр.5-26'!S108</f>
        <v>0</v>
      </c>
    </row>
    <row r="109" spans="1:19" x14ac:dyDescent="0.2">
      <c r="A109" s="128">
        <v>96</v>
      </c>
      <c r="B109" s="71" t="s">
        <v>230</v>
      </c>
      <c r="C109" s="31" t="s">
        <v>231</v>
      </c>
      <c r="D109" s="186">
        <f t="shared" si="7"/>
        <v>38696</v>
      </c>
      <c r="E109" s="189">
        <f t="shared" si="8"/>
        <v>0</v>
      </c>
      <c r="F109" s="189">
        <f>'[19]Раз.пос.(Пр.3-26)     '!F109+'[19]Уточнение для Пр.5-26'!F109</f>
        <v>0</v>
      </c>
      <c r="G109" s="189">
        <f>'[19]Раз.пос.(Пр.3-26)     '!G109+'[19]Уточнение для Пр.5-26'!G109</f>
        <v>0</v>
      </c>
      <c r="H109" s="189">
        <f t="shared" si="9"/>
        <v>38696</v>
      </c>
      <c r="I109" s="190">
        <v>0</v>
      </c>
      <c r="J109" s="189">
        <v>3350</v>
      </c>
      <c r="K109" s="189">
        <v>4498</v>
      </c>
      <c r="L109" s="189">
        <v>30848</v>
      </c>
      <c r="M109" s="189">
        <f>'[19]Раз.пос.(Пр.3-26)     '!M109+'[19]Уточнение для Пр.5-26'!M109</f>
        <v>0</v>
      </c>
      <c r="N109" s="189">
        <f>'[19]Раз.пос.(Пр.3-26)     '!N109+'[19]Уточнение для Пр.5-26'!N109</f>
        <v>0</v>
      </c>
      <c r="O109" s="186">
        <f t="shared" si="10"/>
        <v>0</v>
      </c>
      <c r="P109" s="189">
        <v>0</v>
      </c>
      <c r="Q109" s="189">
        <v>0</v>
      </c>
      <c r="R109" s="189">
        <f>'[19]Раз.пос.(Пр.3-26)     '!R109+'[19]Уточнение для Пр.5-26'!R109</f>
        <v>0</v>
      </c>
      <c r="S109" s="189">
        <f>'[19]Раз.пос.(Пр.3-26)     '!S109+'[19]Уточнение для Пр.5-26'!S109</f>
        <v>0</v>
      </c>
    </row>
    <row r="110" spans="1:19" x14ac:dyDescent="0.2">
      <c r="A110" s="128">
        <v>97</v>
      </c>
      <c r="B110" s="71" t="s">
        <v>232</v>
      </c>
      <c r="C110" s="31" t="s">
        <v>233</v>
      </c>
      <c r="D110" s="186">
        <f t="shared" si="7"/>
        <v>8388</v>
      </c>
      <c r="E110" s="189">
        <f t="shared" si="8"/>
        <v>8388</v>
      </c>
      <c r="F110" s="189">
        <f>'[19]Раз.пос.(Пр.3-26)     '!F110+'[19]Уточнение для Пр.5-26'!F110</f>
        <v>0</v>
      </c>
      <c r="G110" s="189">
        <f>'[19]Раз.пос.(Пр.3-26)     '!G110+'[19]Уточнение для Пр.5-26'!G110</f>
        <v>8388</v>
      </c>
      <c r="H110" s="189">
        <f t="shared" si="9"/>
        <v>0</v>
      </c>
      <c r="I110" s="190">
        <v>0</v>
      </c>
      <c r="J110" s="189">
        <v>0</v>
      </c>
      <c r="K110" s="189">
        <v>0</v>
      </c>
      <c r="L110" s="189">
        <v>0</v>
      </c>
      <c r="M110" s="189">
        <f>'[19]Раз.пос.(Пр.3-26)     '!M110+'[19]Уточнение для Пр.5-26'!M110</f>
        <v>0</v>
      </c>
      <c r="N110" s="189">
        <f>'[19]Раз.пос.(Пр.3-26)     '!N110+'[19]Уточнение для Пр.5-26'!N110</f>
        <v>0</v>
      </c>
      <c r="O110" s="186">
        <f t="shared" si="10"/>
        <v>0</v>
      </c>
      <c r="P110" s="189">
        <v>0</v>
      </c>
      <c r="Q110" s="189">
        <v>0</v>
      </c>
      <c r="R110" s="189">
        <f>'[19]Раз.пос.(Пр.3-26)     '!R110+'[19]Уточнение для Пр.5-26'!R110</f>
        <v>0</v>
      </c>
      <c r="S110" s="189">
        <f>'[19]Раз.пос.(Пр.3-26)     '!S110+'[19]Уточнение для Пр.5-26'!S110</f>
        <v>0</v>
      </c>
    </row>
    <row r="111" spans="1:19" x14ac:dyDescent="0.2">
      <c r="A111" s="128">
        <v>98</v>
      </c>
      <c r="B111" s="71" t="s">
        <v>234</v>
      </c>
      <c r="C111" s="31" t="s">
        <v>235</v>
      </c>
      <c r="D111" s="186">
        <f t="shared" si="7"/>
        <v>0</v>
      </c>
      <c r="E111" s="189">
        <f t="shared" si="8"/>
        <v>0</v>
      </c>
      <c r="F111" s="189">
        <f>'[19]Раз.пос.(Пр.3-26)     '!F111+'[19]Уточнение для Пр.5-26'!F111</f>
        <v>0</v>
      </c>
      <c r="G111" s="189">
        <f>'[19]Раз.пос.(Пр.3-26)     '!G111+'[19]Уточнение для Пр.5-26'!G111</f>
        <v>0</v>
      </c>
      <c r="H111" s="189">
        <f t="shared" si="9"/>
        <v>0</v>
      </c>
      <c r="I111" s="190">
        <v>0</v>
      </c>
      <c r="J111" s="189">
        <v>0</v>
      </c>
      <c r="K111" s="189">
        <v>0</v>
      </c>
      <c r="L111" s="189">
        <v>0</v>
      </c>
      <c r="M111" s="189">
        <f>'[19]Раз.пос.(Пр.3-26)     '!M111+'[19]Уточнение для Пр.5-26'!M111</f>
        <v>0</v>
      </c>
      <c r="N111" s="189">
        <f>'[19]Раз.пос.(Пр.3-26)     '!N111+'[19]Уточнение для Пр.5-26'!N111</f>
        <v>0</v>
      </c>
      <c r="O111" s="186">
        <f t="shared" si="10"/>
        <v>0</v>
      </c>
      <c r="P111" s="189">
        <v>0</v>
      </c>
      <c r="Q111" s="189">
        <v>0</v>
      </c>
      <c r="R111" s="189">
        <f>'[19]Раз.пос.(Пр.3-26)     '!R111+'[19]Уточнение для Пр.5-26'!R111</f>
        <v>0</v>
      </c>
      <c r="S111" s="189">
        <f>'[19]Раз.пос.(Пр.3-26)     '!S111+'[19]Уточнение для Пр.5-26'!S111</f>
        <v>0</v>
      </c>
    </row>
    <row r="112" spans="1:19" x14ac:dyDescent="0.2">
      <c r="A112" s="128">
        <v>99</v>
      </c>
      <c r="B112" s="834" t="s">
        <v>236</v>
      </c>
      <c r="C112" s="31" t="s">
        <v>237</v>
      </c>
      <c r="D112" s="186">
        <f t="shared" si="7"/>
        <v>0</v>
      </c>
      <c r="E112" s="189">
        <f t="shared" si="8"/>
        <v>0</v>
      </c>
      <c r="F112" s="189">
        <f>'[19]Раз.пос.(Пр.3-26)     '!F112+'[19]Уточнение для Пр.5-26'!F112</f>
        <v>0</v>
      </c>
      <c r="G112" s="189">
        <f>'[19]Раз.пос.(Пр.3-26)     '!G112+'[19]Уточнение для Пр.5-26'!G112</f>
        <v>0</v>
      </c>
      <c r="H112" s="189">
        <f t="shared" si="9"/>
        <v>0</v>
      </c>
      <c r="I112" s="190">
        <v>0</v>
      </c>
      <c r="J112" s="189">
        <v>0</v>
      </c>
      <c r="K112" s="189">
        <v>0</v>
      </c>
      <c r="L112" s="189">
        <v>0</v>
      </c>
      <c r="M112" s="189">
        <f>'[19]Раз.пос.(Пр.3-26)     '!M112+'[19]Уточнение для Пр.5-26'!M112</f>
        <v>0</v>
      </c>
      <c r="N112" s="189">
        <f>'[19]Раз.пос.(Пр.3-26)     '!N112+'[19]Уточнение для Пр.5-26'!N112</f>
        <v>0</v>
      </c>
      <c r="O112" s="186">
        <f t="shared" si="10"/>
        <v>0</v>
      </c>
      <c r="P112" s="189">
        <v>0</v>
      </c>
      <c r="Q112" s="189">
        <v>0</v>
      </c>
      <c r="R112" s="189">
        <f>'[19]Раз.пос.(Пр.3-26)     '!R112+'[19]Уточнение для Пр.5-26'!R112</f>
        <v>0</v>
      </c>
      <c r="S112" s="189">
        <f>'[19]Раз.пос.(Пр.3-26)     '!S112+'[19]Уточнение для Пр.5-26'!S112</f>
        <v>0</v>
      </c>
    </row>
    <row r="113" spans="1:19" x14ac:dyDescent="0.2">
      <c r="A113" s="128">
        <v>100</v>
      </c>
      <c r="B113" s="834" t="s">
        <v>238</v>
      </c>
      <c r="C113" s="31" t="s">
        <v>239</v>
      </c>
      <c r="D113" s="186">
        <f t="shared" si="7"/>
        <v>0</v>
      </c>
      <c r="E113" s="189">
        <f t="shared" si="8"/>
        <v>0</v>
      </c>
      <c r="F113" s="189">
        <f>'[19]Раз.пос.(Пр.3-26)     '!F113+'[19]Уточнение для Пр.5-26'!F113</f>
        <v>0</v>
      </c>
      <c r="G113" s="189">
        <f>'[19]Раз.пос.(Пр.3-26)     '!G113+'[19]Уточнение для Пр.5-26'!G113</f>
        <v>0</v>
      </c>
      <c r="H113" s="189">
        <f t="shared" si="9"/>
        <v>0</v>
      </c>
      <c r="I113" s="190">
        <v>0</v>
      </c>
      <c r="J113" s="189">
        <v>0</v>
      </c>
      <c r="K113" s="189">
        <v>0</v>
      </c>
      <c r="L113" s="189">
        <v>0</v>
      </c>
      <c r="M113" s="189">
        <f>'[19]Раз.пос.(Пр.3-26)     '!M113+'[19]Уточнение для Пр.5-26'!M113</f>
        <v>0</v>
      </c>
      <c r="N113" s="189">
        <f>'[19]Раз.пос.(Пр.3-26)     '!N113+'[19]Уточнение для Пр.5-26'!N113</f>
        <v>0</v>
      </c>
      <c r="O113" s="186">
        <f t="shared" si="10"/>
        <v>0</v>
      </c>
      <c r="P113" s="189">
        <v>0</v>
      </c>
      <c r="Q113" s="189">
        <v>0</v>
      </c>
      <c r="R113" s="189">
        <f>'[19]Раз.пос.(Пр.3-26)     '!R113+'[19]Уточнение для Пр.5-26'!R113</f>
        <v>0</v>
      </c>
      <c r="S113" s="189">
        <f>'[19]Раз.пос.(Пр.3-26)     '!S113+'[19]Уточнение для Пр.5-26'!S113</f>
        <v>0</v>
      </c>
    </row>
    <row r="114" spans="1:19" x14ac:dyDescent="0.2">
      <c r="A114" s="128">
        <v>101</v>
      </c>
      <c r="B114" s="834" t="s">
        <v>240</v>
      </c>
      <c r="C114" s="31" t="s">
        <v>241</v>
      </c>
      <c r="D114" s="186">
        <f t="shared" si="7"/>
        <v>0</v>
      </c>
      <c r="E114" s="189">
        <f t="shared" si="8"/>
        <v>0</v>
      </c>
      <c r="F114" s="189">
        <f>'[19]Раз.пос.(Пр.3-26)     '!F114+'[19]Уточнение для Пр.5-26'!F114</f>
        <v>0</v>
      </c>
      <c r="G114" s="189">
        <f>'[19]Раз.пос.(Пр.3-26)     '!G114+'[19]Уточнение для Пр.5-26'!G114</f>
        <v>0</v>
      </c>
      <c r="H114" s="189">
        <f t="shared" si="9"/>
        <v>0</v>
      </c>
      <c r="I114" s="190">
        <v>0</v>
      </c>
      <c r="J114" s="189">
        <v>0</v>
      </c>
      <c r="K114" s="189">
        <v>0</v>
      </c>
      <c r="L114" s="189">
        <v>0</v>
      </c>
      <c r="M114" s="189">
        <f>'[19]Раз.пос.(Пр.3-26)     '!M114+'[19]Уточнение для Пр.5-26'!M114</f>
        <v>0</v>
      </c>
      <c r="N114" s="189">
        <f>'[19]Раз.пос.(Пр.3-26)     '!N114+'[19]Уточнение для Пр.5-26'!N114</f>
        <v>0</v>
      </c>
      <c r="O114" s="186">
        <f t="shared" si="10"/>
        <v>0</v>
      </c>
      <c r="P114" s="189">
        <v>0</v>
      </c>
      <c r="Q114" s="189">
        <v>0</v>
      </c>
      <c r="R114" s="189">
        <f>'[19]Раз.пос.(Пр.3-26)     '!R114+'[19]Уточнение для Пр.5-26'!R114</f>
        <v>0</v>
      </c>
      <c r="S114" s="189">
        <f>'[19]Раз.пос.(Пр.3-26)     '!S114+'[19]Уточнение для Пр.5-26'!S114</f>
        <v>0</v>
      </c>
    </row>
    <row r="115" spans="1:19" x14ac:dyDescent="0.2">
      <c r="A115" s="128">
        <v>102</v>
      </c>
      <c r="B115" s="834" t="s">
        <v>242</v>
      </c>
      <c r="C115" s="31" t="s">
        <v>243</v>
      </c>
      <c r="D115" s="186">
        <f t="shared" si="7"/>
        <v>0</v>
      </c>
      <c r="E115" s="189">
        <f t="shared" si="8"/>
        <v>0</v>
      </c>
      <c r="F115" s="189">
        <f>'[19]Раз.пос.(Пр.3-26)     '!F115+'[19]Уточнение для Пр.5-26'!F115</f>
        <v>0</v>
      </c>
      <c r="G115" s="189">
        <f>'[19]Раз.пос.(Пр.3-26)     '!G115+'[19]Уточнение для Пр.5-26'!G115</f>
        <v>0</v>
      </c>
      <c r="H115" s="189">
        <f t="shared" si="9"/>
        <v>0</v>
      </c>
      <c r="I115" s="190">
        <v>0</v>
      </c>
      <c r="J115" s="189">
        <v>0</v>
      </c>
      <c r="K115" s="189">
        <v>0</v>
      </c>
      <c r="L115" s="189">
        <v>0</v>
      </c>
      <c r="M115" s="189">
        <f>'[19]Раз.пос.(Пр.3-26)     '!M115+'[19]Уточнение для Пр.5-26'!M115</f>
        <v>0</v>
      </c>
      <c r="N115" s="189">
        <f>'[19]Раз.пос.(Пр.3-26)     '!N115+'[19]Уточнение для Пр.5-26'!N115</f>
        <v>0</v>
      </c>
      <c r="O115" s="186">
        <f t="shared" si="10"/>
        <v>0</v>
      </c>
      <c r="P115" s="189">
        <v>0</v>
      </c>
      <c r="Q115" s="189">
        <v>0</v>
      </c>
      <c r="R115" s="189">
        <f>'[19]Раз.пос.(Пр.3-26)     '!R115+'[19]Уточнение для Пр.5-26'!R115</f>
        <v>0</v>
      </c>
      <c r="S115" s="189">
        <f>'[19]Раз.пос.(Пр.3-26)     '!S115+'[19]Уточнение для Пр.5-26'!S115</f>
        <v>0</v>
      </c>
    </row>
    <row r="116" spans="1:19" x14ac:dyDescent="0.2">
      <c r="A116" s="128">
        <v>103</v>
      </c>
      <c r="B116" s="834" t="s">
        <v>244</v>
      </c>
      <c r="C116" s="31" t="s">
        <v>245</v>
      </c>
      <c r="D116" s="186">
        <f t="shared" si="7"/>
        <v>35460</v>
      </c>
      <c r="E116" s="189">
        <f t="shared" si="8"/>
        <v>35460</v>
      </c>
      <c r="F116" s="189">
        <f>'[19]Раз.пос.(Пр.3-26)     '!F116+'[19]Уточнение для Пр.5-26'!F116</f>
        <v>0</v>
      </c>
      <c r="G116" s="189">
        <f>'[19]Раз.пос.(Пр.3-26)     '!G116+'[19]Уточнение для Пр.5-26'!G116</f>
        <v>35460</v>
      </c>
      <c r="H116" s="189">
        <f t="shared" si="9"/>
        <v>0</v>
      </c>
      <c r="I116" s="190">
        <v>0</v>
      </c>
      <c r="J116" s="189">
        <v>0</v>
      </c>
      <c r="K116" s="189">
        <v>0</v>
      </c>
      <c r="L116" s="189">
        <v>0</v>
      </c>
      <c r="M116" s="189">
        <f>'[19]Раз.пос.(Пр.3-26)     '!M116+'[19]Уточнение для Пр.5-26'!M116</f>
        <v>0</v>
      </c>
      <c r="N116" s="189">
        <f>'[19]Раз.пос.(Пр.3-26)     '!N116+'[19]Уточнение для Пр.5-26'!N116</f>
        <v>0</v>
      </c>
      <c r="O116" s="186">
        <f t="shared" si="10"/>
        <v>0</v>
      </c>
      <c r="P116" s="189">
        <v>0</v>
      </c>
      <c r="Q116" s="189">
        <v>0</v>
      </c>
      <c r="R116" s="189">
        <f>'[19]Раз.пос.(Пр.3-26)     '!R116+'[19]Уточнение для Пр.5-26'!R116</f>
        <v>0</v>
      </c>
      <c r="S116" s="189">
        <f>'[19]Раз.пос.(Пр.3-26)     '!S116+'[19]Уточнение для Пр.5-26'!S116</f>
        <v>0</v>
      </c>
    </row>
    <row r="117" spans="1:19" x14ac:dyDescent="0.2">
      <c r="A117" s="128">
        <v>104</v>
      </c>
      <c r="B117" s="132" t="s">
        <v>246</v>
      </c>
      <c r="C117" s="130" t="s">
        <v>247</v>
      </c>
      <c r="D117" s="186">
        <f t="shared" si="7"/>
        <v>0</v>
      </c>
      <c r="E117" s="189">
        <f t="shared" si="8"/>
        <v>0</v>
      </c>
      <c r="F117" s="189">
        <f>'[19]Раз.пос.(Пр.3-26)     '!F117+'[19]Уточнение для Пр.5-26'!F117</f>
        <v>0</v>
      </c>
      <c r="G117" s="189">
        <f>'[19]Раз.пос.(Пр.3-26)     '!G117+'[19]Уточнение для Пр.5-26'!G117</f>
        <v>0</v>
      </c>
      <c r="H117" s="189">
        <f t="shared" si="9"/>
        <v>0</v>
      </c>
      <c r="I117" s="190">
        <v>0</v>
      </c>
      <c r="J117" s="189">
        <v>0</v>
      </c>
      <c r="K117" s="189">
        <v>0</v>
      </c>
      <c r="L117" s="189">
        <v>0</v>
      </c>
      <c r="M117" s="189">
        <f>'[19]Раз.пос.(Пр.3-26)     '!M117+'[19]Уточнение для Пр.5-26'!M117</f>
        <v>0</v>
      </c>
      <c r="N117" s="189">
        <f>'[19]Раз.пос.(Пр.3-26)     '!N117+'[19]Уточнение для Пр.5-26'!N117</f>
        <v>0</v>
      </c>
      <c r="O117" s="186">
        <f t="shared" si="10"/>
        <v>0</v>
      </c>
      <c r="P117" s="189">
        <v>0</v>
      </c>
      <c r="Q117" s="189">
        <v>0</v>
      </c>
      <c r="R117" s="189">
        <f>'[19]Раз.пос.(Пр.3-26)     '!R117+'[19]Уточнение для Пр.5-26'!R117</f>
        <v>0</v>
      </c>
      <c r="S117" s="189">
        <f>'[19]Раз.пос.(Пр.3-26)     '!S117+'[19]Уточнение для Пр.5-26'!S117</f>
        <v>0</v>
      </c>
    </row>
    <row r="118" spans="1:19" x14ac:dyDescent="0.2">
      <c r="A118" s="128">
        <v>105</v>
      </c>
      <c r="B118" s="72" t="s">
        <v>248</v>
      </c>
      <c r="C118" s="31" t="s">
        <v>249</v>
      </c>
      <c r="D118" s="186">
        <f t="shared" si="7"/>
        <v>0</v>
      </c>
      <c r="E118" s="189">
        <f t="shared" si="8"/>
        <v>0</v>
      </c>
      <c r="F118" s="189">
        <f>'[19]Раз.пос.(Пр.3-26)     '!F118+'[19]Уточнение для Пр.5-26'!F118</f>
        <v>0</v>
      </c>
      <c r="G118" s="189">
        <f>'[19]Раз.пос.(Пр.3-26)     '!G118+'[19]Уточнение для Пр.5-26'!G118</f>
        <v>0</v>
      </c>
      <c r="H118" s="189">
        <f t="shared" si="9"/>
        <v>0</v>
      </c>
      <c r="I118" s="190">
        <v>0</v>
      </c>
      <c r="J118" s="189">
        <v>0</v>
      </c>
      <c r="K118" s="189">
        <v>0</v>
      </c>
      <c r="L118" s="189">
        <v>0</v>
      </c>
      <c r="M118" s="189">
        <f>'[19]Раз.пос.(Пр.3-26)     '!M118+'[19]Уточнение для Пр.5-26'!M118</f>
        <v>0</v>
      </c>
      <c r="N118" s="189">
        <f>'[19]Раз.пос.(Пр.3-26)     '!N118+'[19]Уточнение для Пр.5-26'!N118</f>
        <v>0</v>
      </c>
      <c r="O118" s="186">
        <f t="shared" si="10"/>
        <v>0</v>
      </c>
      <c r="P118" s="189">
        <v>0</v>
      </c>
      <c r="Q118" s="189">
        <v>0</v>
      </c>
      <c r="R118" s="189">
        <f>'[19]Раз.пос.(Пр.3-26)     '!R118+'[19]Уточнение для Пр.5-26'!R118</f>
        <v>0</v>
      </c>
      <c r="S118" s="189">
        <f>'[19]Раз.пос.(Пр.3-26)     '!S118+'[19]Уточнение для Пр.5-26'!S118</f>
        <v>0</v>
      </c>
    </row>
    <row r="119" spans="1:19" x14ac:dyDescent="0.2">
      <c r="A119" s="128">
        <v>106</v>
      </c>
      <c r="B119" s="834" t="s">
        <v>250</v>
      </c>
      <c r="C119" s="31" t="s">
        <v>251</v>
      </c>
      <c r="D119" s="186">
        <f t="shared" si="7"/>
        <v>0</v>
      </c>
      <c r="E119" s="189">
        <f t="shared" si="8"/>
        <v>0</v>
      </c>
      <c r="F119" s="189">
        <f>'[19]Раз.пос.(Пр.3-26)     '!F119+'[19]Уточнение для Пр.5-26'!F119</f>
        <v>0</v>
      </c>
      <c r="G119" s="189">
        <f>'[19]Раз.пос.(Пр.3-26)     '!G119+'[19]Уточнение для Пр.5-26'!G119</f>
        <v>0</v>
      </c>
      <c r="H119" s="189">
        <f t="shared" si="9"/>
        <v>0</v>
      </c>
      <c r="I119" s="190">
        <v>0</v>
      </c>
      <c r="J119" s="189">
        <v>0</v>
      </c>
      <c r="K119" s="189">
        <v>0</v>
      </c>
      <c r="L119" s="189">
        <v>0</v>
      </c>
      <c r="M119" s="189">
        <f>'[19]Раз.пос.(Пр.3-26)     '!M119+'[19]Уточнение для Пр.5-26'!M119</f>
        <v>0</v>
      </c>
      <c r="N119" s="189">
        <f>'[19]Раз.пос.(Пр.3-26)     '!N119+'[19]Уточнение для Пр.5-26'!N119</f>
        <v>0</v>
      </c>
      <c r="O119" s="186">
        <f t="shared" si="10"/>
        <v>0</v>
      </c>
      <c r="P119" s="189">
        <v>0</v>
      </c>
      <c r="Q119" s="189">
        <v>0</v>
      </c>
      <c r="R119" s="189">
        <f>'[19]Раз.пос.(Пр.3-26)     '!R119+'[19]Уточнение для Пр.5-26'!R119</f>
        <v>0</v>
      </c>
      <c r="S119" s="189">
        <f>'[19]Раз.пос.(Пр.3-26)     '!S119+'[19]Уточнение для Пр.5-26'!S119</f>
        <v>0</v>
      </c>
    </row>
    <row r="120" spans="1:19" x14ac:dyDescent="0.2">
      <c r="A120" s="128">
        <v>107</v>
      </c>
      <c r="B120" s="71" t="s">
        <v>252</v>
      </c>
      <c r="C120" s="133" t="s">
        <v>253</v>
      </c>
      <c r="D120" s="186">
        <f t="shared" si="7"/>
        <v>0</v>
      </c>
      <c r="E120" s="189">
        <f t="shared" si="8"/>
        <v>0</v>
      </c>
      <c r="F120" s="189">
        <f>'[19]Раз.пос.(Пр.3-26)     '!F120+'[19]Уточнение для Пр.5-26'!F120</f>
        <v>0</v>
      </c>
      <c r="G120" s="189">
        <f>'[19]Раз.пос.(Пр.3-26)     '!G120+'[19]Уточнение для Пр.5-26'!G120</f>
        <v>0</v>
      </c>
      <c r="H120" s="189">
        <f t="shared" si="9"/>
        <v>0</v>
      </c>
      <c r="I120" s="190">
        <v>0</v>
      </c>
      <c r="J120" s="189">
        <v>0</v>
      </c>
      <c r="K120" s="189">
        <v>0</v>
      </c>
      <c r="L120" s="189">
        <v>0</v>
      </c>
      <c r="M120" s="189">
        <f>'[19]Раз.пос.(Пр.3-26)     '!M120+'[19]Уточнение для Пр.5-26'!M120</f>
        <v>0</v>
      </c>
      <c r="N120" s="189">
        <f>'[19]Раз.пос.(Пр.3-26)     '!N120+'[19]Уточнение для Пр.5-26'!N120</f>
        <v>0</v>
      </c>
      <c r="O120" s="186">
        <f t="shared" si="10"/>
        <v>0</v>
      </c>
      <c r="P120" s="189">
        <v>0</v>
      </c>
      <c r="Q120" s="189">
        <v>0</v>
      </c>
      <c r="R120" s="189">
        <f>'[19]Раз.пос.(Пр.3-26)     '!R120+'[19]Уточнение для Пр.5-26'!R120</f>
        <v>0</v>
      </c>
      <c r="S120" s="189">
        <f>'[19]Раз.пос.(Пр.3-26)     '!S120+'[19]Уточнение для Пр.5-26'!S120</f>
        <v>0</v>
      </c>
    </row>
    <row r="121" spans="1:19" x14ac:dyDescent="0.2">
      <c r="A121" s="128">
        <v>108</v>
      </c>
      <c r="B121" s="834" t="s">
        <v>254</v>
      </c>
      <c r="C121" s="31" t="s">
        <v>255</v>
      </c>
      <c r="D121" s="186">
        <f t="shared" si="7"/>
        <v>0</v>
      </c>
      <c r="E121" s="189">
        <f t="shared" si="8"/>
        <v>0</v>
      </c>
      <c r="F121" s="189">
        <f>'[19]Раз.пос.(Пр.3-26)     '!F121+'[19]Уточнение для Пр.5-26'!F121</f>
        <v>0</v>
      </c>
      <c r="G121" s="189">
        <f>'[19]Раз.пос.(Пр.3-26)     '!G121+'[19]Уточнение для Пр.5-26'!G121</f>
        <v>0</v>
      </c>
      <c r="H121" s="189">
        <f t="shared" si="9"/>
        <v>0</v>
      </c>
      <c r="I121" s="190">
        <v>0</v>
      </c>
      <c r="J121" s="189">
        <v>0</v>
      </c>
      <c r="K121" s="189">
        <v>0</v>
      </c>
      <c r="L121" s="189">
        <v>0</v>
      </c>
      <c r="M121" s="189">
        <f>'[19]Раз.пос.(Пр.3-26)     '!M121+'[19]Уточнение для Пр.5-26'!M121</f>
        <v>0</v>
      </c>
      <c r="N121" s="189">
        <f>'[19]Раз.пос.(Пр.3-26)     '!N121+'[19]Уточнение для Пр.5-26'!N121</f>
        <v>0</v>
      </c>
      <c r="O121" s="186">
        <f t="shared" si="10"/>
        <v>0</v>
      </c>
      <c r="P121" s="189">
        <v>0</v>
      </c>
      <c r="Q121" s="189">
        <v>0</v>
      </c>
      <c r="R121" s="189">
        <f>'[19]Раз.пос.(Пр.3-26)     '!R121+'[19]Уточнение для Пр.5-26'!R121</f>
        <v>0</v>
      </c>
      <c r="S121" s="189">
        <f>'[19]Раз.пос.(Пр.3-26)     '!S121+'[19]Уточнение для Пр.5-26'!S121</f>
        <v>0</v>
      </c>
    </row>
    <row r="122" spans="1:19" x14ac:dyDescent="0.2">
      <c r="A122" s="128">
        <v>109</v>
      </c>
      <c r="B122" s="72" t="s">
        <v>256</v>
      </c>
      <c r="C122" s="31" t="s">
        <v>257</v>
      </c>
      <c r="D122" s="186">
        <f t="shared" si="7"/>
        <v>0</v>
      </c>
      <c r="E122" s="189">
        <f t="shared" si="8"/>
        <v>0</v>
      </c>
      <c r="F122" s="189">
        <f>'[19]Раз.пос.(Пр.3-26)     '!F122+'[19]Уточнение для Пр.5-26'!F122</f>
        <v>0</v>
      </c>
      <c r="G122" s="189">
        <f>'[19]Раз.пос.(Пр.3-26)     '!G122+'[19]Уточнение для Пр.5-26'!G122</f>
        <v>0</v>
      </c>
      <c r="H122" s="189">
        <f t="shared" si="9"/>
        <v>0</v>
      </c>
      <c r="I122" s="190">
        <v>0</v>
      </c>
      <c r="J122" s="189">
        <v>0</v>
      </c>
      <c r="K122" s="189">
        <v>0</v>
      </c>
      <c r="L122" s="189">
        <v>0</v>
      </c>
      <c r="M122" s="189">
        <f>'[19]Раз.пос.(Пр.3-26)     '!M122+'[19]Уточнение для Пр.5-26'!M122</f>
        <v>0</v>
      </c>
      <c r="N122" s="189">
        <f>'[19]Раз.пос.(Пр.3-26)     '!N122+'[19]Уточнение для Пр.5-26'!N122</f>
        <v>0</v>
      </c>
      <c r="O122" s="186">
        <f t="shared" si="10"/>
        <v>0</v>
      </c>
      <c r="P122" s="189">
        <v>0</v>
      </c>
      <c r="Q122" s="189">
        <v>0</v>
      </c>
      <c r="R122" s="189">
        <f>'[19]Раз.пос.(Пр.3-26)     '!R122+'[19]Уточнение для Пр.5-26'!R122</f>
        <v>0</v>
      </c>
      <c r="S122" s="189">
        <f>'[19]Раз.пос.(Пр.3-26)     '!S122+'[19]Уточнение для Пр.5-26'!S122</f>
        <v>0</v>
      </c>
    </row>
    <row r="123" spans="1:19" x14ac:dyDescent="0.2">
      <c r="A123" s="128">
        <v>110</v>
      </c>
      <c r="B123" s="71" t="s">
        <v>258</v>
      </c>
      <c r="C123" s="31" t="s">
        <v>259</v>
      </c>
      <c r="D123" s="186">
        <f t="shared" si="7"/>
        <v>0</v>
      </c>
      <c r="E123" s="189">
        <f t="shared" si="8"/>
        <v>0</v>
      </c>
      <c r="F123" s="189">
        <f>'[19]Раз.пос.(Пр.3-26)     '!F123+'[19]Уточнение для Пр.5-26'!F123</f>
        <v>0</v>
      </c>
      <c r="G123" s="189">
        <f>'[19]Раз.пос.(Пр.3-26)     '!G123+'[19]Уточнение для Пр.5-26'!G123</f>
        <v>0</v>
      </c>
      <c r="H123" s="189">
        <f t="shared" si="9"/>
        <v>0</v>
      </c>
      <c r="I123" s="190">
        <v>0</v>
      </c>
      <c r="J123" s="189">
        <v>0</v>
      </c>
      <c r="K123" s="189">
        <v>0</v>
      </c>
      <c r="L123" s="189">
        <v>0</v>
      </c>
      <c r="M123" s="189">
        <f>'[19]Раз.пос.(Пр.3-26)     '!M123+'[19]Уточнение для Пр.5-26'!M123</f>
        <v>0</v>
      </c>
      <c r="N123" s="189">
        <f>'[19]Раз.пос.(Пр.3-26)     '!N123+'[19]Уточнение для Пр.5-26'!N123</f>
        <v>0</v>
      </c>
      <c r="O123" s="186">
        <f t="shared" si="10"/>
        <v>0</v>
      </c>
      <c r="P123" s="189">
        <v>0</v>
      </c>
      <c r="Q123" s="189">
        <v>0</v>
      </c>
      <c r="R123" s="189">
        <f>'[19]Раз.пос.(Пр.3-26)     '!R123+'[19]Уточнение для Пр.5-26'!R123</f>
        <v>0</v>
      </c>
      <c r="S123" s="189">
        <f>'[19]Раз.пос.(Пр.3-26)     '!S123+'[19]Уточнение для Пр.5-26'!S123</f>
        <v>0</v>
      </c>
    </row>
    <row r="124" spans="1:19" x14ac:dyDescent="0.2">
      <c r="A124" s="128">
        <v>111</v>
      </c>
      <c r="B124" s="657" t="s">
        <v>551</v>
      </c>
      <c r="C124" s="658" t="s">
        <v>552</v>
      </c>
      <c r="D124" s="186">
        <f t="shared" si="7"/>
        <v>0</v>
      </c>
      <c r="E124" s="189">
        <f t="shared" si="8"/>
        <v>0</v>
      </c>
      <c r="F124" s="189">
        <f>'[19]Раз.пос.(Пр.3-26)     '!F124+'[19]Уточнение для Пр.5-26'!F124</f>
        <v>0</v>
      </c>
      <c r="G124" s="189">
        <f>'[19]Раз.пос.(Пр.3-26)     '!G124+'[19]Уточнение для Пр.5-26'!G124</f>
        <v>0</v>
      </c>
      <c r="H124" s="189">
        <f t="shared" si="9"/>
        <v>0</v>
      </c>
      <c r="I124" s="190">
        <v>0</v>
      </c>
      <c r="J124" s="189">
        <v>0</v>
      </c>
      <c r="K124" s="189">
        <v>0</v>
      </c>
      <c r="L124" s="189">
        <v>0</v>
      </c>
      <c r="M124" s="189">
        <f>'[19]Раз.пос.(Пр.3-26)     '!M124+'[19]Уточнение для Пр.5-26'!M124</f>
        <v>0</v>
      </c>
      <c r="N124" s="189">
        <f>'[19]Раз.пос.(Пр.3-26)     '!N124+'[19]Уточнение для Пр.5-26'!N124</f>
        <v>0</v>
      </c>
      <c r="O124" s="186">
        <f t="shared" si="10"/>
        <v>0</v>
      </c>
      <c r="P124" s="189">
        <v>0</v>
      </c>
      <c r="Q124" s="189">
        <v>0</v>
      </c>
      <c r="R124" s="189">
        <f>'[19]Раз.пос.(Пр.3-26)     '!R124+'[19]Уточнение для Пр.5-26'!R124</f>
        <v>0</v>
      </c>
      <c r="S124" s="189">
        <f>'[19]Раз.пос.(Пр.3-26)     '!S124+'[19]Уточнение для Пр.5-26'!S124</f>
        <v>0</v>
      </c>
    </row>
    <row r="125" spans="1:19" x14ac:dyDescent="0.2">
      <c r="A125" s="128">
        <v>112</v>
      </c>
      <c r="B125" s="72" t="s">
        <v>260</v>
      </c>
      <c r="C125" s="31" t="s">
        <v>261</v>
      </c>
      <c r="D125" s="186">
        <f t="shared" si="7"/>
        <v>0</v>
      </c>
      <c r="E125" s="189">
        <f t="shared" si="8"/>
        <v>0</v>
      </c>
      <c r="F125" s="189">
        <f>'[19]Раз.пос.(Пр.3-26)     '!F125+'[19]Уточнение для Пр.5-26'!F125</f>
        <v>0</v>
      </c>
      <c r="G125" s="189">
        <f>'[19]Раз.пос.(Пр.3-26)     '!G125+'[19]Уточнение для Пр.5-26'!G125</f>
        <v>0</v>
      </c>
      <c r="H125" s="189">
        <f t="shared" si="9"/>
        <v>0</v>
      </c>
      <c r="I125" s="190">
        <v>0</v>
      </c>
      <c r="J125" s="189">
        <v>0</v>
      </c>
      <c r="K125" s="189">
        <v>0</v>
      </c>
      <c r="L125" s="189">
        <v>0</v>
      </c>
      <c r="M125" s="192">
        <f>'[19]Раз.пос.(Пр.3-26)     '!M125+'[19]Уточнение для Пр.5-26'!M125</f>
        <v>0</v>
      </c>
      <c r="N125" s="192">
        <f>'[19]Раз.пос.(Пр.3-26)     '!N125+'[19]Уточнение для Пр.5-26'!N125</f>
        <v>0</v>
      </c>
      <c r="O125" s="186">
        <f t="shared" si="10"/>
        <v>0</v>
      </c>
      <c r="P125" s="189">
        <v>0</v>
      </c>
      <c r="Q125" s="189">
        <v>0</v>
      </c>
      <c r="R125" s="189">
        <f>'[19]Раз.пос.(Пр.3-26)     '!R125+'[19]Уточнение для Пр.5-26'!R125</f>
        <v>0</v>
      </c>
      <c r="S125" s="189">
        <f>'[19]Раз.пос.(Пр.3-26)     '!S125+'[19]Уточнение для Пр.5-26'!S125</f>
        <v>0</v>
      </c>
    </row>
    <row r="126" spans="1:19" x14ac:dyDescent="0.2">
      <c r="A126" s="128">
        <v>113</v>
      </c>
      <c r="B126" s="834" t="s">
        <v>262</v>
      </c>
      <c r="C126" s="31" t="s">
        <v>263</v>
      </c>
      <c r="D126" s="186">
        <f t="shared" si="7"/>
        <v>9720</v>
      </c>
      <c r="E126" s="189">
        <f t="shared" si="8"/>
        <v>9720</v>
      </c>
      <c r="F126" s="189">
        <f>'[19]Раз.пос.(Пр.3-26)     '!F126+'[19]Уточнение для Пр.5-26'!F126</f>
        <v>0</v>
      </c>
      <c r="G126" s="189">
        <f>'[19]Раз.пос.(Пр.3-26)     '!G126+'[19]Уточнение для Пр.5-26'!G126</f>
        <v>9720</v>
      </c>
      <c r="H126" s="189">
        <f t="shared" si="9"/>
        <v>0</v>
      </c>
      <c r="I126" s="190">
        <v>0</v>
      </c>
      <c r="J126" s="189">
        <v>0</v>
      </c>
      <c r="K126" s="189">
        <v>0</v>
      </c>
      <c r="L126" s="189">
        <v>0</v>
      </c>
      <c r="M126" s="192">
        <f>'[19]Раз.пос.(Пр.3-26)     '!M126+'[19]Уточнение для Пр.5-26'!M126</f>
        <v>0</v>
      </c>
      <c r="N126" s="192">
        <f>'[19]Раз.пос.(Пр.3-26)     '!N126+'[19]Уточнение для Пр.5-26'!N126</f>
        <v>0</v>
      </c>
      <c r="O126" s="186">
        <f t="shared" si="10"/>
        <v>0</v>
      </c>
      <c r="P126" s="189">
        <v>0</v>
      </c>
      <c r="Q126" s="189">
        <v>0</v>
      </c>
      <c r="R126" s="189">
        <f>'[19]Раз.пос.(Пр.3-26)     '!R126+'[19]Уточнение для Пр.5-26'!R126</f>
        <v>0</v>
      </c>
      <c r="S126" s="189">
        <f>'[19]Раз.пос.(Пр.3-26)     '!S126+'[19]Уточнение для Пр.5-26'!S126</f>
        <v>0</v>
      </c>
    </row>
    <row r="127" spans="1:19" ht="24" x14ac:dyDescent="0.2">
      <c r="A127" s="128">
        <v>114</v>
      </c>
      <c r="B127" s="834" t="s">
        <v>264</v>
      </c>
      <c r="C127" s="134" t="s">
        <v>265</v>
      </c>
      <c r="D127" s="186">
        <f t="shared" si="7"/>
        <v>0</v>
      </c>
      <c r="E127" s="189">
        <f t="shared" si="8"/>
        <v>0</v>
      </c>
      <c r="F127" s="189">
        <f>'[19]Раз.пос.(Пр.3-26)     '!F127+'[19]Уточнение для Пр.5-26'!F127</f>
        <v>0</v>
      </c>
      <c r="G127" s="189">
        <f>'[19]Раз.пос.(Пр.3-26)     '!G127+'[19]Уточнение для Пр.5-26'!G127</f>
        <v>0</v>
      </c>
      <c r="H127" s="189">
        <f t="shared" si="9"/>
        <v>0</v>
      </c>
      <c r="I127" s="190">
        <v>0</v>
      </c>
      <c r="J127" s="189">
        <v>0</v>
      </c>
      <c r="K127" s="189">
        <v>0</v>
      </c>
      <c r="L127" s="189">
        <v>0</v>
      </c>
      <c r="M127" s="192">
        <f>'[19]Раз.пос.(Пр.3-26)     '!M127+'[19]Уточнение для Пр.5-26'!M127</f>
        <v>0</v>
      </c>
      <c r="N127" s="192">
        <f>'[19]Раз.пос.(Пр.3-26)     '!N127+'[19]Уточнение для Пр.5-26'!N127</f>
        <v>0</v>
      </c>
      <c r="O127" s="186">
        <v>0</v>
      </c>
      <c r="P127" s="189">
        <v>0</v>
      </c>
      <c r="Q127" s="189">
        <v>0</v>
      </c>
      <c r="R127" s="189">
        <f>'[19]Раз.пос.(Пр.3-26)     '!R127+'[19]Уточнение для Пр.5-26'!R127</f>
        <v>0</v>
      </c>
      <c r="S127" s="189">
        <f>'[19]Раз.пос.(Пр.3-26)     '!S127+'[19]Уточнение для Пр.5-26'!S127</f>
        <v>0</v>
      </c>
    </row>
    <row r="128" spans="1:19" x14ac:dyDescent="0.2">
      <c r="A128" s="128">
        <v>115</v>
      </c>
      <c r="B128" s="834" t="s">
        <v>266</v>
      </c>
      <c r="C128" s="31" t="s">
        <v>267</v>
      </c>
      <c r="D128" s="186">
        <f t="shared" si="7"/>
        <v>236713</v>
      </c>
      <c r="E128" s="189">
        <f t="shared" si="8"/>
        <v>0</v>
      </c>
      <c r="F128" s="189">
        <f>'[19]Раз.пос.(Пр.3-26)     '!F128+'[19]Уточнение для Пр.5-26'!F128</f>
        <v>0</v>
      </c>
      <c r="G128" s="189">
        <f>'[19]Раз.пос.(Пр.3-26)     '!G128+'[19]Уточнение для Пр.5-26'!G128</f>
        <v>0</v>
      </c>
      <c r="H128" s="189">
        <f t="shared" si="9"/>
        <v>0</v>
      </c>
      <c r="I128" s="190">
        <v>0</v>
      </c>
      <c r="J128" s="189">
        <v>0</v>
      </c>
      <c r="K128" s="189">
        <v>0</v>
      </c>
      <c r="L128" s="189">
        <v>0</v>
      </c>
      <c r="M128" s="192">
        <f>'[19]Раз.пос.(Пр.3-26)     '!M128+'[19]Уточнение для Пр.5-26'!M128</f>
        <v>0</v>
      </c>
      <c r="N128" s="192">
        <f>'[19]Раз.пос.(Пр.3-26)     '!N128+'[19]Уточнение для Пр.5-26'!N128</f>
        <v>0</v>
      </c>
      <c r="O128" s="186">
        <f t="shared" si="10"/>
        <v>226713</v>
      </c>
      <c r="P128" s="189">
        <v>0</v>
      </c>
      <c r="Q128" s="189">
        <v>226713</v>
      </c>
      <c r="R128" s="189">
        <f>'[19]Раз.пос.(Пр.3-26)     '!R128+'[19]Уточнение для Пр.5-26'!R128</f>
        <v>0</v>
      </c>
      <c r="S128" s="189">
        <f>'[19]Раз.пос.(Пр.3-26)     '!S128+'[19]Уточнение для Пр.5-26'!S128</f>
        <v>10000</v>
      </c>
    </row>
    <row r="129" spans="1:19" x14ac:dyDescent="0.2">
      <c r="A129" s="128">
        <v>116</v>
      </c>
      <c r="B129" s="834" t="s">
        <v>268</v>
      </c>
      <c r="C129" s="31" t="s">
        <v>269</v>
      </c>
      <c r="D129" s="186">
        <f t="shared" si="7"/>
        <v>151340</v>
      </c>
      <c r="E129" s="189">
        <f t="shared" si="8"/>
        <v>0</v>
      </c>
      <c r="F129" s="189">
        <f>'[19]Раз.пос.(Пр.3-26)     '!F129+'[19]Уточнение для Пр.5-26'!F129</f>
        <v>0</v>
      </c>
      <c r="G129" s="189">
        <f>'[19]Раз.пос.(Пр.3-26)     '!G129+'[19]Уточнение для Пр.5-26'!G129</f>
        <v>0</v>
      </c>
      <c r="H129" s="189">
        <f t="shared" si="9"/>
        <v>0</v>
      </c>
      <c r="I129" s="190">
        <v>0</v>
      </c>
      <c r="J129" s="189">
        <v>0</v>
      </c>
      <c r="K129" s="189">
        <v>0</v>
      </c>
      <c r="L129" s="189">
        <v>0</v>
      </c>
      <c r="M129" s="192">
        <f>'[19]Раз.пос.(Пр.3-26)     '!M129+'[19]Уточнение для Пр.5-26'!M129</f>
        <v>0</v>
      </c>
      <c r="N129" s="192">
        <f>'[19]Раз.пос.(Пр.3-26)     '!N129+'[19]Уточнение для Пр.5-26'!N129</f>
        <v>0</v>
      </c>
      <c r="O129" s="186">
        <f t="shared" si="10"/>
        <v>151340</v>
      </c>
      <c r="P129" s="189">
        <v>0</v>
      </c>
      <c r="Q129" s="189">
        <v>151340</v>
      </c>
      <c r="R129" s="189">
        <f>'[19]Раз.пос.(Пр.3-26)     '!R129+'[19]Уточнение для Пр.5-26'!R129</f>
        <v>0</v>
      </c>
      <c r="S129" s="189">
        <f>'[19]Раз.пос.(Пр.3-26)     '!S129+'[19]Уточнение для Пр.5-26'!S129</f>
        <v>0</v>
      </c>
    </row>
    <row r="130" spans="1:19" x14ac:dyDescent="0.2">
      <c r="A130" s="128">
        <v>117</v>
      </c>
      <c r="B130" s="834" t="s">
        <v>270</v>
      </c>
      <c r="C130" s="31" t="s">
        <v>271</v>
      </c>
      <c r="D130" s="186">
        <f t="shared" si="7"/>
        <v>116425</v>
      </c>
      <c r="E130" s="189">
        <f t="shared" si="8"/>
        <v>0</v>
      </c>
      <c r="F130" s="189">
        <f>'[19]Раз.пос.(Пр.3-26)     '!F130+'[19]Уточнение для Пр.5-26'!F130</f>
        <v>0</v>
      </c>
      <c r="G130" s="189">
        <f>'[19]Раз.пос.(Пр.3-26)     '!G130+'[19]Уточнение для Пр.5-26'!G130</f>
        <v>0</v>
      </c>
      <c r="H130" s="189">
        <f t="shared" si="9"/>
        <v>0</v>
      </c>
      <c r="I130" s="190">
        <v>0</v>
      </c>
      <c r="J130" s="189">
        <v>0</v>
      </c>
      <c r="K130" s="189">
        <v>0</v>
      </c>
      <c r="L130" s="189">
        <v>0</v>
      </c>
      <c r="M130" s="192">
        <f>'[19]Раз.пос.(Пр.3-26)     '!M130+'[19]Уточнение для Пр.5-26'!M130</f>
        <v>0</v>
      </c>
      <c r="N130" s="192">
        <f>'[19]Раз.пос.(Пр.3-26)     '!N130+'[19]Уточнение для Пр.5-26'!N130</f>
        <v>0</v>
      </c>
      <c r="O130" s="186">
        <f t="shared" si="10"/>
        <v>116425</v>
      </c>
      <c r="P130" s="189">
        <v>0</v>
      </c>
      <c r="Q130" s="189">
        <f>116095+330</f>
        <v>116425</v>
      </c>
      <c r="R130" s="189">
        <f>'[19]Раз.пос.(Пр.3-26)     '!R130+'[19]Уточнение для Пр.5-26'!R130</f>
        <v>330</v>
      </c>
      <c r="S130" s="189">
        <f>'[19]Раз.пос.(Пр.3-26)     '!S130+'[19]Уточнение для Пр.5-26'!S130</f>
        <v>0</v>
      </c>
    </row>
    <row r="131" spans="1:19" x14ac:dyDescent="0.2">
      <c r="A131" s="128">
        <v>118</v>
      </c>
      <c r="B131" s="71" t="s">
        <v>272</v>
      </c>
      <c r="C131" s="31" t="s">
        <v>273</v>
      </c>
      <c r="D131" s="186">
        <f t="shared" si="7"/>
        <v>124548</v>
      </c>
      <c r="E131" s="189">
        <f t="shared" si="8"/>
        <v>0</v>
      </c>
      <c r="F131" s="189">
        <f>'[19]Раз.пос.(Пр.3-26)     '!F131+'[19]Уточнение для Пр.5-26'!F131</f>
        <v>0</v>
      </c>
      <c r="G131" s="189">
        <f>'[19]Раз.пос.(Пр.3-26)     '!G131+'[19]Уточнение для Пр.5-26'!G131</f>
        <v>0</v>
      </c>
      <c r="H131" s="189">
        <f t="shared" si="9"/>
        <v>0</v>
      </c>
      <c r="I131" s="190">
        <v>0</v>
      </c>
      <c r="J131" s="186">
        <v>0</v>
      </c>
      <c r="K131" s="189">
        <v>0</v>
      </c>
      <c r="L131" s="189">
        <v>0</v>
      </c>
      <c r="M131" s="192">
        <f>'[19]Раз.пос.(Пр.3-26)     '!M131+'[19]Уточнение для Пр.5-26'!M131</f>
        <v>0</v>
      </c>
      <c r="N131" s="192">
        <f>'[19]Раз.пос.(Пр.3-26)     '!N131+'[19]Уточнение для Пр.5-26'!N131</f>
        <v>0</v>
      </c>
      <c r="O131" s="186">
        <f t="shared" si="10"/>
        <v>124548</v>
      </c>
      <c r="P131" s="189">
        <v>2319</v>
      </c>
      <c r="Q131" s="189">
        <v>122229</v>
      </c>
      <c r="R131" s="189">
        <f>'[19]Раз.пос.(Пр.3-26)     '!R131+'[19]Уточнение для Пр.5-26'!R131</f>
        <v>0</v>
      </c>
      <c r="S131" s="189">
        <f>'[19]Раз.пос.(Пр.3-26)     '!S131+'[19]Уточнение для Пр.5-26'!S131</f>
        <v>0</v>
      </c>
    </row>
    <row r="132" spans="1:19" x14ac:dyDescent="0.2">
      <c r="A132" s="128">
        <v>119</v>
      </c>
      <c r="B132" s="71" t="s">
        <v>274</v>
      </c>
      <c r="C132" s="31" t="s">
        <v>275</v>
      </c>
      <c r="D132" s="186">
        <f t="shared" si="7"/>
        <v>97492</v>
      </c>
      <c r="E132" s="189">
        <f t="shared" si="8"/>
        <v>10366</v>
      </c>
      <c r="F132" s="189">
        <f>'[19]Раз.пос.(Пр.3-26)     '!F132+'[19]Уточнение для Пр.5-26'!F132</f>
        <v>0</v>
      </c>
      <c r="G132" s="189">
        <f>'[19]Раз.пос.(Пр.3-26)     '!G132+'[19]Уточнение для Пр.5-26'!G132</f>
        <v>10366</v>
      </c>
      <c r="H132" s="189">
        <f t="shared" si="9"/>
        <v>0</v>
      </c>
      <c r="I132" s="190">
        <v>0</v>
      </c>
      <c r="J132" s="189">
        <v>0</v>
      </c>
      <c r="K132" s="189">
        <v>0</v>
      </c>
      <c r="L132" s="189">
        <v>0</v>
      </c>
      <c r="M132" s="192">
        <f>'[19]Раз.пос.(Пр.3-26)     '!M132+'[19]Уточнение для Пр.5-26'!M132</f>
        <v>0</v>
      </c>
      <c r="N132" s="192">
        <f>'[19]Раз.пос.(Пр.3-26)     '!N132+'[19]Уточнение для Пр.5-26'!N132</f>
        <v>0</v>
      </c>
      <c r="O132" s="186">
        <f t="shared" si="10"/>
        <v>87126</v>
      </c>
      <c r="P132" s="189">
        <v>0</v>
      </c>
      <c r="Q132" s="189">
        <v>87126</v>
      </c>
      <c r="R132" s="189">
        <f>'[19]Раз.пос.(Пр.3-26)     '!R132+'[19]Уточнение для Пр.5-26'!R132</f>
        <v>0</v>
      </c>
      <c r="S132" s="189">
        <f>'[19]Раз.пос.(Пр.3-26)     '!S132+'[19]Уточнение для Пр.5-26'!S132</f>
        <v>0</v>
      </c>
    </row>
    <row r="133" spans="1:19" x14ac:dyDescent="0.2">
      <c r="A133" s="128">
        <v>120</v>
      </c>
      <c r="B133" s="71" t="s">
        <v>276</v>
      </c>
      <c r="C133" s="31" t="s">
        <v>277</v>
      </c>
      <c r="D133" s="186">
        <f t="shared" si="7"/>
        <v>59180</v>
      </c>
      <c r="E133" s="189">
        <f t="shared" si="8"/>
        <v>47180</v>
      </c>
      <c r="F133" s="189">
        <f>'[19]Раз.пос.(Пр.3-26)     '!F133+'[19]Уточнение для Пр.5-26'!F133</f>
        <v>0</v>
      </c>
      <c r="G133" s="189">
        <f>'[19]Раз.пос.(Пр.3-26)     '!G133+'[19]Уточнение для Пр.5-26'!G133</f>
        <v>47180</v>
      </c>
      <c r="H133" s="189">
        <f t="shared" si="9"/>
        <v>0</v>
      </c>
      <c r="I133" s="190">
        <v>0</v>
      </c>
      <c r="J133" s="189">
        <v>0</v>
      </c>
      <c r="K133" s="189">
        <v>0</v>
      </c>
      <c r="L133" s="189">
        <v>0</v>
      </c>
      <c r="M133" s="192">
        <f>'[19]Раз.пос.(Пр.3-26)     '!M133+'[19]Уточнение для Пр.5-26'!M133</f>
        <v>0</v>
      </c>
      <c r="N133" s="192">
        <f>'[19]Раз.пос.(Пр.3-26)     '!N133+'[19]Уточнение для Пр.5-26'!N133</f>
        <v>0</v>
      </c>
      <c r="O133" s="186">
        <f t="shared" si="10"/>
        <v>12000</v>
      </c>
      <c r="P133" s="189">
        <v>0</v>
      </c>
      <c r="Q133" s="189">
        <v>12000</v>
      </c>
      <c r="R133" s="189">
        <f>'[19]Раз.пос.(Пр.3-26)     '!R133+'[19]Уточнение для Пр.5-26'!R133</f>
        <v>0</v>
      </c>
      <c r="S133" s="189">
        <f>'[19]Раз.пос.(Пр.3-26)     '!S133+'[19]Уточнение для Пр.5-26'!S133</f>
        <v>0</v>
      </c>
    </row>
    <row r="134" spans="1:19" x14ac:dyDescent="0.2">
      <c r="A134" s="128">
        <v>121</v>
      </c>
      <c r="B134" s="834" t="s">
        <v>278</v>
      </c>
      <c r="C134" s="31" t="s">
        <v>279</v>
      </c>
      <c r="D134" s="186">
        <f t="shared" si="7"/>
        <v>90176</v>
      </c>
      <c r="E134" s="189">
        <f t="shared" si="8"/>
        <v>0</v>
      </c>
      <c r="F134" s="189">
        <f>'[19]Раз.пос.(Пр.3-26)     '!F134+'[19]Уточнение для Пр.5-26'!F134</f>
        <v>0</v>
      </c>
      <c r="G134" s="189">
        <f>'[19]Раз.пос.(Пр.3-26)     '!G134+'[19]Уточнение для Пр.5-26'!G134</f>
        <v>0</v>
      </c>
      <c r="H134" s="189">
        <f t="shared" si="9"/>
        <v>0</v>
      </c>
      <c r="I134" s="190">
        <v>0</v>
      </c>
      <c r="J134" s="189">
        <v>0</v>
      </c>
      <c r="K134" s="189">
        <v>0</v>
      </c>
      <c r="L134" s="189">
        <v>0</v>
      </c>
      <c r="M134" s="192">
        <f>'[19]Раз.пос.(Пр.3-26)     '!M134+'[19]Уточнение для Пр.5-26'!M134</f>
        <v>0</v>
      </c>
      <c r="N134" s="192">
        <f>'[19]Раз.пос.(Пр.3-26)     '!N134+'[19]Уточнение для Пр.5-26'!N134</f>
        <v>0</v>
      </c>
      <c r="O134" s="186">
        <f t="shared" si="10"/>
        <v>90176</v>
      </c>
      <c r="P134" s="189">
        <v>0</v>
      </c>
      <c r="Q134" s="189">
        <v>90176</v>
      </c>
      <c r="R134" s="189">
        <f>'[19]Раз.пос.(Пр.3-26)     '!R134+'[19]Уточнение для Пр.5-26'!R134</f>
        <v>0</v>
      </c>
      <c r="S134" s="189">
        <f>'[19]Раз.пос.(Пр.3-26)     '!S134+'[19]Уточнение для Пр.5-26'!S134</f>
        <v>0</v>
      </c>
    </row>
    <row r="135" spans="1:19" x14ac:dyDescent="0.2">
      <c r="A135" s="128">
        <v>122</v>
      </c>
      <c r="B135" s="834" t="s">
        <v>280</v>
      </c>
      <c r="C135" s="31" t="s">
        <v>281</v>
      </c>
      <c r="D135" s="186">
        <f t="shared" si="7"/>
        <v>0</v>
      </c>
      <c r="E135" s="189">
        <f t="shared" si="8"/>
        <v>0</v>
      </c>
      <c r="F135" s="189">
        <f>'[19]Раз.пос.(Пр.3-26)     '!F135+'[19]Уточнение для Пр.5-26'!F135</f>
        <v>0</v>
      </c>
      <c r="G135" s="189">
        <f>'[19]Раз.пос.(Пр.3-26)     '!G135+'[19]Уточнение для Пр.5-26'!G135</f>
        <v>0</v>
      </c>
      <c r="H135" s="189">
        <f t="shared" si="9"/>
        <v>0</v>
      </c>
      <c r="I135" s="190">
        <v>0</v>
      </c>
      <c r="J135" s="189">
        <v>0</v>
      </c>
      <c r="K135" s="189">
        <v>0</v>
      </c>
      <c r="L135" s="189">
        <v>0</v>
      </c>
      <c r="M135" s="192">
        <f>'[19]Раз.пос.(Пр.3-26)     '!M135+'[19]Уточнение для Пр.5-26'!M135</f>
        <v>0</v>
      </c>
      <c r="N135" s="192">
        <f>'[19]Раз.пос.(Пр.3-26)     '!N135+'[19]Уточнение для Пр.5-26'!N135</f>
        <v>0</v>
      </c>
      <c r="O135" s="186">
        <f t="shared" si="10"/>
        <v>0</v>
      </c>
      <c r="P135" s="189">
        <v>0</v>
      </c>
      <c r="Q135" s="189">
        <v>0</v>
      </c>
      <c r="R135" s="189">
        <f>'[19]Раз.пос.(Пр.3-26)     '!R135+'[19]Уточнение для Пр.5-26'!R135</f>
        <v>0</v>
      </c>
      <c r="S135" s="189">
        <f>'[19]Раз.пос.(Пр.3-26)     '!S135+'[19]Уточнение для Пр.5-26'!S135</f>
        <v>0</v>
      </c>
    </row>
    <row r="136" spans="1:19" x14ac:dyDescent="0.2">
      <c r="A136" s="128">
        <v>123</v>
      </c>
      <c r="B136" s="834" t="s">
        <v>282</v>
      </c>
      <c r="C136" s="31" t="s">
        <v>783</v>
      </c>
      <c r="D136" s="186">
        <f t="shared" si="7"/>
        <v>60218</v>
      </c>
      <c r="E136" s="189">
        <f t="shared" si="8"/>
        <v>0</v>
      </c>
      <c r="F136" s="189">
        <f>'[19]Раз.пос.(Пр.3-26)     '!F136+'[19]Уточнение для Пр.5-26'!F136</f>
        <v>0</v>
      </c>
      <c r="G136" s="189">
        <f>'[19]Раз.пос.(Пр.3-26)     '!G136+'[19]Уточнение для Пр.5-26'!G136</f>
        <v>0</v>
      </c>
      <c r="H136" s="189">
        <f t="shared" si="9"/>
        <v>0</v>
      </c>
      <c r="I136" s="190">
        <v>0</v>
      </c>
      <c r="J136" s="189">
        <v>0</v>
      </c>
      <c r="K136" s="189">
        <v>0</v>
      </c>
      <c r="L136" s="189">
        <v>0</v>
      </c>
      <c r="M136" s="192">
        <f>'[19]Раз.пос.(Пр.3-26)     '!M136+'[19]Уточнение для Пр.5-26'!M136</f>
        <v>3075</v>
      </c>
      <c r="N136" s="192">
        <f>'[19]Раз.пос.(Пр.3-26)     '!N136+'[19]Уточнение для Пр.5-26'!N136</f>
        <v>1317</v>
      </c>
      <c r="O136" s="186">
        <f t="shared" si="10"/>
        <v>55826</v>
      </c>
      <c r="P136" s="189">
        <v>0</v>
      </c>
      <c r="Q136" s="189">
        <v>55826</v>
      </c>
      <c r="R136" s="189">
        <f>'[19]Раз.пос.(Пр.3-26)     '!R136+'[19]Уточнение для Пр.5-26'!R136</f>
        <v>0</v>
      </c>
      <c r="S136" s="189">
        <f>'[19]Раз.пос.(Пр.3-26)     '!S136+'[19]Уточнение для Пр.5-26'!S136</f>
        <v>0</v>
      </c>
    </row>
    <row r="137" spans="1:19" x14ac:dyDescent="0.2">
      <c r="A137" s="128">
        <v>124</v>
      </c>
      <c r="B137" s="71" t="s">
        <v>283</v>
      </c>
      <c r="C137" s="31" t="s">
        <v>284</v>
      </c>
      <c r="D137" s="186">
        <f t="shared" si="7"/>
        <v>23033</v>
      </c>
      <c r="E137" s="189">
        <f t="shared" si="8"/>
        <v>0</v>
      </c>
      <c r="F137" s="189">
        <f>'[19]Раз.пос.(Пр.3-26)     '!F137+'[19]Уточнение для Пр.5-26'!F137</f>
        <v>0</v>
      </c>
      <c r="G137" s="189">
        <f>'[19]Раз.пос.(Пр.3-26)     '!G137+'[19]Уточнение для Пр.5-26'!G137</f>
        <v>0</v>
      </c>
      <c r="H137" s="189">
        <f t="shared" si="9"/>
        <v>20152</v>
      </c>
      <c r="I137" s="190">
        <v>0</v>
      </c>
      <c r="J137" s="189">
        <v>2270</v>
      </c>
      <c r="K137" s="189">
        <v>0</v>
      </c>
      <c r="L137" s="189">
        <v>17882</v>
      </c>
      <c r="M137" s="192">
        <f>'[19]Раз.пос.(Пр.3-26)     '!M137+'[19]Уточнение для Пр.5-26'!M137</f>
        <v>1025</v>
      </c>
      <c r="N137" s="192">
        <f>'[19]Раз.пос.(Пр.3-26)     '!N137+'[19]Уточнение для Пр.5-26'!N137</f>
        <v>439</v>
      </c>
      <c r="O137" s="186">
        <f t="shared" si="10"/>
        <v>1417</v>
      </c>
      <c r="P137" s="189">
        <v>0</v>
      </c>
      <c r="Q137" s="189">
        <v>1417</v>
      </c>
      <c r="R137" s="189">
        <f>'[19]Раз.пос.(Пр.3-26)     '!R137+'[19]Уточнение для Пр.5-26'!R137</f>
        <v>0</v>
      </c>
      <c r="S137" s="189">
        <f>'[19]Раз.пос.(Пр.3-26)     '!S137+'[19]Уточнение для Пр.5-26'!S137</f>
        <v>0</v>
      </c>
    </row>
    <row r="138" spans="1:19" ht="24" x14ac:dyDescent="0.2">
      <c r="A138" s="128">
        <v>125</v>
      </c>
      <c r="B138" s="72" t="s">
        <v>285</v>
      </c>
      <c r="C138" s="31" t="s">
        <v>737</v>
      </c>
      <c r="D138" s="186">
        <f t="shared" si="7"/>
        <v>103471</v>
      </c>
      <c r="E138" s="189">
        <f t="shared" si="8"/>
        <v>0</v>
      </c>
      <c r="F138" s="189">
        <f>'[19]Раз.пос.(Пр.3-26)     '!F138+'[19]Уточнение для Пр.5-26'!F138</f>
        <v>0</v>
      </c>
      <c r="G138" s="189">
        <f>'[19]Раз.пос.(Пр.3-26)     '!G138+'[19]Уточнение для Пр.5-26'!G138</f>
        <v>0</v>
      </c>
      <c r="H138" s="189">
        <f t="shared" si="9"/>
        <v>95511</v>
      </c>
      <c r="I138" s="190">
        <v>0</v>
      </c>
      <c r="J138" s="189">
        <v>7989</v>
      </c>
      <c r="K138" s="189">
        <v>2141</v>
      </c>
      <c r="L138" s="189">
        <v>85381</v>
      </c>
      <c r="M138" s="192">
        <f>'[19]Раз.пос.(Пр.3-26)     '!M138+'[19]Уточнение для Пр.5-26'!M138</f>
        <v>1025</v>
      </c>
      <c r="N138" s="192">
        <f>'[19]Раз.пос.(Пр.3-26)     '!N138+'[19]Уточнение для Пр.5-26'!N138</f>
        <v>439</v>
      </c>
      <c r="O138" s="186">
        <f t="shared" si="10"/>
        <v>6496</v>
      </c>
      <c r="P138" s="189">
        <v>0</v>
      </c>
      <c r="Q138" s="189">
        <v>6496</v>
      </c>
      <c r="R138" s="189">
        <f>'[19]Раз.пос.(Пр.3-26)     '!R138+'[19]Уточнение для Пр.5-26'!R138</f>
        <v>0</v>
      </c>
      <c r="S138" s="189">
        <f>'[19]Раз.пос.(Пр.3-26)     '!S138+'[19]Уточнение для Пр.5-26'!S138</f>
        <v>0</v>
      </c>
    </row>
    <row r="139" spans="1:19" x14ac:dyDescent="0.2">
      <c r="A139" s="128">
        <v>126</v>
      </c>
      <c r="B139" s="834" t="s">
        <v>286</v>
      </c>
      <c r="C139" s="31" t="s">
        <v>287</v>
      </c>
      <c r="D139" s="186">
        <f t="shared" si="7"/>
        <v>5638</v>
      </c>
      <c r="E139" s="189">
        <f t="shared" si="8"/>
        <v>0</v>
      </c>
      <c r="F139" s="189">
        <f>'[19]Раз.пос.(Пр.3-26)     '!F139+'[19]Уточнение для Пр.5-26'!F139</f>
        <v>0</v>
      </c>
      <c r="G139" s="189">
        <f>'[19]Раз.пос.(Пр.3-26)     '!G139+'[19]Уточнение для Пр.5-26'!G139</f>
        <v>0</v>
      </c>
      <c r="H139" s="189">
        <f t="shared" si="9"/>
        <v>0</v>
      </c>
      <c r="I139" s="190">
        <v>0</v>
      </c>
      <c r="J139" s="189">
        <v>0</v>
      </c>
      <c r="K139" s="189">
        <v>0</v>
      </c>
      <c r="L139" s="189">
        <v>0</v>
      </c>
      <c r="M139" s="192">
        <f>'[19]Раз.пос.(Пр.3-26)     '!M139+'[19]Уточнение для Пр.5-26'!M139</f>
        <v>0</v>
      </c>
      <c r="N139" s="192">
        <f>'[19]Раз.пос.(Пр.3-26)     '!N139+'[19]Уточнение для Пр.5-26'!N139</f>
        <v>0</v>
      </c>
      <c r="O139" s="186">
        <f t="shared" si="10"/>
        <v>5638</v>
      </c>
      <c r="P139" s="189">
        <v>0</v>
      </c>
      <c r="Q139" s="189">
        <v>5638</v>
      </c>
      <c r="R139" s="189">
        <f>'[19]Раз.пос.(Пр.3-26)     '!R139+'[19]Уточнение для Пр.5-26'!R139</f>
        <v>0</v>
      </c>
      <c r="S139" s="189">
        <f>'[19]Раз.пос.(Пр.3-26)     '!S139+'[19]Уточнение для Пр.5-26'!S139</f>
        <v>0</v>
      </c>
    </row>
    <row r="140" spans="1:19" x14ac:dyDescent="0.2">
      <c r="A140" s="128">
        <v>127</v>
      </c>
      <c r="B140" s="71" t="s">
        <v>288</v>
      </c>
      <c r="C140" s="31" t="s">
        <v>289</v>
      </c>
      <c r="D140" s="186">
        <f>E140+H140+M140+N140+O140+S140</f>
        <v>26015</v>
      </c>
      <c r="E140" s="189">
        <f t="shared" si="8"/>
        <v>0</v>
      </c>
      <c r="F140" s="189">
        <f>'[19]Раз.пос.(Пр.3-26)     '!F140+'[19]Уточнение для Пр.5-26'!F140</f>
        <v>0</v>
      </c>
      <c r="G140" s="189">
        <f>'[19]Раз.пос.(Пр.3-26)     '!G140+'[19]Уточнение для Пр.5-26'!G140</f>
        <v>0</v>
      </c>
      <c r="H140" s="189">
        <f t="shared" si="9"/>
        <v>0</v>
      </c>
      <c r="I140" s="190">
        <v>0</v>
      </c>
      <c r="J140" s="189">
        <v>0</v>
      </c>
      <c r="K140" s="189">
        <v>0</v>
      </c>
      <c r="L140" s="189">
        <v>0</v>
      </c>
      <c r="M140" s="192">
        <f>'[19]Раз.пос.(Пр.3-26)     '!M140+'[19]Уточнение для Пр.5-26'!M140</f>
        <v>0</v>
      </c>
      <c r="N140" s="192">
        <f>'[19]Раз.пос.(Пр.3-26)     '!N140+'[19]Уточнение для Пр.5-26'!N140</f>
        <v>0</v>
      </c>
      <c r="O140" s="186">
        <f t="shared" si="10"/>
        <v>26015</v>
      </c>
      <c r="P140" s="189">
        <v>4646</v>
      </c>
      <c r="Q140" s="189">
        <v>21369</v>
      </c>
      <c r="R140" s="189">
        <f>'[19]Раз.пос.(Пр.3-26)     '!R140+'[19]Уточнение для Пр.5-26'!R140</f>
        <v>0</v>
      </c>
      <c r="S140" s="189">
        <f>'[19]Раз.пос.(Пр.3-26)     '!S140+'[19]Уточнение для Пр.5-26'!S140</f>
        <v>0</v>
      </c>
    </row>
    <row r="141" spans="1:19" ht="12.75" x14ac:dyDescent="0.2">
      <c r="A141" s="128">
        <v>128</v>
      </c>
      <c r="B141" s="841" t="s">
        <v>290</v>
      </c>
      <c r="C141" s="135" t="s">
        <v>291</v>
      </c>
      <c r="D141" s="186">
        <f t="shared" ref="D141:D148" si="11">E141+H141+M141+N141+O141+S141</f>
        <v>0</v>
      </c>
      <c r="E141" s="189">
        <f t="shared" si="8"/>
        <v>0</v>
      </c>
      <c r="F141" s="189">
        <f>'[19]Раз.пос.(Пр.3-26)     '!F141+'[19]Уточнение для Пр.5-26'!F141</f>
        <v>0</v>
      </c>
      <c r="G141" s="189">
        <f>'[19]Раз.пос.(Пр.3-26)     '!G141+'[19]Уточнение для Пр.5-26'!G141</f>
        <v>0</v>
      </c>
      <c r="H141" s="189">
        <f t="shared" si="9"/>
        <v>0</v>
      </c>
      <c r="I141" s="190">
        <v>0</v>
      </c>
      <c r="J141" s="189">
        <v>0</v>
      </c>
      <c r="K141" s="189">
        <v>0</v>
      </c>
      <c r="L141" s="189">
        <v>0</v>
      </c>
      <c r="M141" s="192">
        <f>'[19]Раз.пос.(Пр.3-26)     '!M141+'[19]Уточнение для Пр.5-26'!M141</f>
        <v>0</v>
      </c>
      <c r="N141" s="192">
        <f>'[19]Раз.пос.(Пр.3-26)     '!N141+'[19]Уточнение для Пр.5-26'!N141</f>
        <v>0</v>
      </c>
      <c r="O141" s="186">
        <v>0</v>
      </c>
      <c r="P141" s="189">
        <v>0</v>
      </c>
      <c r="Q141" s="189">
        <v>0</v>
      </c>
      <c r="R141" s="189">
        <f>'[19]Раз.пос.(Пр.3-26)     '!R141+'[19]Уточнение для Пр.5-26'!R141</f>
        <v>0</v>
      </c>
      <c r="S141" s="189">
        <f>'[19]Раз.пос.(Пр.3-26)     '!S141+'[19]Уточнение для Пр.5-26'!S141</f>
        <v>0</v>
      </c>
    </row>
    <row r="142" spans="1:19" ht="12.75" x14ac:dyDescent="0.2">
      <c r="A142" s="128">
        <v>129</v>
      </c>
      <c r="B142" s="136" t="s">
        <v>292</v>
      </c>
      <c r="C142" s="137" t="s">
        <v>293</v>
      </c>
      <c r="D142" s="186">
        <f t="shared" si="11"/>
        <v>0</v>
      </c>
      <c r="E142" s="189">
        <f t="shared" ref="E142:E148" si="12">F142+G142</f>
        <v>0</v>
      </c>
      <c r="F142" s="189">
        <f>'[19]Раз.пос.(Пр.3-26)     '!F142+'[19]Уточнение для Пр.5-26'!F142</f>
        <v>0</v>
      </c>
      <c r="G142" s="189">
        <f>'[19]Раз.пос.(Пр.3-26)     '!G142+'[19]Уточнение для Пр.5-26'!G142</f>
        <v>0</v>
      </c>
      <c r="H142" s="189">
        <f t="shared" ref="H142:H148" si="13">SUM(I142:L142)</f>
        <v>0</v>
      </c>
      <c r="I142" s="190">
        <v>0</v>
      </c>
      <c r="J142" s="189">
        <v>0</v>
      </c>
      <c r="K142" s="189">
        <v>0</v>
      </c>
      <c r="L142" s="189">
        <v>0</v>
      </c>
      <c r="M142" s="192">
        <f>'[19]Раз.пос.(Пр.3-26)     '!M142+'[19]Уточнение для Пр.5-26'!M142</f>
        <v>0</v>
      </c>
      <c r="N142" s="192">
        <f>'[19]Раз.пос.(Пр.3-26)     '!N142+'[19]Уточнение для Пр.5-26'!N142</f>
        <v>0</v>
      </c>
      <c r="O142" s="186">
        <v>0</v>
      </c>
      <c r="P142" s="189">
        <v>0</v>
      </c>
      <c r="Q142" s="189">
        <v>0</v>
      </c>
      <c r="R142" s="189">
        <f>'[19]Раз.пос.(Пр.3-26)     '!R142+'[19]Уточнение для Пр.5-26'!R142</f>
        <v>0</v>
      </c>
      <c r="S142" s="189">
        <f>'[19]Раз.пос.(Пр.3-26)     '!S142+'[19]Уточнение для Пр.5-26'!S142</f>
        <v>0</v>
      </c>
    </row>
    <row r="143" spans="1:19" ht="12.75" x14ac:dyDescent="0.2">
      <c r="A143" s="128">
        <v>130</v>
      </c>
      <c r="B143" s="138" t="s">
        <v>294</v>
      </c>
      <c r="C143" s="139" t="s">
        <v>295</v>
      </c>
      <c r="D143" s="186">
        <f t="shared" si="11"/>
        <v>0</v>
      </c>
      <c r="E143" s="189">
        <f t="shared" si="12"/>
        <v>0</v>
      </c>
      <c r="F143" s="189">
        <f>'[19]Раз.пос.(Пр.3-26)     '!F143+'[19]Уточнение для Пр.5-26'!F143</f>
        <v>0</v>
      </c>
      <c r="G143" s="189">
        <f>'[19]Раз.пос.(Пр.3-26)     '!G143+'[19]Уточнение для Пр.5-26'!G143</f>
        <v>0</v>
      </c>
      <c r="H143" s="189">
        <f t="shared" si="13"/>
        <v>0</v>
      </c>
      <c r="I143" s="190">
        <v>0</v>
      </c>
      <c r="J143" s="189">
        <v>0</v>
      </c>
      <c r="K143" s="189">
        <v>0</v>
      </c>
      <c r="L143" s="189">
        <v>0</v>
      </c>
      <c r="M143" s="193">
        <f>'[19]Раз.пос.(Пр.3-26)     '!M143+'[19]Уточнение для Пр.5-26'!M143</f>
        <v>0</v>
      </c>
      <c r="N143" s="193">
        <f>'[19]Раз.пос.(Пр.3-26)     '!N143+'[19]Уточнение для Пр.5-26'!N143</f>
        <v>0</v>
      </c>
      <c r="O143" s="186">
        <v>0</v>
      </c>
      <c r="P143" s="193">
        <v>0</v>
      </c>
      <c r="Q143" s="193">
        <v>0</v>
      </c>
      <c r="R143" s="193">
        <f>'[19]Раз.пос.(Пр.3-26)     '!R143+'[19]Уточнение для Пр.5-26'!R143</f>
        <v>0</v>
      </c>
      <c r="S143" s="193">
        <f>'[19]Раз.пос.(Пр.3-26)     '!S143+'[19]Уточнение для Пр.5-26'!S143</f>
        <v>0</v>
      </c>
    </row>
    <row r="144" spans="1:19" ht="12.75" x14ac:dyDescent="0.2">
      <c r="A144" s="128">
        <v>131</v>
      </c>
      <c r="B144" s="140" t="s">
        <v>296</v>
      </c>
      <c r="C144" s="194" t="s">
        <v>462</v>
      </c>
      <c r="D144" s="186">
        <f t="shared" si="11"/>
        <v>0</v>
      </c>
      <c r="E144" s="189">
        <f t="shared" si="12"/>
        <v>0</v>
      </c>
      <c r="F144" s="189">
        <f>'[19]Раз.пос.(Пр.3-26)     '!F144+'[19]Уточнение для Пр.5-26'!F144</f>
        <v>0</v>
      </c>
      <c r="G144" s="189">
        <f>'[19]Раз.пос.(Пр.3-26)     '!G144+'[19]Уточнение для Пр.5-26'!G144</f>
        <v>0</v>
      </c>
      <c r="H144" s="189">
        <f t="shared" si="13"/>
        <v>0</v>
      </c>
      <c r="I144" s="190">
        <v>0</v>
      </c>
      <c r="J144" s="189">
        <v>0</v>
      </c>
      <c r="K144" s="189">
        <v>0</v>
      </c>
      <c r="L144" s="189">
        <v>0</v>
      </c>
      <c r="M144" s="195">
        <f>'[19]Раз.пос.(Пр.3-26)     '!M144+'[19]Уточнение для Пр.5-26'!M144</f>
        <v>0</v>
      </c>
      <c r="N144" s="195">
        <f>'[19]Раз.пос.(Пр.3-26)     '!N144+'[19]Уточнение для Пр.5-26'!N144</f>
        <v>0</v>
      </c>
      <c r="O144" s="186">
        <v>0</v>
      </c>
      <c r="P144" s="193">
        <v>0</v>
      </c>
      <c r="Q144" s="193">
        <v>0</v>
      </c>
      <c r="R144" s="193">
        <f>'[19]Раз.пос.(Пр.3-26)     '!R144+'[19]Уточнение для Пр.5-26'!R144</f>
        <v>0</v>
      </c>
      <c r="S144" s="193">
        <f>'[19]Раз.пос.(Пр.3-26)     '!S144+'[19]Уточнение для Пр.5-26'!S144</f>
        <v>0</v>
      </c>
    </row>
    <row r="145" spans="1:19" x14ac:dyDescent="0.2">
      <c r="A145" s="128">
        <v>132</v>
      </c>
      <c r="B145" s="128" t="s">
        <v>298</v>
      </c>
      <c r="C145" s="142" t="s">
        <v>299</v>
      </c>
      <c r="D145" s="186">
        <f t="shared" si="11"/>
        <v>0</v>
      </c>
      <c r="E145" s="189">
        <f t="shared" si="12"/>
        <v>0</v>
      </c>
      <c r="F145" s="189">
        <f>'[19]Раз.пос.(Пр.3-26)     '!F145+'[19]Уточнение для Пр.5-26'!F145</f>
        <v>0</v>
      </c>
      <c r="G145" s="189">
        <f>'[19]Раз.пос.(Пр.3-26)     '!G145+'[19]Уточнение для Пр.5-26'!G145</f>
        <v>0</v>
      </c>
      <c r="H145" s="189">
        <f t="shared" si="13"/>
        <v>0</v>
      </c>
      <c r="I145" s="190">
        <v>0</v>
      </c>
      <c r="J145" s="189">
        <v>0</v>
      </c>
      <c r="K145" s="189">
        <v>0</v>
      </c>
      <c r="L145" s="189">
        <v>0</v>
      </c>
      <c r="M145" s="193">
        <f>'[19]Раз.пос.(Пр.3-26)     '!M145+'[19]Уточнение для Пр.5-26'!M145</f>
        <v>0</v>
      </c>
      <c r="N145" s="193">
        <f>'[19]Раз.пос.(Пр.3-26)     '!N145+'[19]Уточнение для Пр.5-26'!N145</f>
        <v>0</v>
      </c>
      <c r="O145" s="186">
        <v>0</v>
      </c>
      <c r="P145" s="193">
        <v>0</v>
      </c>
      <c r="Q145" s="193">
        <v>0</v>
      </c>
      <c r="R145" s="193">
        <f>'[19]Раз.пос.(Пр.3-26)     '!R145+'[19]Уточнение для Пр.5-26'!R145</f>
        <v>0</v>
      </c>
      <c r="S145" s="193">
        <f>'[19]Раз.пос.(Пр.3-26)     '!S145+'[19]Уточнение для Пр.5-26'!S145</f>
        <v>0</v>
      </c>
    </row>
    <row r="146" spans="1:19" x14ac:dyDescent="0.2">
      <c r="A146" s="128">
        <v>133</v>
      </c>
      <c r="B146" s="143" t="s">
        <v>300</v>
      </c>
      <c r="C146" s="142" t="s">
        <v>301</v>
      </c>
      <c r="D146" s="186">
        <f t="shared" si="11"/>
        <v>0</v>
      </c>
      <c r="E146" s="189">
        <f t="shared" si="12"/>
        <v>0</v>
      </c>
      <c r="F146" s="189">
        <f>'[19]Раз.пос.(Пр.3-26)     '!F146+'[19]Уточнение для Пр.5-26'!F146</f>
        <v>0</v>
      </c>
      <c r="G146" s="189">
        <f>'[19]Раз.пос.(Пр.3-26)     '!G146+'[19]Уточнение для Пр.5-26'!G146</f>
        <v>0</v>
      </c>
      <c r="H146" s="189">
        <f t="shared" si="13"/>
        <v>0</v>
      </c>
      <c r="I146" s="190">
        <v>0</v>
      </c>
      <c r="J146" s="189">
        <v>0</v>
      </c>
      <c r="K146" s="189">
        <v>0</v>
      </c>
      <c r="L146" s="189">
        <v>0</v>
      </c>
      <c r="M146" s="193">
        <f>'[19]Раз.пос.(Пр.3-26)     '!M146+'[19]Уточнение для Пр.5-26'!M146</f>
        <v>0</v>
      </c>
      <c r="N146" s="193">
        <f>'[19]Раз.пос.(Пр.3-26)     '!N146+'[19]Уточнение для Пр.5-26'!N146</f>
        <v>0</v>
      </c>
      <c r="O146" s="186">
        <v>0</v>
      </c>
      <c r="P146" s="193">
        <v>0</v>
      </c>
      <c r="Q146" s="193">
        <v>0</v>
      </c>
      <c r="R146" s="193">
        <f>'[19]Раз.пос.(Пр.3-26)     '!R146+'[19]Уточнение для Пр.5-26'!R146</f>
        <v>0</v>
      </c>
      <c r="S146" s="193">
        <f>'[19]Раз.пос.(Пр.3-26)     '!S146+'[19]Уточнение для Пр.5-26'!S146</f>
        <v>0</v>
      </c>
    </row>
    <row r="147" spans="1:19" x14ac:dyDescent="0.2">
      <c r="A147" s="128">
        <v>134</v>
      </c>
      <c r="B147" s="196" t="s">
        <v>302</v>
      </c>
      <c r="C147" s="197" t="s">
        <v>303</v>
      </c>
      <c r="D147" s="186">
        <f t="shared" si="11"/>
        <v>0</v>
      </c>
      <c r="E147" s="189">
        <f t="shared" si="12"/>
        <v>0</v>
      </c>
      <c r="F147" s="189">
        <f>'[19]Раз.пос.(Пр.3-26)     '!F147+'[19]Уточнение для Пр.5-26'!F147</f>
        <v>0</v>
      </c>
      <c r="G147" s="189">
        <f>'[19]Раз.пос.(Пр.3-26)     '!G147+'[19]Уточнение для Пр.5-26'!G147</f>
        <v>0</v>
      </c>
      <c r="H147" s="189">
        <f t="shared" si="13"/>
        <v>0</v>
      </c>
      <c r="I147" s="190">
        <v>0</v>
      </c>
      <c r="J147" s="189">
        <v>0</v>
      </c>
      <c r="K147" s="189">
        <v>0</v>
      </c>
      <c r="L147" s="189">
        <v>0</v>
      </c>
      <c r="M147" s="193">
        <f>'[19]Раз.пос.(Пр.3-26)     '!M147+'[19]Уточнение для Пр.5-26'!M147</f>
        <v>0</v>
      </c>
      <c r="N147" s="193">
        <f>'[19]Раз.пос.(Пр.3-26)     '!N147+'[19]Уточнение для Пр.5-26'!N147</f>
        <v>0</v>
      </c>
      <c r="O147" s="186">
        <v>0</v>
      </c>
      <c r="P147" s="193">
        <v>0</v>
      </c>
      <c r="Q147" s="193">
        <v>0</v>
      </c>
      <c r="R147" s="193">
        <f>'[19]Раз.пос.(Пр.3-26)     '!R147+'[19]Уточнение для Пр.5-26'!R147</f>
        <v>0</v>
      </c>
      <c r="S147" s="193">
        <f>'[19]Раз.пос.(Пр.3-26)     '!S147+'[19]Уточнение для Пр.5-26'!S147</f>
        <v>0</v>
      </c>
    </row>
    <row r="148" spans="1:19" x14ac:dyDescent="0.2">
      <c r="A148" s="128">
        <v>135</v>
      </c>
      <c r="B148" s="143" t="s">
        <v>304</v>
      </c>
      <c r="C148" s="142" t="s">
        <v>305</v>
      </c>
      <c r="D148" s="186">
        <f t="shared" si="11"/>
        <v>0</v>
      </c>
      <c r="E148" s="189">
        <f t="shared" si="12"/>
        <v>0</v>
      </c>
      <c r="F148" s="189">
        <f>'[19]Раз.пос.(Пр.3-26)     '!F148+'[19]Уточнение для Пр.5-26'!F148</f>
        <v>0</v>
      </c>
      <c r="G148" s="189">
        <f>'[19]Раз.пос.(Пр.3-26)     '!G148+'[19]Уточнение для Пр.5-26'!G148</f>
        <v>0</v>
      </c>
      <c r="H148" s="189">
        <f t="shared" si="13"/>
        <v>0</v>
      </c>
      <c r="I148" s="190">
        <v>0</v>
      </c>
      <c r="J148" s="189">
        <v>0</v>
      </c>
      <c r="K148" s="189">
        <v>0</v>
      </c>
      <c r="L148" s="189">
        <v>0</v>
      </c>
      <c r="M148" s="193">
        <f>'[19]Раз.пос.(Пр.3-26)     '!M148+'[19]Уточнение для Пр.5-26'!M148</f>
        <v>0</v>
      </c>
      <c r="N148" s="193">
        <f>'[19]Раз.пос.(Пр.3-26)     '!N148+'[19]Уточнение для Пр.5-26'!N148</f>
        <v>0</v>
      </c>
      <c r="O148" s="186">
        <v>0</v>
      </c>
      <c r="P148" s="193">
        <v>0</v>
      </c>
      <c r="Q148" s="193">
        <v>0</v>
      </c>
      <c r="R148" s="193">
        <f>'[19]Раз.пос.(Пр.3-26)     '!R148+'[19]Уточнение для Пр.5-26'!R148</f>
        <v>0</v>
      </c>
      <c r="S148" s="193">
        <f>'[19]Раз.пос.(Пр.3-26)     '!S148+'[19]Уточнение для Пр.5-26'!S148</f>
        <v>0</v>
      </c>
    </row>
    <row r="150" spans="1:19" x14ac:dyDescent="0.2">
      <c r="G150" s="198"/>
      <c r="J150" s="198"/>
    </row>
    <row r="151" spans="1:19" x14ac:dyDescent="0.2">
      <c r="D151" s="198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</row>
    <row r="152" spans="1:19" x14ac:dyDescent="0.2">
      <c r="J152" s="198"/>
    </row>
    <row r="153" spans="1:19" x14ac:dyDescent="0.2">
      <c r="J153" s="198"/>
    </row>
  </sheetData>
  <mergeCells count="28">
    <mergeCell ref="P5:P6"/>
    <mergeCell ref="Q5:Q6"/>
    <mergeCell ref="R5:R6"/>
    <mergeCell ref="A8:C8"/>
    <mergeCell ref="A9:C9"/>
    <mergeCell ref="K5:L5"/>
    <mergeCell ref="M5:M6"/>
    <mergeCell ref="N5:N6"/>
    <mergeCell ref="O5:O6"/>
    <mergeCell ref="F5:G5"/>
    <mergeCell ref="H5:H6"/>
    <mergeCell ref="I5:J5"/>
    <mergeCell ref="A91:A94"/>
    <mergeCell ref="B91:B94"/>
    <mergeCell ref="A10:C10"/>
    <mergeCell ref="B1:R1"/>
    <mergeCell ref="A2:A6"/>
    <mergeCell ref="B2:B6"/>
    <mergeCell ref="C2:C6"/>
    <mergeCell ref="D2:S2"/>
    <mergeCell ref="D3:D6"/>
    <mergeCell ref="E3:S3"/>
    <mergeCell ref="E4:G4"/>
    <mergeCell ref="H4:L4"/>
    <mergeCell ref="M4:N4"/>
    <mergeCell ref="O4:R4"/>
    <mergeCell ref="S4:S6"/>
    <mergeCell ref="E5:E6"/>
  </mergeCells>
  <pageMargins left="0.59055118110236227" right="0.39370078740157483" top="0.39370078740157483" bottom="0.39370078740157483" header="0.31496062992125984" footer="0.31496062992125984"/>
  <pageSetup paperSize="9" scale="56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zoomScaleNormal="100" workbookViewId="0">
      <pane xSplit="4" ySplit="9" topLeftCell="E129" activePane="bottomRight" state="frozen"/>
      <selection activeCell="C152" sqref="C152"/>
      <selection pane="topRight" activeCell="C152" sqref="C152"/>
      <selection pane="bottomLeft" activeCell="C152" sqref="C152"/>
      <selection pane="bottomRight" activeCell="J148" sqref="J148"/>
    </sheetView>
  </sheetViews>
  <sheetFormatPr defaultRowHeight="12" x14ac:dyDescent="0.2"/>
  <cols>
    <col min="1" max="1" width="6.28515625" style="183" customWidth="1"/>
    <col min="2" max="2" width="8.7109375" style="183" customWidth="1"/>
    <col min="3" max="3" width="41.28515625" style="183" customWidth="1"/>
    <col min="4" max="4" width="11.42578125" style="183" customWidth="1"/>
    <col min="5" max="5" width="9.28515625" style="183" customWidth="1"/>
    <col min="6" max="7" width="10.28515625" style="183" customWidth="1"/>
    <col min="8" max="8" width="10.140625" style="183" customWidth="1"/>
    <col min="9" max="9" width="14.85546875" style="183" customWidth="1"/>
    <col min="10" max="11" width="11.85546875" style="183" customWidth="1"/>
    <col min="12" max="12" width="11.42578125" style="183" customWidth="1"/>
    <col min="13" max="14" width="12.140625" style="183" customWidth="1"/>
    <col min="15" max="15" width="11.42578125" style="183" customWidth="1"/>
    <col min="16" max="16384" width="9.140625" style="183"/>
  </cols>
  <sheetData>
    <row r="1" spans="1:17" ht="45.75" customHeight="1" x14ac:dyDescent="0.2">
      <c r="A1" s="1022" t="s">
        <v>496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</row>
    <row r="2" spans="1:17" ht="21.75" customHeight="1" x14ac:dyDescent="0.2">
      <c r="A2" s="1021" t="s">
        <v>0</v>
      </c>
      <c r="B2" s="1004" t="s">
        <v>326</v>
      </c>
      <c r="C2" s="1021" t="s">
        <v>309</v>
      </c>
      <c r="D2" s="1003" t="s">
        <v>497</v>
      </c>
      <c r="E2" s="1003"/>
      <c r="F2" s="1003"/>
      <c r="G2" s="1003"/>
      <c r="H2" s="1003"/>
      <c r="I2" s="1003"/>
      <c r="J2" s="1003"/>
      <c r="K2" s="1003"/>
      <c r="L2" s="1003"/>
      <c r="M2" s="1003"/>
      <c r="N2" s="1003"/>
    </row>
    <row r="3" spans="1:17" ht="24" customHeight="1" x14ac:dyDescent="0.2">
      <c r="A3" s="1008"/>
      <c r="B3" s="1005"/>
      <c r="C3" s="1008"/>
      <c r="D3" s="1021" t="s">
        <v>443</v>
      </c>
      <c r="E3" s="1010" t="s">
        <v>467</v>
      </c>
      <c r="F3" s="1010"/>
      <c r="G3" s="1010"/>
      <c r="H3" s="1010" t="s">
        <v>468</v>
      </c>
      <c r="I3" s="1010"/>
      <c r="J3" s="1010"/>
      <c r="K3" s="1010"/>
      <c r="L3" s="1023" t="s">
        <v>498</v>
      </c>
      <c r="M3" s="1026" t="s">
        <v>6</v>
      </c>
      <c r="N3" s="1026"/>
    </row>
    <row r="4" spans="1:17" ht="42" customHeight="1" x14ac:dyDescent="0.2">
      <c r="A4" s="1008"/>
      <c r="B4" s="1005"/>
      <c r="C4" s="1008"/>
      <c r="D4" s="1008"/>
      <c r="E4" s="1017" t="s">
        <v>46</v>
      </c>
      <c r="F4" s="1011" t="s">
        <v>449</v>
      </c>
      <c r="G4" s="1013"/>
      <c r="H4" s="1017" t="s">
        <v>46</v>
      </c>
      <c r="I4" s="1021" t="s">
        <v>469</v>
      </c>
      <c r="J4" s="1010" t="s">
        <v>49</v>
      </c>
      <c r="K4" s="1010"/>
      <c r="L4" s="1024"/>
      <c r="M4" s="1027" t="s">
        <v>499</v>
      </c>
      <c r="N4" s="1027" t="s">
        <v>500</v>
      </c>
    </row>
    <row r="5" spans="1:17" ht="24" customHeight="1" x14ac:dyDescent="0.2">
      <c r="A5" s="1009"/>
      <c r="B5" s="1006"/>
      <c r="C5" s="1009"/>
      <c r="D5" s="1009"/>
      <c r="E5" s="1018"/>
      <c r="F5" s="839" t="s">
        <v>51</v>
      </c>
      <c r="G5" s="840" t="s">
        <v>50</v>
      </c>
      <c r="H5" s="1018"/>
      <c r="I5" s="1009"/>
      <c r="J5" s="838" t="s">
        <v>51</v>
      </c>
      <c r="K5" s="840" t="s">
        <v>50</v>
      </c>
      <c r="L5" s="1025"/>
      <c r="M5" s="1027"/>
      <c r="N5" s="1027"/>
    </row>
    <row r="6" spans="1:17" s="187" customFormat="1" ht="10.5" customHeight="1" x14ac:dyDescent="0.2">
      <c r="A6" s="184">
        <v>1</v>
      </c>
      <c r="B6" s="184">
        <v>2</v>
      </c>
      <c r="C6" s="184">
        <v>3</v>
      </c>
      <c r="D6" s="185">
        <v>4</v>
      </c>
      <c r="E6" s="185">
        <v>5</v>
      </c>
      <c r="F6" s="185">
        <v>6</v>
      </c>
      <c r="G6" s="185">
        <v>7</v>
      </c>
      <c r="H6" s="185">
        <v>8</v>
      </c>
      <c r="I6" s="186">
        <v>9</v>
      </c>
      <c r="J6" s="186">
        <v>10</v>
      </c>
      <c r="K6" s="186">
        <v>11</v>
      </c>
      <c r="L6" s="199">
        <v>12</v>
      </c>
      <c r="M6" s="199">
        <v>13</v>
      </c>
      <c r="N6" s="199">
        <v>14</v>
      </c>
    </row>
    <row r="7" spans="1:17" s="187" customFormat="1" x14ac:dyDescent="0.2">
      <c r="A7" s="938" t="s">
        <v>44</v>
      </c>
      <c r="B7" s="938"/>
      <c r="C7" s="938"/>
      <c r="D7" s="188">
        <f>D9+D8</f>
        <v>2179179</v>
      </c>
      <c r="E7" s="188">
        <f>F7+G7</f>
        <v>67678</v>
      </c>
      <c r="F7" s="188">
        <f>F8+F9</f>
        <v>2300</v>
      </c>
      <c r="G7" s="188">
        <f>G8+G9</f>
        <v>65378</v>
      </c>
      <c r="H7" s="188">
        <f>I7+K7+J7</f>
        <v>2058427</v>
      </c>
      <c r="I7" s="188">
        <f t="shared" ref="I7:N7" si="0">I9+I8</f>
        <v>150728</v>
      </c>
      <c r="J7" s="188">
        <f t="shared" si="0"/>
        <v>141745</v>
      </c>
      <c r="K7" s="188">
        <f t="shared" si="0"/>
        <v>1765954</v>
      </c>
      <c r="L7" s="188">
        <f t="shared" si="0"/>
        <v>53074</v>
      </c>
      <c r="M7" s="188">
        <f t="shared" si="0"/>
        <v>42459</v>
      </c>
      <c r="N7" s="188">
        <f t="shared" si="0"/>
        <v>10615</v>
      </c>
    </row>
    <row r="8" spans="1:17" s="187" customFormat="1" ht="12" customHeight="1" x14ac:dyDescent="0.2">
      <c r="A8" s="946" t="s">
        <v>14</v>
      </c>
      <c r="B8" s="947"/>
      <c r="C8" s="948"/>
      <c r="D8" s="186">
        <f>E8+H8</f>
        <v>0</v>
      </c>
      <c r="E8" s="186">
        <f>F8+G8</f>
        <v>0</v>
      </c>
      <c r="F8" s="186">
        <f>'[20]Уточнение для Пр.5-26'!F8+'[20]Пос с др.целями(Пр.2-26)'!F8</f>
        <v>0</v>
      </c>
      <c r="G8" s="186">
        <f>'[20]Уточнение для Пр.5-26'!G8+'[20]Пос с др.целями(Пр.2-26)'!G8</f>
        <v>0</v>
      </c>
      <c r="H8" s="186">
        <f>I8+J8+K8</f>
        <v>0</v>
      </c>
      <c r="I8" s="186">
        <f>'[20]Уточнение для Пр.5-26'!I8+'[20]Пос с др.целями(Пр.2-26)'!I8</f>
        <v>0</v>
      </c>
      <c r="J8" s="186">
        <f>'[20]Уточнение для Пр.5-26'!J8+'[20]Пос с др.целями(Пр.2-26)'!J8</f>
        <v>0</v>
      </c>
      <c r="K8" s="186">
        <f>'[20]Уточнение для Пр.5-26'!K8+'[20]Пос с др.целями(Пр.2-26)'!K8</f>
        <v>0</v>
      </c>
      <c r="L8" s="199">
        <f>'[20]Уточнение для Пр.5-26'!L8+'[20]Пос с др.целями(Пр.2-26)'!L8</f>
        <v>0</v>
      </c>
      <c r="M8" s="199">
        <f>'[20]Уточнение для Пр.5-26'!M8+'[20]Пос с др.целями(Пр.2-26)'!M8</f>
        <v>0</v>
      </c>
      <c r="N8" s="199">
        <f>'[20]Уточнение для Пр.5-26'!N8+'[20]Пос с др.целями(Пр.2-26)'!N8</f>
        <v>0</v>
      </c>
    </row>
    <row r="9" spans="1:17" s="187" customFormat="1" ht="12" customHeight="1" x14ac:dyDescent="0.2">
      <c r="A9" s="946" t="s">
        <v>15</v>
      </c>
      <c r="B9" s="947"/>
      <c r="C9" s="948"/>
      <c r="D9" s="188">
        <f t="shared" ref="D9:N9" si="1">SUM(D10:D144)-D90</f>
        <v>2179179</v>
      </c>
      <c r="E9" s="188">
        <f t="shared" si="1"/>
        <v>67678</v>
      </c>
      <c r="F9" s="188">
        <f t="shared" si="1"/>
        <v>2300</v>
      </c>
      <c r="G9" s="188">
        <f t="shared" si="1"/>
        <v>65378</v>
      </c>
      <c r="H9" s="188">
        <f t="shared" si="1"/>
        <v>2058427</v>
      </c>
      <c r="I9" s="188">
        <f t="shared" si="1"/>
        <v>150728</v>
      </c>
      <c r="J9" s="188">
        <f t="shared" si="1"/>
        <v>141745</v>
      </c>
      <c r="K9" s="188">
        <f t="shared" si="1"/>
        <v>1765954</v>
      </c>
      <c r="L9" s="188">
        <f t="shared" si="1"/>
        <v>53074</v>
      </c>
      <c r="M9" s="188">
        <f t="shared" si="1"/>
        <v>42459</v>
      </c>
      <c r="N9" s="188">
        <f t="shared" si="1"/>
        <v>10615</v>
      </c>
      <c r="O9" s="200"/>
    </row>
    <row r="10" spans="1:17" x14ac:dyDescent="0.2">
      <c r="A10" s="128">
        <v>1</v>
      </c>
      <c r="B10" s="71" t="s">
        <v>54</v>
      </c>
      <c r="C10" s="31" t="s">
        <v>55</v>
      </c>
      <c r="D10" s="186">
        <f>E10+H10+L10</f>
        <v>4462</v>
      </c>
      <c r="E10" s="186">
        <f>F10+G10</f>
        <v>0</v>
      </c>
      <c r="F10" s="186">
        <f>'[20]Уточнение для Пр.5-26'!F10+'[20]Пос с др.целями(Пр.2-26)'!F10</f>
        <v>0</v>
      </c>
      <c r="G10" s="186">
        <f>'[20]Уточнение для Пр.5-26'!G10+'[20]Пос с др.целями(Пр.2-26)'!G10</f>
        <v>0</v>
      </c>
      <c r="H10" s="186">
        <f>I10+J10+K10</f>
        <v>4462</v>
      </c>
      <c r="I10" s="189">
        <v>67</v>
      </c>
      <c r="J10" s="189">
        <v>663</v>
      </c>
      <c r="K10" s="189">
        <v>3732</v>
      </c>
      <c r="L10" s="192">
        <f>M10+N10</f>
        <v>0</v>
      </c>
      <c r="M10" s="192">
        <v>0</v>
      </c>
      <c r="N10" s="192">
        <v>0</v>
      </c>
      <c r="O10" s="201"/>
      <c r="P10" s="198"/>
      <c r="Q10" s="198"/>
    </row>
    <row r="11" spans="1:17" x14ac:dyDescent="0.2">
      <c r="A11" s="128">
        <v>2</v>
      </c>
      <c r="B11" s="72" t="s">
        <v>56</v>
      </c>
      <c r="C11" s="31" t="s">
        <v>57</v>
      </c>
      <c r="D11" s="186">
        <f t="shared" ref="D11:D74" si="2">E11+H11+L11</f>
        <v>4585</v>
      </c>
      <c r="E11" s="186">
        <f t="shared" ref="E11:E76" si="3">F11+G11</f>
        <v>0</v>
      </c>
      <c r="F11" s="186">
        <f>'[20]Уточнение для Пр.5-26'!F11+'[20]Пос с др.целями(Пр.2-26)'!F11</f>
        <v>0</v>
      </c>
      <c r="G11" s="186">
        <f>'[20]Уточнение для Пр.5-26'!G11+'[20]Пос с др.целями(Пр.2-26)'!G11</f>
        <v>0</v>
      </c>
      <c r="H11" s="186">
        <f t="shared" ref="H11:H73" si="4">I11+J11+K11</f>
        <v>4585</v>
      </c>
      <c r="I11" s="189">
        <v>305</v>
      </c>
      <c r="J11" s="189">
        <v>922</v>
      </c>
      <c r="K11" s="189">
        <v>3358</v>
      </c>
      <c r="L11" s="192">
        <f t="shared" ref="L11:L74" si="5">M11+N11</f>
        <v>0</v>
      </c>
      <c r="M11" s="192">
        <v>0</v>
      </c>
      <c r="N11" s="192">
        <v>0</v>
      </c>
      <c r="O11" s="201"/>
    </row>
    <row r="12" spans="1:17" x14ac:dyDescent="0.2">
      <c r="A12" s="128">
        <v>3</v>
      </c>
      <c r="B12" s="834" t="s">
        <v>16</v>
      </c>
      <c r="C12" s="31" t="s">
        <v>17</v>
      </c>
      <c r="D12" s="186">
        <f t="shared" si="2"/>
        <v>27046</v>
      </c>
      <c r="E12" s="186">
        <f t="shared" si="3"/>
        <v>0</v>
      </c>
      <c r="F12" s="186">
        <f>'[20]Уточнение для Пр.5-26'!F12+'[20]Пос с др.целями(Пр.2-26)'!F12</f>
        <v>0</v>
      </c>
      <c r="G12" s="186">
        <f>'[20]Уточнение для Пр.5-26'!G12+'[20]Пос с др.целями(Пр.2-26)'!G12</f>
        <v>0</v>
      </c>
      <c r="H12" s="186">
        <f t="shared" si="4"/>
        <v>25150</v>
      </c>
      <c r="I12" s="189">
        <v>675</v>
      </c>
      <c r="J12" s="189">
        <v>0</v>
      </c>
      <c r="K12" s="189">
        <v>24475</v>
      </c>
      <c r="L12" s="192">
        <f t="shared" si="5"/>
        <v>1896</v>
      </c>
      <c r="M12" s="192">
        <v>1517</v>
      </c>
      <c r="N12" s="192">
        <v>379</v>
      </c>
      <c r="O12" s="201"/>
    </row>
    <row r="13" spans="1:17" x14ac:dyDescent="0.2">
      <c r="A13" s="128">
        <v>4</v>
      </c>
      <c r="B13" s="71" t="s">
        <v>58</v>
      </c>
      <c r="C13" s="31" t="s">
        <v>59</v>
      </c>
      <c r="D13" s="186">
        <f t="shared" si="2"/>
        <v>10670</v>
      </c>
      <c r="E13" s="186">
        <f t="shared" si="3"/>
        <v>0</v>
      </c>
      <c r="F13" s="186">
        <f>'[20]Уточнение для Пр.5-26'!F13+'[20]Пос с др.целями(Пр.2-26)'!F13</f>
        <v>0</v>
      </c>
      <c r="G13" s="186">
        <f>'[20]Уточнение для Пр.5-26'!G13+'[20]Пос с др.целями(Пр.2-26)'!G13</f>
        <v>0</v>
      </c>
      <c r="H13" s="186">
        <f t="shared" si="4"/>
        <v>10670</v>
      </c>
      <c r="I13" s="189">
        <v>1700</v>
      </c>
      <c r="J13" s="189">
        <v>1759</v>
      </c>
      <c r="K13" s="189">
        <v>7211</v>
      </c>
      <c r="L13" s="192">
        <f t="shared" si="5"/>
        <v>0</v>
      </c>
      <c r="M13" s="192">
        <v>0</v>
      </c>
      <c r="N13" s="192">
        <v>0</v>
      </c>
      <c r="O13" s="201"/>
    </row>
    <row r="14" spans="1:17" x14ac:dyDescent="0.2">
      <c r="A14" s="128">
        <v>5</v>
      </c>
      <c r="B14" s="71" t="s">
        <v>60</v>
      </c>
      <c r="C14" s="31" t="s">
        <v>61</v>
      </c>
      <c r="D14" s="186">
        <f t="shared" si="2"/>
        <v>9184</v>
      </c>
      <c r="E14" s="186">
        <f t="shared" si="3"/>
        <v>0</v>
      </c>
      <c r="F14" s="186">
        <f>'[20]Уточнение для Пр.5-26'!F14+'[20]Пос с др.целями(Пр.2-26)'!F14</f>
        <v>0</v>
      </c>
      <c r="G14" s="186">
        <f>'[20]Уточнение для Пр.5-26'!G14+'[20]Пос с др.целями(Пр.2-26)'!G14</f>
        <v>0</v>
      </c>
      <c r="H14" s="186">
        <f t="shared" si="4"/>
        <v>9184</v>
      </c>
      <c r="I14" s="189">
        <v>1350</v>
      </c>
      <c r="J14" s="189">
        <v>97</v>
      </c>
      <c r="K14" s="189">
        <v>7737</v>
      </c>
      <c r="L14" s="192">
        <f t="shared" si="5"/>
        <v>0</v>
      </c>
      <c r="M14" s="192">
        <v>0</v>
      </c>
      <c r="N14" s="192">
        <v>0</v>
      </c>
      <c r="O14" s="201"/>
    </row>
    <row r="15" spans="1:17" x14ac:dyDescent="0.2">
      <c r="A15" s="128">
        <v>6</v>
      </c>
      <c r="B15" s="834" t="s">
        <v>18</v>
      </c>
      <c r="C15" s="31" t="s">
        <v>19</v>
      </c>
      <c r="D15" s="186">
        <f t="shared" si="2"/>
        <v>169838</v>
      </c>
      <c r="E15" s="186">
        <f t="shared" si="3"/>
        <v>0</v>
      </c>
      <c r="F15" s="186">
        <f>'[20]Уточнение для Пр.5-26'!F15+'[20]Пос с др.целями(Пр.2-26)'!F15</f>
        <v>0</v>
      </c>
      <c r="G15" s="186">
        <f>'[20]Уточнение для Пр.5-26'!G15+'[20]Пос с др.целями(Пр.2-26)'!G15</f>
        <v>0</v>
      </c>
      <c r="H15" s="186">
        <f t="shared" si="4"/>
        <v>166163</v>
      </c>
      <c r="I15" s="189">
        <v>6356</v>
      </c>
      <c r="J15" s="189">
        <v>18012</v>
      </c>
      <c r="K15" s="189">
        <v>141795</v>
      </c>
      <c r="L15" s="192">
        <f t="shared" si="5"/>
        <v>3675</v>
      </c>
      <c r="M15" s="192">
        <v>2940</v>
      </c>
      <c r="N15" s="192">
        <v>735</v>
      </c>
      <c r="O15" s="201"/>
    </row>
    <row r="16" spans="1:17" x14ac:dyDescent="0.2">
      <c r="A16" s="128">
        <v>7</v>
      </c>
      <c r="B16" s="71" t="s">
        <v>62</v>
      </c>
      <c r="C16" s="31" t="s">
        <v>63</v>
      </c>
      <c r="D16" s="186">
        <f t="shared" si="2"/>
        <v>22890</v>
      </c>
      <c r="E16" s="186">
        <f t="shared" si="3"/>
        <v>0</v>
      </c>
      <c r="F16" s="186">
        <f>'[20]Уточнение для Пр.5-26'!F16+'[20]Пос с др.целями(Пр.2-26)'!F16</f>
        <v>0</v>
      </c>
      <c r="G16" s="186">
        <f>'[20]Уточнение для Пр.5-26'!G16+'[20]Пос с др.целями(Пр.2-26)'!G16</f>
        <v>0</v>
      </c>
      <c r="H16" s="186">
        <f t="shared" si="4"/>
        <v>21213</v>
      </c>
      <c r="I16" s="189">
        <v>1779</v>
      </c>
      <c r="J16" s="189">
        <v>2810</v>
      </c>
      <c r="K16" s="189">
        <v>16624</v>
      </c>
      <c r="L16" s="192">
        <f t="shared" si="5"/>
        <v>1677</v>
      </c>
      <c r="M16" s="192">
        <v>1342</v>
      </c>
      <c r="N16" s="192">
        <v>335</v>
      </c>
      <c r="O16" s="201"/>
    </row>
    <row r="17" spans="1:15" x14ac:dyDescent="0.2">
      <c r="A17" s="128">
        <v>8</v>
      </c>
      <c r="B17" s="834" t="s">
        <v>64</v>
      </c>
      <c r="C17" s="31" t="s">
        <v>65</v>
      </c>
      <c r="D17" s="186">
        <f t="shared" si="2"/>
        <v>13771</v>
      </c>
      <c r="E17" s="186">
        <f t="shared" si="3"/>
        <v>0</v>
      </c>
      <c r="F17" s="186">
        <f>'[20]Уточнение для Пр.5-26'!F17+'[20]Пос с др.целями(Пр.2-26)'!F17</f>
        <v>0</v>
      </c>
      <c r="G17" s="186">
        <f>'[20]Уточнение для Пр.5-26'!G17+'[20]Пос с др.целями(Пр.2-26)'!G17</f>
        <v>0</v>
      </c>
      <c r="H17" s="186">
        <f t="shared" si="4"/>
        <v>13771</v>
      </c>
      <c r="I17" s="189">
        <v>2430</v>
      </c>
      <c r="J17" s="189">
        <v>1963</v>
      </c>
      <c r="K17" s="189">
        <v>9378</v>
      </c>
      <c r="L17" s="192">
        <f t="shared" si="5"/>
        <v>0</v>
      </c>
      <c r="M17" s="192">
        <v>0</v>
      </c>
      <c r="N17" s="192">
        <v>0</v>
      </c>
      <c r="O17" s="201"/>
    </row>
    <row r="18" spans="1:15" x14ac:dyDescent="0.2">
      <c r="A18" s="128">
        <v>9</v>
      </c>
      <c r="B18" s="834" t="s">
        <v>66</v>
      </c>
      <c r="C18" s="31" t="s">
        <v>67</v>
      </c>
      <c r="D18" s="186">
        <f t="shared" si="2"/>
        <v>4477</v>
      </c>
      <c r="E18" s="186">
        <f t="shared" si="3"/>
        <v>0</v>
      </c>
      <c r="F18" s="186">
        <f>'[20]Уточнение для Пр.5-26'!F18+'[20]Пос с др.целями(Пр.2-26)'!F18</f>
        <v>0</v>
      </c>
      <c r="G18" s="186">
        <f>'[20]Уточнение для Пр.5-26'!G18+'[20]Пос с др.целями(Пр.2-26)'!G18</f>
        <v>0</v>
      </c>
      <c r="H18" s="186">
        <f t="shared" si="4"/>
        <v>4477</v>
      </c>
      <c r="I18" s="189">
        <v>0</v>
      </c>
      <c r="J18" s="189">
        <v>0</v>
      </c>
      <c r="K18" s="189">
        <v>4477</v>
      </c>
      <c r="L18" s="192">
        <f t="shared" si="5"/>
        <v>0</v>
      </c>
      <c r="M18" s="192">
        <v>0</v>
      </c>
      <c r="N18" s="192">
        <v>0</v>
      </c>
      <c r="O18" s="201"/>
    </row>
    <row r="19" spans="1:15" x14ac:dyDescent="0.2">
      <c r="A19" s="128">
        <v>10</v>
      </c>
      <c r="B19" s="834" t="s">
        <v>68</v>
      </c>
      <c r="C19" s="31" t="s">
        <v>69</v>
      </c>
      <c r="D19" s="186">
        <f t="shared" si="2"/>
        <v>8092</v>
      </c>
      <c r="E19" s="186">
        <f t="shared" si="3"/>
        <v>0</v>
      </c>
      <c r="F19" s="186">
        <f>'[20]Уточнение для Пр.5-26'!F19+'[20]Пос с др.целями(Пр.2-26)'!F19</f>
        <v>0</v>
      </c>
      <c r="G19" s="186">
        <f>'[20]Уточнение для Пр.5-26'!G19+'[20]Пос с др.целями(Пр.2-26)'!G19</f>
        <v>0</v>
      </c>
      <c r="H19" s="186">
        <f t="shared" si="4"/>
        <v>8092</v>
      </c>
      <c r="I19" s="189">
        <v>57</v>
      </c>
      <c r="J19" s="189">
        <v>3237</v>
      </c>
      <c r="K19" s="189">
        <v>4798</v>
      </c>
      <c r="L19" s="192">
        <f t="shared" si="5"/>
        <v>0</v>
      </c>
      <c r="M19" s="192">
        <v>0</v>
      </c>
      <c r="N19" s="192">
        <v>0</v>
      </c>
      <c r="O19" s="201"/>
    </row>
    <row r="20" spans="1:15" x14ac:dyDescent="0.2">
      <c r="A20" s="128">
        <v>11</v>
      </c>
      <c r="B20" s="834" t="s">
        <v>70</v>
      </c>
      <c r="C20" s="31" t="s">
        <v>71</v>
      </c>
      <c r="D20" s="186">
        <f t="shared" si="2"/>
        <v>8045</v>
      </c>
      <c r="E20" s="186">
        <f t="shared" si="3"/>
        <v>0</v>
      </c>
      <c r="F20" s="186">
        <f>'[20]Уточнение для Пр.5-26'!F20+'[20]Пос с др.целями(Пр.2-26)'!F20</f>
        <v>0</v>
      </c>
      <c r="G20" s="186">
        <f>'[20]Уточнение для Пр.5-26'!G20+'[20]Пос с др.целями(Пр.2-26)'!G20</f>
        <v>0</v>
      </c>
      <c r="H20" s="186">
        <f t="shared" si="4"/>
        <v>8045</v>
      </c>
      <c r="I20" s="189">
        <v>1185</v>
      </c>
      <c r="J20" s="189">
        <v>758</v>
      </c>
      <c r="K20" s="189">
        <v>6102</v>
      </c>
      <c r="L20" s="192">
        <f t="shared" si="5"/>
        <v>0</v>
      </c>
      <c r="M20" s="192">
        <v>0</v>
      </c>
      <c r="N20" s="192">
        <v>0</v>
      </c>
      <c r="O20" s="201"/>
    </row>
    <row r="21" spans="1:15" x14ac:dyDescent="0.2">
      <c r="A21" s="128">
        <v>12</v>
      </c>
      <c r="B21" s="834" t="s">
        <v>72</v>
      </c>
      <c r="C21" s="31" t="s">
        <v>73</v>
      </c>
      <c r="D21" s="186">
        <f t="shared" si="2"/>
        <v>23102</v>
      </c>
      <c r="E21" s="186">
        <f t="shared" si="3"/>
        <v>0</v>
      </c>
      <c r="F21" s="186">
        <f>'[20]Уточнение для Пр.5-26'!F21+'[20]Пос с др.целями(Пр.2-26)'!F21</f>
        <v>0</v>
      </c>
      <c r="G21" s="186">
        <f>'[20]Уточнение для Пр.5-26'!G21+'[20]Пос с др.целями(Пр.2-26)'!G21</f>
        <v>0</v>
      </c>
      <c r="H21" s="186">
        <f t="shared" si="4"/>
        <v>23102</v>
      </c>
      <c r="I21" s="189">
        <v>150</v>
      </c>
      <c r="J21" s="189">
        <v>1975</v>
      </c>
      <c r="K21" s="189">
        <v>20977</v>
      </c>
      <c r="L21" s="192">
        <f t="shared" si="5"/>
        <v>0</v>
      </c>
      <c r="M21" s="192">
        <v>0</v>
      </c>
      <c r="N21" s="192">
        <v>0</v>
      </c>
      <c r="O21" s="201"/>
    </row>
    <row r="22" spans="1:15" x14ac:dyDescent="0.2">
      <c r="A22" s="128">
        <v>13</v>
      </c>
      <c r="B22" s="834" t="s">
        <v>74</v>
      </c>
      <c r="C22" s="31" t="s">
        <v>75</v>
      </c>
      <c r="D22" s="186">
        <f t="shared" si="2"/>
        <v>0</v>
      </c>
      <c r="E22" s="186">
        <f t="shared" si="3"/>
        <v>0</v>
      </c>
      <c r="F22" s="186">
        <f>'[20]Уточнение для Пр.5-26'!F22+'[20]Пос с др.целями(Пр.2-26)'!F22</f>
        <v>0</v>
      </c>
      <c r="G22" s="186">
        <f>'[20]Уточнение для Пр.5-26'!G22+'[20]Пос с др.целями(Пр.2-26)'!G22</f>
        <v>0</v>
      </c>
      <c r="H22" s="186">
        <f t="shared" si="4"/>
        <v>0</v>
      </c>
      <c r="I22" s="189">
        <v>0</v>
      </c>
      <c r="J22" s="189">
        <v>0</v>
      </c>
      <c r="K22" s="189">
        <v>0</v>
      </c>
      <c r="L22" s="192">
        <f t="shared" si="5"/>
        <v>0</v>
      </c>
      <c r="M22" s="192">
        <v>0</v>
      </c>
      <c r="N22" s="192">
        <v>0</v>
      </c>
      <c r="O22" s="201"/>
    </row>
    <row r="23" spans="1:15" x14ac:dyDescent="0.2">
      <c r="A23" s="128">
        <v>14</v>
      </c>
      <c r="B23" s="834" t="s">
        <v>76</v>
      </c>
      <c r="C23" s="31" t="s">
        <v>77</v>
      </c>
      <c r="D23" s="186">
        <f t="shared" si="2"/>
        <v>12334</v>
      </c>
      <c r="E23" s="186">
        <f t="shared" si="3"/>
        <v>0</v>
      </c>
      <c r="F23" s="186">
        <f>'[20]Уточнение для Пр.5-26'!F23+'[20]Пос с др.целями(Пр.2-26)'!F23</f>
        <v>0</v>
      </c>
      <c r="G23" s="186">
        <f>'[20]Уточнение для Пр.5-26'!G23+'[20]Пос с др.целями(Пр.2-26)'!G23</f>
        <v>0</v>
      </c>
      <c r="H23" s="186">
        <f t="shared" si="4"/>
        <v>12334</v>
      </c>
      <c r="I23" s="189">
        <v>118</v>
      </c>
      <c r="J23" s="189">
        <v>1719</v>
      </c>
      <c r="K23" s="189">
        <v>10497</v>
      </c>
      <c r="L23" s="192">
        <f t="shared" si="5"/>
        <v>0</v>
      </c>
      <c r="M23" s="192">
        <v>0</v>
      </c>
      <c r="N23" s="192">
        <v>0</v>
      </c>
      <c r="O23" s="201"/>
    </row>
    <row r="24" spans="1:15" x14ac:dyDescent="0.2">
      <c r="A24" s="128">
        <v>15</v>
      </c>
      <c r="B24" s="834" t="s">
        <v>78</v>
      </c>
      <c r="C24" s="31" t="s">
        <v>79</v>
      </c>
      <c r="D24" s="186">
        <f t="shared" si="2"/>
        <v>29728</v>
      </c>
      <c r="E24" s="186">
        <f t="shared" si="3"/>
        <v>0</v>
      </c>
      <c r="F24" s="186">
        <f>'[20]Уточнение для Пр.5-26'!F24+'[20]Пос с др.целями(Пр.2-26)'!F24</f>
        <v>0</v>
      </c>
      <c r="G24" s="186">
        <f>'[20]Уточнение для Пр.5-26'!G24+'[20]Пос с др.целями(Пр.2-26)'!G24</f>
        <v>0</v>
      </c>
      <c r="H24" s="186">
        <f t="shared" si="4"/>
        <v>29728</v>
      </c>
      <c r="I24" s="189">
        <v>1328</v>
      </c>
      <c r="J24" s="189">
        <v>0</v>
      </c>
      <c r="K24" s="189">
        <v>28400</v>
      </c>
      <c r="L24" s="192">
        <f t="shared" si="5"/>
        <v>0</v>
      </c>
      <c r="M24" s="192">
        <v>0</v>
      </c>
      <c r="N24" s="192">
        <v>0</v>
      </c>
      <c r="O24" s="201"/>
    </row>
    <row r="25" spans="1:15" x14ac:dyDescent="0.2">
      <c r="A25" s="128">
        <v>16</v>
      </c>
      <c r="B25" s="834" t="s">
        <v>80</v>
      </c>
      <c r="C25" s="31" t="s">
        <v>81</v>
      </c>
      <c r="D25" s="186">
        <f t="shared" si="2"/>
        <v>26611</v>
      </c>
      <c r="E25" s="186">
        <f t="shared" si="3"/>
        <v>0</v>
      </c>
      <c r="F25" s="186">
        <f>'[20]Уточнение для Пр.5-26'!F25+'[20]Пос с др.целями(Пр.2-26)'!F25</f>
        <v>0</v>
      </c>
      <c r="G25" s="186">
        <f>'[20]Уточнение для Пр.5-26'!G25+'[20]Пос с др.целями(Пр.2-26)'!G25</f>
        <v>0</v>
      </c>
      <c r="H25" s="186">
        <f t="shared" si="4"/>
        <v>26611</v>
      </c>
      <c r="I25" s="189">
        <v>2000</v>
      </c>
      <c r="J25" s="189">
        <v>2978</v>
      </c>
      <c r="K25" s="189">
        <v>21633</v>
      </c>
      <c r="L25" s="192">
        <f t="shared" si="5"/>
        <v>0</v>
      </c>
      <c r="M25" s="192">
        <v>0</v>
      </c>
      <c r="N25" s="192">
        <v>0</v>
      </c>
      <c r="O25" s="201"/>
    </row>
    <row r="26" spans="1:15" x14ac:dyDescent="0.2">
      <c r="A26" s="128">
        <v>17</v>
      </c>
      <c r="B26" s="834" t="s">
        <v>20</v>
      </c>
      <c r="C26" s="31" t="s">
        <v>21</v>
      </c>
      <c r="D26" s="186">
        <f t="shared" si="2"/>
        <v>45725</v>
      </c>
      <c r="E26" s="186">
        <f t="shared" si="3"/>
        <v>0</v>
      </c>
      <c r="F26" s="186">
        <f>'[20]Уточнение для Пр.5-26'!F26+'[20]Пос с др.целями(Пр.2-26)'!F26</f>
        <v>0</v>
      </c>
      <c r="G26" s="186">
        <f>'[20]Уточнение для Пр.5-26'!G26+'[20]Пос с др.целями(Пр.2-26)'!G26</f>
        <v>0</v>
      </c>
      <c r="H26" s="186">
        <f t="shared" si="4"/>
        <v>42334</v>
      </c>
      <c r="I26" s="189">
        <v>4600</v>
      </c>
      <c r="J26" s="189">
        <v>6937</v>
      </c>
      <c r="K26" s="189">
        <v>30797</v>
      </c>
      <c r="L26" s="192">
        <f t="shared" si="5"/>
        <v>3391</v>
      </c>
      <c r="M26" s="192">
        <v>2713</v>
      </c>
      <c r="N26" s="192">
        <v>678</v>
      </c>
      <c r="O26" s="201"/>
    </row>
    <row r="27" spans="1:15" x14ac:dyDescent="0.2">
      <c r="A27" s="128">
        <v>18</v>
      </c>
      <c r="B27" s="71" t="s">
        <v>82</v>
      </c>
      <c r="C27" s="31" t="s">
        <v>83</v>
      </c>
      <c r="D27" s="186">
        <f t="shared" si="2"/>
        <v>5431</v>
      </c>
      <c r="E27" s="186">
        <f t="shared" si="3"/>
        <v>0</v>
      </c>
      <c r="F27" s="186">
        <f>'[20]Уточнение для Пр.5-26'!F27+'[20]Пос с др.целями(Пр.2-26)'!F27</f>
        <v>0</v>
      </c>
      <c r="G27" s="186">
        <f>'[20]Уточнение для Пр.5-26'!G27+'[20]Пос с др.целями(Пр.2-26)'!G27</f>
        <v>0</v>
      </c>
      <c r="H27" s="186">
        <f t="shared" si="4"/>
        <v>5431</v>
      </c>
      <c r="I27" s="189">
        <v>600</v>
      </c>
      <c r="J27" s="189">
        <v>0</v>
      </c>
      <c r="K27" s="189">
        <v>4831</v>
      </c>
      <c r="L27" s="192">
        <f t="shared" si="5"/>
        <v>0</v>
      </c>
      <c r="M27" s="192">
        <v>0</v>
      </c>
      <c r="N27" s="192">
        <v>0</v>
      </c>
      <c r="O27" s="201"/>
    </row>
    <row r="28" spans="1:15" x14ac:dyDescent="0.2">
      <c r="A28" s="128">
        <v>19</v>
      </c>
      <c r="B28" s="71" t="s">
        <v>84</v>
      </c>
      <c r="C28" s="31" t="s">
        <v>85</v>
      </c>
      <c r="D28" s="186">
        <f t="shared" si="2"/>
        <v>7497</v>
      </c>
      <c r="E28" s="186">
        <f t="shared" si="3"/>
        <v>0</v>
      </c>
      <c r="F28" s="186">
        <f>'[20]Уточнение для Пр.5-26'!F28+'[20]Пос с др.целями(Пр.2-26)'!F28</f>
        <v>0</v>
      </c>
      <c r="G28" s="186">
        <f>'[20]Уточнение для Пр.5-26'!G28+'[20]Пос с др.целями(Пр.2-26)'!G28</f>
        <v>0</v>
      </c>
      <c r="H28" s="186">
        <f t="shared" si="4"/>
        <v>7497</v>
      </c>
      <c r="I28" s="189">
        <v>704</v>
      </c>
      <c r="J28" s="189">
        <v>1251</v>
      </c>
      <c r="K28" s="189">
        <v>5542</v>
      </c>
      <c r="L28" s="192">
        <f t="shared" si="5"/>
        <v>0</v>
      </c>
      <c r="M28" s="192">
        <v>0</v>
      </c>
      <c r="N28" s="192">
        <v>0</v>
      </c>
      <c r="O28" s="201"/>
    </row>
    <row r="29" spans="1:15" x14ac:dyDescent="0.2">
      <c r="A29" s="128">
        <v>20</v>
      </c>
      <c r="B29" s="71" t="s">
        <v>86</v>
      </c>
      <c r="C29" s="31" t="s">
        <v>87</v>
      </c>
      <c r="D29" s="186">
        <f t="shared" si="2"/>
        <v>38574</v>
      </c>
      <c r="E29" s="186">
        <f t="shared" si="3"/>
        <v>0</v>
      </c>
      <c r="F29" s="186">
        <f>'[20]Уточнение для Пр.5-26'!F29+'[20]Пос с др.целями(Пр.2-26)'!F29</f>
        <v>0</v>
      </c>
      <c r="G29" s="186">
        <f>'[20]Уточнение для Пр.5-26'!G29+'[20]Пос с др.целями(Пр.2-26)'!G29</f>
        <v>0</v>
      </c>
      <c r="H29" s="186">
        <f t="shared" si="4"/>
        <v>38574</v>
      </c>
      <c r="I29" s="189">
        <v>3407</v>
      </c>
      <c r="J29" s="189">
        <v>4141</v>
      </c>
      <c r="K29" s="189">
        <v>31026</v>
      </c>
      <c r="L29" s="192">
        <f t="shared" si="5"/>
        <v>0</v>
      </c>
      <c r="M29" s="192">
        <v>0</v>
      </c>
      <c r="N29" s="192">
        <v>0</v>
      </c>
      <c r="O29" s="201"/>
    </row>
    <row r="30" spans="1:15" x14ac:dyDescent="0.2">
      <c r="A30" s="128">
        <v>21</v>
      </c>
      <c r="B30" s="71" t="s">
        <v>22</v>
      </c>
      <c r="C30" s="31" t="s">
        <v>23</v>
      </c>
      <c r="D30" s="186">
        <f t="shared" si="2"/>
        <v>37039</v>
      </c>
      <c r="E30" s="186">
        <f t="shared" si="3"/>
        <v>0</v>
      </c>
      <c r="F30" s="186">
        <f>'[20]Уточнение для Пр.5-26'!F30+'[20]Пос с др.целями(Пр.2-26)'!F30</f>
        <v>0</v>
      </c>
      <c r="G30" s="186">
        <f>'[20]Уточнение для Пр.5-26'!G30+'[20]Пос с др.целями(Пр.2-26)'!G30</f>
        <v>0</v>
      </c>
      <c r="H30" s="186">
        <f t="shared" si="4"/>
        <v>34831</v>
      </c>
      <c r="I30" s="189">
        <v>3741</v>
      </c>
      <c r="J30" s="189">
        <v>3378</v>
      </c>
      <c r="K30" s="189">
        <v>27712</v>
      </c>
      <c r="L30" s="192">
        <f t="shared" si="5"/>
        <v>2208</v>
      </c>
      <c r="M30" s="192">
        <v>1766</v>
      </c>
      <c r="N30" s="192">
        <v>442</v>
      </c>
      <c r="O30" s="201"/>
    </row>
    <row r="31" spans="1:15" x14ac:dyDescent="0.2">
      <c r="A31" s="128">
        <v>22</v>
      </c>
      <c r="B31" s="834" t="s">
        <v>24</v>
      </c>
      <c r="C31" s="31" t="s">
        <v>25</v>
      </c>
      <c r="D31" s="186">
        <f t="shared" si="2"/>
        <v>9022</v>
      </c>
      <c r="E31" s="186">
        <f t="shared" si="3"/>
        <v>0</v>
      </c>
      <c r="F31" s="186">
        <f>'[20]Уточнение для Пр.5-26'!F31+'[20]Пос с др.целями(Пр.2-26)'!F31</f>
        <v>0</v>
      </c>
      <c r="G31" s="186">
        <f>'[20]Уточнение для Пр.5-26'!G31+'[20]Пос с др.целями(Пр.2-26)'!G31</f>
        <v>0</v>
      </c>
      <c r="H31" s="186">
        <f t="shared" si="4"/>
        <v>9022</v>
      </c>
      <c r="I31" s="189">
        <v>701</v>
      </c>
      <c r="J31" s="189">
        <v>1097</v>
      </c>
      <c r="K31" s="189">
        <v>7224</v>
      </c>
      <c r="L31" s="192">
        <f t="shared" si="5"/>
        <v>0</v>
      </c>
      <c r="M31" s="192">
        <v>0</v>
      </c>
      <c r="N31" s="192">
        <v>0</v>
      </c>
      <c r="O31" s="201"/>
    </row>
    <row r="32" spans="1:15" x14ac:dyDescent="0.2">
      <c r="A32" s="128">
        <v>23</v>
      </c>
      <c r="B32" s="834" t="s">
        <v>88</v>
      </c>
      <c r="C32" s="31" t="s">
        <v>89</v>
      </c>
      <c r="D32" s="186">
        <f t="shared" si="2"/>
        <v>0</v>
      </c>
      <c r="E32" s="186">
        <f t="shared" si="3"/>
        <v>0</v>
      </c>
      <c r="F32" s="186">
        <f>'[20]Уточнение для Пр.5-26'!F32+'[20]Пос с др.целями(Пр.2-26)'!F32</f>
        <v>0</v>
      </c>
      <c r="G32" s="186">
        <f>'[20]Уточнение для Пр.5-26'!G32+'[20]Пос с др.целями(Пр.2-26)'!G32</f>
        <v>0</v>
      </c>
      <c r="H32" s="186">
        <v>0</v>
      </c>
      <c r="I32" s="189">
        <v>0</v>
      </c>
      <c r="J32" s="189">
        <v>0</v>
      </c>
      <c r="K32" s="189">
        <v>0</v>
      </c>
      <c r="L32" s="192">
        <f t="shared" si="5"/>
        <v>0</v>
      </c>
      <c r="M32" s="192">
        <v>0</v>
      </c>
      <c r="N32" s="192">
        <v>0</v>
      </c>
      <c r="O32" s="201"/>
    </row>
    <row r="33" spans="1:15" x14ac:dyDescent="0.2">
      <c r="A33" s="128">
        <v>24</v>
      </c>
      <c r="B33" s="834" t="s">
        <v>90</v>
      </c>
      <c r="C33" s="31" t="s">
        <v>91</v>
      </c>
      <c r="D33" s="186">
        <f t="shared" si="2"/>
        <v>0</v>
      </c>
      <c r="E33" s="186">
        <f t="shared" si="3"/>
        <v>0</v>
      </c>
      <c r="F33" s="186">
        <f>'[20]Уточнение для Пр.5-26'!F33+'[20]Пос с др.целями(Пр.2-26)'!F33</f>
        <v>0</v>
      </c>
      <c r="G33" s="186">
        <f>'[20]Уточнение для Пр.5-26'!G33+'[20]Пос с др.целями(Пр.2-26)'!G33</f>
        <v>0</v>
      </c>
      <c r="H33" s="186">
        <v>0</v>
      </c>
      <c r="I33" s="189">
        <v>0</v>
      </c>
      <c r="J33" s="189">
        <v>0</v>
      </c>
      <c r="K33" s="189">
        <v>0</v>
      </c>
      <c r="L33" s="192">
        <f t="shared" si="5"/>
        <v>0</v>
      </c>
      <c r="M33" s="192">
        <v>0</v>
      </c>
      <c r="N33" s="192">
        <v>0</v>
      </c>
      <c r="O33" s="201"/>
    </row>
    <row r="34" spans="1:15" x14ac:dyDescent="0.2">
      <c r="A34" s="128">
        <v>25</v>
      </c>
      <c r="B34" s="71" t="s">
        <v>92</v>
      </c>
      <c r="C34" s="31" t="s">
        <v>93</v>
      </c>
      <c r="D34" s="186">
        <f t="shared" si="2"/>
        <v>140005</v>
      </c>
      <c r="E34" s="186">
        <f t="shared" si="3"/>
        <v>0</v>
      </c>
      <c r="F34" s="186">
        <f>'[20]Уточнение для Пр.5-26'!F34+'[20]Пос с др.целями(Пр.2-26)'!F34</f>
        <v>0</v>
      </c>
      <c r="G34" s="186">
        <f>'[20]Уточнение для Пр.5-26'!G34+'[20]Пос с др.целями(Пр.2-26)'!G34</f>
        <v>0</v>
      </c>
      <c r="H34" s="186">
        <f t="shared" si="4"/>
        <v>134079</v>
      </c>
      <c r="I34" s="189">
        <v>12351</v>
      </c>
      <c r="J34" s="189">
        <v>399</v>
      </c>
      <c r="K34" s="189">
        <v>121329</v>
      </c>
      <c r="L34" s="192">
        <f t="shared" si="5"/>
        <v>5926</v>
      </c>
      <c r="M34" s="192">
        <v>4741</v>
      </c>
      <c r="N34" s="192">
        <v>1185</v>
      </c>
      <c r="O34" s="201"/>
    </row>
    <row r="35" spans="1:15" x14ac:dyDescent="0.2">
      <c r="A35" s="128">
        <v>26</v>
      </c>
      <c r="B35" s="834" t="s">
        <v>94</v>
      </c>
      <c r="C35" s="31" t="s">
        <v>95</v>
      </c>
      <c r="D35" s="186">
        <f t="shared" si="2"/>
        <v>0</v>
      </c>
      <c r="E35" s="186">
        <f t="shared" si="3"/>
        <v>0</v>
      </c>
      <c r="F35" s="186">
        <f>'[20]Уточнение для Пр.5-26'!F35+'[20]Пос с др.целями(Пр.2-26)'!F35</f>
        <v>0</v>
      </c>
      <c r="G35" s="186">
        <f>'[20]Уточнение для Пр.5-26'!G35+'[20]Пос с др.целями(Пр.2-26)'!G35</f>
        <v>0</v>
      </c>
      <c r="H35" s="186">
        <f t="shared" si="4"/>
        <v>0</v>
      </c>
      <c r="I35" s="189">
        <v>0</v>
      </c>
      <c r="J35" s="189">
        <v>0</v>
      </c>
      <c r="K35" s="189">
        <v>0</v>
      </c>
      <c r="L35" s="192">
        <f t="shared" si="5"/>
        <v>0</v>
      </c>
      <c r="M35" s="192">
        <v>0</v>
      </c>
      <c r="N35" s="192">
        <v>0</v>
      </c>
      <c r="O35" s="201"/>
    </row>
    <row r="36" spans="1:15" x14ac:dyDescent="0.2">
      <c r="A36" s="128">
        <v>27</v>
      </c>
      <c r="B36" s="72" t="s">
        <v>96</v>
      </c>
      <c r="C36" s="31" t="s">
        <v>97</v>
      </c>
      <c r="D36" s="186">
        <f t="shared" si="2"/>
        <v>0</v>
      </c>
      <c r="E36" s="186">
        <f t="shared" si="3"/>
        <v>0</v>
      </c>
      <c r="F36" s="186">
        <f>'[20]Уточнение для Пр.5-26'!F36+'[20]Пос с др.целями(Пр.2-26)'!F36</f>
        <v>0</v>
      </c>
      <c r="G36" s="186">
        <f>'[20]Уточнение для Пр.5-26'!G36+'[20]Пос с др.целями(Пр.2-26)'!G36</f>
        <v>0</v>
      </c>
      <c r="H36" s="186">
        <f t="shared" si="4"/>
        <v>0</v>
      </c>
      <c r="I36" s="189">
        <v>0</v>
      </c>
      <c r="J36" s="189">
        <v>0</v>
      </c>
      <c r="K36" s="189">
        <v>0</v>
      </c>
      <c r="L36" s="192">
        <f t="shared" si="5"/>
        <v>0</v>
      </c>
      <c r="M36" s="192">
        <v>0</v>
      </c>
      <c r="N36" s="192">
        <v>0</v>
      </c>
      <c r="O36" s="201"/>
    </row>
    <row r="37" spans="1:15" x14ac:dyDescent="0.2">
      <c r="A37" s="128">
        <v>28</v>
      </c>
      <c r="B37" s="72" t="s">
        <v>26</v>
      </c>
      <c r="C37" s="31" t="s">
        <v>27</v>
      </c>
      <c r="D37" s="186">
        <f t="shared" si="2"/>
        <v>40363</v>
      </c>
      <c r="E37" s="186">
        <f t="shared" si="3"/>
        <v>0</v>
      </c>
      <c r="F37" s="186">
        <f>'[20]Уточнение для Пр.5-26'!F37+'[20]Пос с др.целями(Пр.2-26)'!F37</f>
        <v>0</v>
      </c>
      <c r="G37" s="186">
        <f>'[20]Уточнение для Пр.5-26'!G37+'[20]Пос с др.целями(Пр.2-26)'!G37</f>
        <v>0</v>
      </c>
      <c r="H37" s="186">
        <f t="shared" si="4"/>
        <v>38754</v>
      </c>
      <c r="I37" s="189">
        <v>3200</v>
      </c>
      <c r="J37" s="189">
        <v>1982</v>
      </c>
      <c r="K37" s="189">
        <v>33572</v>
      </c>
      <c r="L37" s="192">
        <f t="shared" si="5"/>
        <v>1609</v>
      </c>
      <c r="M37" s="192">
        <v>1287</v>
      </c>
      <c r="N37" s="192">
        <v>322</v>
      </c>
      <c r="O37" s="201"/>
    </row>
    <row r="38" spans="1:15" x14ac:dyDescent="0.2">
      <c r="A38" s="128">
        <v>29</v>
      </c>
      <c r="B38" s="71" t="s">
        <v>98</v>
      </c>
      <c r="C38" s="31" t="s">
        <v>99</v>
      </c>
      <c r="D38" s="186">
        <f t="shared" si="2"/>
        <v>49452</v>
      </c>
      <c r="E38" s="186">
        <f t="shared" si="3"/>
        <v>0</v>
      </c>
      <c r="F38" s="186">
        <f>'[20]Уточнение для Пр.5-26'!F38+'[20]Пос с др.целями(Пр.2-26)'!F38</f>
        <v>0</v>
      </c>
      <c r="G38" s="186">
        <f>'[20]Уточнение для Пр.5-26'!G38+'[20]Пос с др.целями(Пр.2-26)'!G38</f>
        <v>0</v>
      </c>
      <c r="H38" s="186">
        <f t="shared" si="4"/>
        <v>46671</v>
      </c>
      <c r="I38" s="189">
        <v>4300</v>
      </c>
      <c r="J38" s="189">
        <v>6748</v>
      </c>
      <c r="K38" s="189">
        <v>35623</v>
      </c>
      <c r="L38" s="192">
        <f t="shared" si="5"/>
        <v>2781</v>
      </c>
      <c r="M38" s="192">
        <v>2225</v>
      </c>
      <c r="N38" s="192">
        <v>556</v>
      </c>
      <c r="O38" s="201"/>
    </row>
    <row r="39" spans="1:15" x14ac:dyDescent="0.2">
      <c r="A39" s="128">
        <v>30</v>
      </c>
      <c r="B39" s="72" t="s">
        <v>100</v>
      </c>
      <c r="C39" s="31" t="s">
        <v>101</v>
      </c>
      <c r="D39" s="186">
        <f t="shared" si="2"/>
        <v>17893</v>
      </c>
      <c r="E39" s="186">
        <f t="shared" si="3"/>
        <v>0</v>
      </c>
      <c r="F39" s="186">
        <f>'[20]Уточнение для Пр.5-26'!F39+'[20]Пос с др.целями(Пр.2-26)'!F39</f>
        <v>0</v>
      </c>
      <c r="G39" s="186">
        <f>'[20]Уточнение для Пр.5-26'!G39+'[20]Пос с др.целями(Пр.2-26)'!G39</f>
        <v>0</v>
      </c>
      <c r="H39" s="186">
        <f t="shared" si="4"/>
        <v>17893</v>
      </c>
      <c r="I39" s="189">
        <v>1062</v>
      </c>
      <c r="J39" s="189">
        <v>3392</v>
      </c>
      <c r="K39" s="189">
        <v>13439</v>
      </c>
      <c r="L39" s="192">
        <f t="shared" si="5"/>
        <v>0</v>
      </c>
      <c r="M39" s="192">
        <v>0</v>
      </c>
      <c r="N39" s="192">
        <v>0</v>
      </c>
      <c r="O39" s="201"/>
    </row>
    <row r="40" spans="1:15" x14ac:dyDescent="0.2">
      <c r="A40" s="128">
        <v>31</v>
      </c>
      <c r="B40" s="834" t="s">
        <v>102</v>
      </c>
      <c r="C40" s="31" t="s">
        <v>103</v>
      </c>
      <c r="D40" s="186">
        <f t="shared" si="2"/>
        <v>35624</v>
      </c>
      <c r="E40" s="186">
        <f t="shared" si="3"/>
        <v>0</v>
      </c>
      <c r="F40" s="186">
        <f>'[20]Уточнение для Пр.5-26'!F40+'[20]Пос с др.целями(Пр.2-26)'!F40</f>
        <v>0</v>
      </c>
      <c r="G40" s="186">
        <f>'[20]Уточнение для Пр.5-26'!G40+'[20]Пос с др.целями(Пр.2-26)'!G40</f>
        <v>0</v>
      </c>
      <c r="H40" s="186">
        <f t="shared" si="4"/>
        <v>34553</v>
      </c>
      <c r="I40" s="189">
        <v>3600</v>
      </c>
      <c r="J40" s="189">
        <v>5443</v>
      </c>
      <c r="K40" s="189">
        <v>25510</v>
      </c>
      <c r="L40" s="192">
        <f t="shared" si="5"/>
        <v>1071</v>
      </c>
      <c r="M40" s="192">
        <v>857</v>
      </c>
      <c r="N40" s="192">
        <v>214</v>
      </c>
      <c r="O40" s="201"/>
    </row>
    <row r="41" spans="1:15" x14ac:dyDescent="0.2">
      <c r="A41" s="128">
        <v>32</v>
      </c>
      <c r="B41" s="72" t="s">
        <v>104</v>
      </c>
      <c r="C41" s="31" t="s">
        <v>105</v>
      </c>
      <c r="D41" s="186">
        <f t="shared" si="2"/>
        <v>18139</v>
      </c>
      <c r="E41" s="186">
        <f t="shared" si="3"/>
        <v>0</v>
      </c>
      <c r="F41" s="186">
        <f>'[20]Уточнение для Пр.5-26'!F41+'[20]Пос с др.целями(Пр.2-26)'!F41</f>
        <v>0</v>
      </c>
      <c r="G41" s="186">
        <f>'[20]Уточнение для Пр.5-26'!G41+'[20]Пос с др.целями(Пр.2-26)'!G41</f>
        <v>0</v>
      </c>
      <c r="H41" s="186">
        <f t="shared" si="4"/>
        <v>18139</v>
      </c>
      <c r="I41" s="189">
        <v>1703</v>
      </c>
      <c r="J41" s="189">
        <v>2060</v>
      </c>
      <c r="K41" s="189">
        <v>14376</v>
      </c>
      <c r="L41" s="192">
        <f t="shared" si="5"/>
        <v>0</v>
      </c>
      <c r="M41" s="192">
        <v>0</v>
      </c>
      <c r="N41" s="192">
        <v>0</v>
      </c>
      <c r="O41" s="201"/>
    </row>
    <row r="42" spans="1:15" x14ac:dyDescent="0.2">
      <c r="A42" s="128">
        <v>33</v>
      </c>
      <c r="B42" s="71" t="s">
        <v>106</v>
      </c>
      <c r="C42" s="31" t="s">
        <v>107</v>
      </c>
      <c r="D42" s="186">
        <f t="shared" si="2"/>
        <v>30639</v>
      </c>
      <c r="E42" s="186">
        <f t="shared" si="3"/>
        <v>0</v>
      </c>
      <c r="F42" s="186">
        <f>'[20]Уточнение для Пр.5-26'!F42+'[20]Пос с др.целями(Пр.2-26)'!F42</f>
        <v>0</v>
      </c>
      <c r="G42" s="186">
        <f>'[20]Уточнение для Пр.5-26'!G42+'[20]Пос с др.целями(Пр.2-26)'!G42</f>
        <v>0</v>
      </c>
      <c r="H42" s="186">
        <f t="shared" si="4"/>
        <v>30639</v>
      </c>
      <c r="I42" s="189">
        <v>300</v>
      </c>
      <c r="J42" s="189">
        <v>226</v>
      </c>
      <c r="K42" s="189">
        <v>30113</v>
      </c>
      <c r="L42" s="192">
        <f t="shared" si="5"/>
        <v>0</v>
      </c>
      <c r="M42" s="192">
        <v>0</v>
      </c>
      <c r="N42" s="192">
        <v>0</v>
      </c>
      <c r="O42" s="201"/>
    </row>
    <row r="43" spans="1:15" x14ac:dyDescent="0.2">
      <c r="A43" s="128">
        <v>34</v>
      </c>
      <c r="B43" s="129" t="s">
        <v>108</v>
      </c>
      <c r="C43" s="130" t="s">
        <v>109</v>
      </c>
      <c r="D43" s="186">
        <f t="shared" si="2"/>
        <v>14952</v>
      </c>
      <c r="E43" s="186">
        <f t="shared" si="3"/>
        <v>0</v>
      </c>
      <c r="F43" s="186">
        <f>'[20]Уточнение для Пр.5-26'!F43+'[20]Пос с др.целями(Пр.2-26)'!F43</f>
        <v>0</v>
      </c>
      <c r="G43" s="186">
        <f>'[20]Уточнение для Пр.5-26'!G43+'[20]Пос с др.целями(Пр.2-26)'!G43</f>
        <v>0</v>
      </c>
      <c r="H43" s="186">
        <f t="shared" si="4"/>
        <v>14952</v>
      </c>
      <c r="I43" s="189">
        <v>510</v>
      </c>
      <c r="J43" s="189">
        <v>1515</v>
      </c>
      <c r="K43" s="189">
        <v>12927</v>
      </c>
      <c r="L43" s="192">
        <f t="shared" si="5"/>
        <v>0</v>
      </c>
      <c r="M43" s="192">
        <v>0</v>
      </c>
      <c r="N43" s="192">
        <v>0</v>
      </c>
      <c r="O43" s="201"/>
    </row>
    <row r="44" spans="1:15" x14ac:dyDescent="0.2">
      <c r="A44" s="128">
        <v>35</v>
      </c>
      <c r="B44" s="71" t="s">
        <v>110</v>
      </c>
      <c r="C44" s="31" t="s">
        <v>111</v>
      </c>
      <c r="D44" s="186">
        <f t="shared" si="2"/>
        <v>7821</v>
      </c>
      <c r="E44" s="186">
        <f t="shared" si="3"/>
        <v>0</v>
      </c>
      <c r="F44" s="186">
        <f>'[20]Уточнение для Пр.5-26'!F44+'[20]Пос с др.целями(Пр.2-26)'!F44</f>
        <v>0</v>
      </c>
      <c r="G44" s="186">
        <f>'[20]Уточнение для Пр.5-26'!G44+'[20]Пос с др.целями(Пр.2-26)'!G44</f>
        <v>0</v>
      </c>
      <c r="H44" s="186">
        <f t="shared" si="4"/>
        <v>7821</v>
      </c>
      <c r="I44" s="189">
        <v>300</v>
      </c>
      <c r="J44" s="189">
        <v>7</v>
      </c>
      <c r="K44" s="189">
        <v>7514</v>
      </c>
      <c r="L44" s="192">
        <f t="shared" si="5"/>
        <v>0</v>
      </c>
      <c r="M44" s="192">
        <v>0</v>
      </c>
      <c r="N44" s="192">
        <v>0</v>
      </c>
      <c r="O44" s="201"/>
    </row>
    <row r="45" spans="1:15" x14ac:dyDescent="0.2">
      <c r="A45" s="128">
        <v>36</v>
      </c>
      <c r="B45" s="71" t="s">
        <v>112</v>
      </c>
      <c r="C45" s="31" t="s">
        <v>113</v>
      </c>
      <c r="D45" s="186">
        <f t="shared" si="2"/>
        <v>10866</v>
      </c>
      <c r="E45" s="186">
        <f t="shared" si="3"/>
        <v>0</v>
      </c>
      <c r="F45" s="186">
        <f>'[20]Уточнение для Пр.5-26'!F45+'[20]Пос с др.целями(Пр.2-26)'!F45</f>
        <v>0</v>
      </c>
      <c r="G45" s="186">
        <f>'[20]Уточнение для Пр.5-26'!G45+'[20]Пос с др.целями(Пр.2-26)'!G45</f>
        <v>0</v>
      </c>
      <c r="H45" s="186">
        <f t="shared" si="4"/>
        <v>10866</v>
      </c>
      <c r="I45" s="189">
        <v>580</v>
      </c>
      <c r="J45" s="189">
        <v>1309</v>
      </c>
      <c r="K45" s="189">
        <v>8977</v>
      </c>
      <c r="L45" s="192">
        <f t="shared" si="5"/>
        <v>0</v>
      </c>
      <c r="M45" s="192">
        <v>0</v>
      </c>
      <c r="N45" s="192">
        <v>0</v>
      </c>
      <c r="O45" s="201"/>
    </row>
    <row r="46" spans="1:15" x14ac:dyDescent="0.2">
      <c r="A46" s="128">
        <v>37</v>
      </c>
      <c r="B46" s="834" t="s">
        <v>114</v>
      </c>
      <c r="C46" s="31" t="s">
        <v>115</v>
      </c>
      <c r="D46" s="186">
        <f t="shared" si="2"/>
        <v>3951</v>
      </c>
      <c r="E46" s="186">
        <f t="shared" si="3"/>
        <v>0</v>
      </c>
      <c r="F46" s="186">
        <f>'[20]Уточнение для Пр.5-26'!F46+'[20]Пос с др.целями(Пр.2-26)'!F46</f>
        <v>0</v>
      </c>
      <c r="G46" s="186">
        <f>'[20]Уточнение для Пр.5-26'!G46+'[20]Пос с др.целями(Пр.2-26)'!G46</f>
        <v>0</v>
      </c>
      <c r="H46" s="186">
        <f t="shared" si="4"/>
        <v>3951</v>
      </c>
      <c r="I46" s="189">
        <v>72</v>
      </c>
      <c r="J46" s="189">
        <v>379</v>
      </c>
      <c r="K46" s="189">
        <v>3500</v>
      </c>
      <c r="L46" s="192">
        <f t="shared" si="5"/>
        <v>0</v>
      </c>
      <c r="M46" s="192">
        <v>0</v>
      </c>
      <c r="N46" s="192">
        <v>0</v>
      </c>
      <c r="O46" s="201"/>
    </row>
    <row r="47" spans="1:15" x14ac:dyDescent="0.2">
      <c r="A47" s="128">
        <v>38</v>
      </c>
      <c r="B47" s="72" t="s">
        <v>116</v>
      </c>
      <c r="C47" s="31" t="s">
        <v>117</v>
      </c>
      <c r="D47" s="186">
        <f t="shared" si="2"/>
        <v>110</v>
      </c>
      <c r="E47" s="186">
        <f t="shared" si="3"/>
        <v>0</v>
      </c>
      <c r="F47" s="186">
        <f>'[20]Уточнение для Пр.5-26'!F47+'[20]Пос с др.целями(Пр.2-26)'!F47</f>
        <v>0</v>
      </c>
      <c r="G47" s="186">
        <f>'[20]Уточнение для Пр.5-26'!G47+'[20]Пос с др.целями(Пр.2-26)'!G47</f>
        <v>0</v>
      </c>
      <c r="H47" s="186">
        <f t="shared" si="4"/>
        <v>110</v>
      </c>
      <c r="I47" s="189">
        <v>0</v>
      </c>
      <c r="J47" s="189">
        <v>0</v>
      </c>
      <c r="K47" s="189">
        <v>110</v>
      </c>
      <c r="L47" s="192">
        <f t="shared" si="5"/>
        <v>0</v>
      </c>
      <c r="M47" s="192">
        <v>0</v>
      </c>
      <c r="N47" s="192">
        <v>0</v>
      </c>
      <c r="O47" s="201"/>
    </row>
    <row r="48" spans="1:15" x14ac:dyDescent="0.2">
      <c r="A48" s="128">
        <v>39</v>
      </c>
      <c r="B48" s="834" t="s">
        <v>28</v>
      </c>
      <c r="C48" s="31" t="s">
        <v>29</v>
      </c>
      <c r="D48" s="186">
        <f t="shared" si="2"/>
        <v>72554</v>
      </c>
      <c r="E48" s="186">
        <f t="shared" si="3"/>
        <v>0</v>
      </c>
      <c r="F48" s="186">
        <f>'[20]Уточнение для Пр.5-26'!F48+'[20]Пос с др.целями(Пр.2-26)'!F48</f>
        <v>0</v>
      </c>
      <c r="G48" s="186">
        <f>'[20]Уточнение для Пр.5-26'!G48+'[20]Пос с др.целями(Пр.2-26)'!G48</f>
        <v>0</v>
      </c>
      <c r="H48" s="186">
        <f t="shared" si="4"/>
        <v>70016</v>
      </c>
      <c r="I48" s="189">
        <v>3823</v>
      </c>
      <c r="J48" s="189">
        <v>2726</v>
      </c>
      <c r="K48" s="189">
        <v>63467</v>
      </c>
      <c r="L48" s="192">
        <f t="shared" si="5"/>
        <v>2538</v>
      </c>
      <c r="M48" s="192">
        <v>2030</v>
      </c>
      <c r="N48" s="192">
        <v>508</v>
      </c>
      <c r="O48" s="201"/>
    </row>
    <row r="49" spans="1:15" x14ac:dyDescent="0.2">
      <c r="A49" s="128">
        <v>40</v>
      </c>
      <c r="B49" s="71" t="s">
        <v>118</v>
      </c>
      <c r="C49" s="31" t="s">
        <v>119</v>
      </c>
      <c r="D49" s="186">
        <f t="shared" si="2"/>
        <v>9021</v>
      </c>
      <c r="E49" s="186">
        <f t="shared" si="3"/>
        <v>0</v>
      </c>
      <c r="F49" s="186">
        <f>'[20]Уточнение для Пр.5-26'!F49+'[20]Пос с др.целями(Пр.2-26)'!F49</f>
        <v>0</v>
      </c>
      <c r="G49" s="186">
        <f>'[20]Уточнение для Пр.5-26'!G49+'[20]Пос с др.целями(Пр.2-26)'!G49</f>
        <v>0</v>
      </c>
      <c r="H49" s="186">
        <f t="shared" si="4"/>
        <v>9021</v>
      </c>
      <c r="I49" s="189">
        <v>2050</v>
      </c>
      <c r="J49" s="189">
        <v>1055</v>
      </c>
      <c r="K49" s="189">
        <v>5916</v>
      </c>
      <c r="L49" s="192">
        <f t="shared" si="5"/>
        <v>0</v>
      </c>
      <c r="M49" s="192">
        <v>0</v>
      </c>
      <c r="N49" s="192">
        <v>0</v>
      </c>
      <c r="O49" s="201"/>
    </row>
    <row r="50" spans="1:15" x14ac:dyDescent="0.2">
      <c r="A50" s="128">
        <v>41</v>
      </c>
      <c r="B50" s="71" t="s">
        <v>120</v>
      </c>
      <c r="C50" s="31" t="s">
        <v>121</v>
      </c>
      <c r="D50" s="186">
        <f t="shared" si="2"/>
        <v>42595</v>
      </c>
      <c r="E50" s="186">
        <f t="shared" si="3"/>
        <v>0</v>
      </c>
      <c r="F50" s="186">
        <f>'[20]Уточнение для Пр.5-26'!F50+'[20]Пос с др.целями(Пр.2-26)'!F50</f>
        <v>0</v>
      </c>
      <c r="G50" s="186">
        <f>'[20]Уточнение для Пр.5-26'!G50+'[20]Пос с др.целями(Пр.2-26)'!G50</f>
        <v>0</v>
      </c>
      <c r="H50" s="186">
        <f t="shared" si="4"/>
        <v>42595</v>
      </c>
      <c r="I50" s="189">
        <v>225</v>
      </c>
      <c r="J50" s="189">
        <v>1316</v>
      </c>
      <c r="K50" s="189">
        <v>41054</v>
      </c>
      <c r="L50" s="192">
        <f t="shared" si="5"/>
        <v>0</v>
      </c>
      <c r="M50" s="192">
        <v>0</v>
      </c>
      <c r="N50" s="192">
        <v>0</v>
      </c>
      <c r="O50" s="201"/>
    </row>
    <row r="51" spans="1:15" x14ac:dyDescent="0.2">
      <c r="A51" s="128">
        <v>42</v>
      </c>
      <c r="B51" s="834" t="s">
        <v>122</v>
      </c>
      <c r="C51" s="31" t="s">
        <v>123</v>
      </c>
      <c r="D51" s="186">
        <f t="shared" si="2"/>
        <v>9344</v>
      </c>
      <c r="E51" s="186">
        <f t="shared" si="3"/>
        <v>0</v>
      </c>
      <c r="F51" s="186">
        <f>'[20]Уточнение для Пр.5-26'!F51+'[20]Пос с др.целями(Пр.2-26)'!F51</f>
        <v>0</v>
      </c>
      <c r="G51" s="186">
        <f>'[20]Уточнение для Пр.5-26'!G51+'[20]Пос с др.целями(Пр.2-26)'!G51</f>
        <v>0</v>
      </c>
      <c r="H51" s="186">
        <f t="shared" si="4"/>
        <v>9344</v>
      </c>
      <c r="I51" s="189">
        <v>550</v>
      </c>
      <c r="J51" s="189">
        <v>2048</v>
      </c>
      <c r="K51" s="189">
        <v>6746</v>
      </c>
      <c r="L51" s="192">
        <f t="shared" si="5"/>
        <v>0</v>
      </c>
      <c r="M51" s="192">
        <v>0</v>
      </c>
      <c r="N51" s="192">
        <v>0</v>
      </c>
      <c r="O51" s="201"/>
    </row>
    <row r="52" spans="1:15" x14ac:dyDescent="0.2">
      <c r="A52" s="128">
        <v>43</v>
      </c>
      <c r="B52" s="72" t="s">
        <v>124</v>
      </c>
      <c r="C52" s="31" t="s">
        <v>125</v>
      </c>
      <c r="D52" s="186">
        <f t="shared" si="2"/>
        <v>9782</v>
      </c>
      <c r="E52" s="186">
        <f t="shared" si="3"/>
        <v>0</v>
      </c>
      <c r="F52" s="186">
        <f>'[20]Уточнение для Пр.5-26'!F52+'[20]Пос с др.целями(Пр.2-26)'!F52</f>
        <v>0</v>
      </c>
      <c r="G52" s="186">
        <f>'[20]Уточнение для Пр.5-26'!G52+'[20]Пос с др.целями(Пр.2-26)'!G52</f>
        <v>0</v>
      </c>
      <c r="H52" s="186">
        <f t="shared" si="4"/>
        <v>9782</v>
      </c>
      <c r="I52" s="189">
        <v>1533</v>
      </c>
      <c r="J52" s="189">
        <v>2363</v>
      </c>
      <c r="K52" s="189">
        <v>5886</v>
      </c>
      <c r="L52" s="192">
        <f t="shared" si="5"/>
        <v>0</v>
      </c>
      <c r="M52" s="192">
        <v>0</v>
      </c>
      <c r="N52" s="192">
        <v>0</v>
      </c>
      <c r="O52" s="201"/>
    </row>
    <row r="53" spans="1:15" x14ac:dyDescent="0.2">
      <c r="A53" s="128">
        <v>44</v>
      </c>
      <c r="B53" s="834" t="s">
        <v>126</v>
      </c>
      <c r="C53" s="31" t="s">
        <v>127</v>
      </c>
      <c r="D53" s="186">
        <f t="shared" si="2"/>
        <v>12225</v>
      </c>
      <c r="E53" s="186">
        <f t="shared" si="3"/>
        <v>0</v>
      </c>
      <c r="F53" s="186">
        <f>'[20]Уточнение для Пр.5-26'!F53+'[20]Пос с др.целями(Пр.2-26)'!F53</f>
        <v>0</v>
      </c>
      <c r="G53" s="186">
        <f>'[20]Уточнение для Пр.5-26'!G53+'[20]Пос с др.целями(Пр.2-26)'!G53</f>
        <v>0</v>
      </c>
      <c r="H53" s="186">
        <f t="shared" si="4"/>
        <v>12225</v>
      </c>
      <c r="I53" s="189">
        <v>305</v>
      </c>
      <c r="J53" s="189">
        <v>2364</v>
      </c>
      <c r="K53" s="189">
        <v>9556</v>
      </c>
      <c r="L53" s="192">
        <f t="shared" si="5"/>
        <v>0</v>
      </c>
      <c r="M53" s="192">
        <v>0</v>
      </c>
      <c r="N53" s="192">
        <v>0</v>
      </c>
      <c r="O53" s="201"/>
    </row>
    <row r="54" spans="1:15" x14ac:dyDescent="0.2">
      <c r="A54" s="128">
        <v>45</v>
      </c>
      <c r="B54" s="72" t="s">
        <v>128</v>
      </c>
      <c r="C54" s="31" t="s">
        <v>129</v>
      </c>
      <c r="D54" s="186">
        <f t="shared" si="2"/>
        <v>25521</v>
      </c>
      <c r="E54" s="186">
        <f t="shared" si="3"/>
        <v>0</v>
      </c>
      <c r="F54" s="186">
        <f>'[20]Уточнение для Пр.5-26'!F54+'[20]Пос с др.целями(Пр.2-26)'!F54</f>
        <v>0</v>
      </c>
      <c r="G54" s="186">
        <f>'[20]Уточнение для Пр.5-26'!G54+'[20]Пос с др.целями(Пр.2-26)'!G54</f>
        <v>0</v>
      </c>
      <c r="H54" s="186">
        <f t="shared" si="4"/>
        <v>25521</v>
      </c>
      <c r="I54" s="189">
        <v>1249</v>
      </c>
      <c r="J54" s="189">
        <v>5364</v>
      </c>
      <c r="K54" s="189">
        <v>18908</v>
      </c>
      <c r="L54" s="192">
        <f t="shared" si="5"/>
        <v>0</v>
      </c>
      <c r="M54" s="192">
        <v>0</v>
      </c>
      <c r="N54" s="192">
        <v>0</v>
      </c>
      <c r="O54" s="201"/>
    </row>
    <row r="55" spans="1:15" x14ac:dyDescent="0.2">
      <c r="A55" s="128">
        <v>46</v>
      </c>
      <c r="B55" s="834" t="s">
        <v>130</v>
      </c>
      <c r="C55" s="31" t="s">
        <v>131</v>
      </c>
      <c r="D55" s="186">
        <f t="shared" si="2"/>
        <v>3788</v>
      </c>
      <c r="E55" s="186">
        <f t="shared" si="3"/>
        <v>0</v>
      </c>
      <c r="F55" s="186">
        <f>'[20]Уточнение для Пр.5-26'!F55+'[20]Пос с др.целями(Пр.2-26)'!F55</f>
        <v>0</v>
      </c>
      <c r="G55" s="186">
        <f>'[20]Уточнение для Пр.5-26'!G55+'[20]Пос с др.целями(Пр.2-26)'!G55</f>
        <v>0</v>
      </c>
      <c r="H55" s="186">
        <f t="shared" si="4"/>
        <v>3788</v>
      </c>
      <c r="I55" s="189">
        <v>322</v>
      </c>
      <c r="J55" s="189">
        <v>0</v>
      </c>
      <c r="K55" s="189">
        <v>3466</v>
      </c>
      <c r="L55" s="192">
        <f t="shared" si="5"/>
        <v>0</v>
      </c>
      <c r="M55" s="192">
        <v>0</v>
      </c>
      <c r="N55" s="192">
        <v>0</v>
      </c>
      <c r="O55" s="201"/>
    </row>
    <row r="56" spans="1:15" x14ac:dyDescent="0.2">
      <c r="A56" s="128">
        <v>47</v>
      </c>
      <c r="B56" s="72" t="s">
        <v>132</v>
      </c>
      <c r="C56" s="31" t="s">
        <v>133</v>
      </c>
      <c r="D56" s="186">
        <f t="shared" si="2"/>
        <v>12230</v>
      </c>
      <c r="E56" s="186">
        <f t="shared" si="3"/>
        <v>0</v>
      </c>
      <c r="F56" s="186">
        <f>'[20]Уточнение для Пр.5-26'!F56+'[20]Пос с др.целями(Пр.2-26)'!F56</f>
        <v>0</v>
      </c>
      <c r="G56" s="186">
        <f>'[20]Уточнение для Пр.5-26'!G56+'[20]Пос с др.целями(Пр.2-26)'!G56</f>
        <v>0</v>
      </c>
      <c r="H56" s="186">
        <f t="shared" si="4"/>
        <v>12230</v>
      </c>
      <c r="I56" s="189">
        <v>1037</v>
      </c>
      <c r="J56" s="189">
        <v>2371</v>
      </c>
      <c r="K56" s="189">
        <v>8822</v>
      </c>
      <c r="L56" s="192">
        <f t="shared" si="5"/>
        <v>0</v>
      </c>
      <c r="M56" s="192">
        <v>0</v>
      </c>
      <c r="N56" s="192">
        <v>0</v>
      </c>
      <c r="O56" s="201"/>
    </row>
    <row r="57" spans="1:15" x14ac:dyDescent="0.2">
      <c r="A57" s="128">
        <v>48</v>
      </c>
      <c r="B57" s="834" t="s">
        <v>134</v>
      </c>
      <c r="C57" s="31" t="s">
        <v>135</v>
      </c>
      <c r="D57" s="186">
        <f t="shared" si="2"/>
        <v>14727</v>
      </c>
      <c r="E57" s="186">
        <f t="shared" si="3"/>
        <v>0</v>
      </c>
      <c r="F57" s="186">
        <f>'[20]Уточнение для Пр.5-26'!F57+'[20]Пос с др.целями(Пр.2-26)'!F57</f>
        <v>0</v>
      </c>
      <c r="G57" s="186">
        <f>'[20]Уточнение для Пр.5-26'!G57+'[20]Пос с др.целями(Пр.2-26)'!G57</f>
        <v>0</v>
      </c>
      <c r="H57" s="186">
        <f t="shared" si="4"/>
        <v>14727</v>
      </c>
      <c r="I57" s="189">
        <v>150</v>
      </c>
      <c r="J57" s="189">
        <v>2764</v>
      </c>
      <c r="K57" s="189">
        <v>11813</v>
      </c>
      <c r="L57" s="192">
        <f t="shared" si="5"/>
        <v>0</v>
      </c>
      <c r="M57" s="192">
        <v>0</v>
      </c>
      <c r="N57" s="192">
        <v>0</v>
      </c>
      <c r="O57" s="201"/>
    </row>
    <row r="58" spans="1:15" x14ac:dyDescent="0.2">
      <c r="A58" s="128">
        <v>49</v>
      </c>
      <c r="B58" s="834" t="s">
        <v>136</v>
      </c>
      <c r="C58" s="31" t="s">
        <v>137</v>
      </c>
      <c r="D58" s="186">
        <f t="shared" si="2"/>
        <v>74967</v>
      </c>
      <c r="E58" s="186">
        <f t="shared" si="3"/>
        <v>0</v>
      </c>
      <c r="F58" s="186">
        <f>'[20]Уточнение для Пр.5-26'!F58+'[20]Пос с др.целями(Пр.2-26)'!F58</f>
        <v>0</v>
      </c>
      <c r="G58" s="186">
        <f>'[20]Уточнение для Пр.5-26'!G58+'[20]Пос с др.целями(Пр.2-26)'!G58</f>
        <v>0</v>
      </c>
      <c r="H58" s="186">
        <f t="shared" si="4"/>
        <v>72035</v>
      </c>
      <c r="I58" s="189">
        <v>6185</v>
      </c>
      <c r="J58" s="189">
        <v>7114</v>
      </c>
      <c r="K58" s="189">
        <v>58736</v>
      </c>
      <c r="L58" s="192">
        <f t="shared" si="5"/>
        <v>2932</v>
      </c>
      <c r="M58" s="192">
        <v>2346</v>
      </c>
      <c r="N58" s="192">
        <v>586</v>
      </c>
      <c r="O58" s="201"/>
    </row>
    <row r="59" spans="1:15" x14ac:dyDescent="0.2">
      <c r="A59" s="128">
        <v>50</v>
      </c>
      <c r="B59" s="834" t="s">
        <v>138</v>
      </c>
      <c r="C59" s="31" t="s">
        <v>139</v>
      </c>
      <c r="D59" s="186">
        <f t="shared" si="2"/>
        <v>10663</v>
      </c>
      <c r="E59" s="186">
        <f t="shared" si="3"/>
        <v>0</v>
      </c>
      <c r="F59" s="186">
        <f>'[20]Уточнение для Пр.5-26'!F59+'[20]Пос с др.целями(Пр.2-26)'!F59</f>
        <v>0</v>
      </c>
      <c r="G59" s="186">
        <f>'[20]Уточнение для Пр.5-26'!G59+'[20]Пос с др.целями(Пр.2-26)'!G59</f>
        <v>0</v>
      </c>
      <c r="H59" s="186">
        <f t="shared" si="4"/>
        <v>10663</v>
      </c>
      <c r="I59" s="189">
        <v>0</v>
      </c>
      <c r="J59" s="189">
        <v>784</v>
      </c>
      <c r="K59" s="189">
        <v>9879</v>
      </c>
      <c r="L59" s="192">
        <f t="shared" si="5"/>
        <v>0</v>
      </c>
      <c r="M59" s="192">
        <v>0</v>
      </c>
      <c r="N59" s="192">
        <v>0</v>
      </c>
      <c r="O59" s="201"/>
    </row>
    <row r="60" spans="1:15" x14ac:dyDescent="0.2">
      <c r="A60" s="128">
        <v>51</v>
      </c>
      <c r="B60" s="834" t="s">
        <v>140</v>
      </c>
      <c r="C60" s="31" t="s">
        <v>141</v>
      </c>
      <c r="D60" s="186">
        <f t="shared" si="2"/>
        <v>8150</v>
      </c>
      <c r="E60" s="186">
        <f t="shared" si="3"/>
        <v>0</v>
      </c>
      <c r="F60" s="186">
        <f>'[20]Уточнение для Пр.5-26'!F60+'[20]Пос с др.целями(Пр.2-26)'!F60</f>
        <v>0</v>
      </c>
      <c r="G60" s="186">
        <f>'[20]Уточнение для Пр.5-26'!G60+'[20]Пос с др.целями(Пр.2-26)'!G60</f>
        <v>0</v>
      </c>
      <c r="H60" s="186">
        <f t="shared" si="4"/>
        <v>8150</v>
      </c>
      <c r="I60" s="189">
        <v>420</v>
      </c>
      <c r="J60" s="189">
        <v>686</v>
      </c>
      <c r="K60" s="189">
        <v>7044</v>
      </c>
      <c r="L60" s="192">
        <f t="shared" si="5"/>
        <v>0</v>
      </c>
      <c r="M60" s="192">
        <v>0</v>
      </c>
      <c r="N60" s="192">
        <v>0</v>
      </c>
      <c r="O60" s="201"/>
    </row>
    <row r="61" spans="1:15" x14ac:dyDescent="0.2">
      <c r="A61" s="128">
        <v>52</v>
      </c>
      <c r="B61" s="72" t="s">
        <v>142</v>
      </c>
      <c r="C61" s="31" t="s">
        <v>143</v>
      </c>
      <c r="D61" s="186">
        <f t="shared" si="2"/>
        <v>5237</v>
      </c>
      <c r="E61" s="186">
        <f t="shared" si="3"/>
        <v>0</v>
      </c>
      <c r="F61" s="186">
        <f>'[20]Уточнение для Пр.5-26'!F61+'[20]Пос с др.целями(Пр.2-26)'!F61</f>
        <v>0</v>
      </c>
      <c r="G61" s="186">
        <f>'[20]Уточнение для Пр.5-26'!G61+'[20]Пос с др.целями(Пр.2-26)'!G61</f>
        <v>0</v>
      </c>
      <c r="H61" s="186">
        <f t="shared" si="4"/>
        <v>5237</v>
      </c>
      <c r="I61" s="189">
        <v>605</v>
      </c>
      <c r="J61" s="189">
        <v>508</v>
      </c>
      <c r="K61" s="189">
        <v>4124</v>
      </c>
      <c r="L61" s="192">
        <f t="shared" si="5"/>
        <v>0</v>
      </c>
      <c r="M61" s="192">
        <v>0</v>
      </c>
      <c r="N61" s="192">
        <v>0</v>
      </c>
      <c r="O61" s="201"/>
    </row>
    <row r="62" spans="1:15" x14ac:dyDescent="0.2">
      <c r="A62" s="128">
        <v>53</v>
      </c>
      <c r="B62" s="834" t="s">
        <v>144</v>
      </c>
      <c r="C62" s="31" t="s">
        <v>145</v>
      </c>
      <c r="D62" s="186">
        <f t="shared" si="2"/>
        <v>0</v>
      </c>
      <c r="E62" s="186">
        <f t="shared" si="3"/>
        <v>0</v>
      </c>
      <c r="F62" s="186">
        <f>'[20]Уточнение для Пр.5-26'!F62+'[20]Пос с др.целями(Пр.2-26)'!F62</f>
        <v>0</v>
      </c>
      <c r="G62" s="186">
        <f>'[20]Уточнение для Пр.5-26'!G62+'[20]Пос с др.целями(Пр.2-26)'!G62</f>
        <v>0</v>
      </c>
      <c r="H62" s="186">
        <v>0</v>
      </c>
      <c r="I62" s="189">
        <v>0</v>
      </c>
      <c r="J62" s="189">
        <v>0</v>
      </c>
      <c r="K62" s="189">
        <v>0</v>
      </c>
      <c r="L62" s="192">
        <f t="shared" si="5"/>
        <v>0</v>
      </c>
      <c r="M62" s="192">
        <v>0</v>
      </c>
      <c r="N62" s="192">
        <v>0</v>
      </c>
      <c r="O62" s="201"/>
    </row>
    <row r="63" spans="1:15" x14ac:dyDescent="0.2">
      <c r="A63" s="128">
        <v>54</v>
      </c>
      <c r="B63" s="834" t="s">
        <v>146</v>
      </c>
      <c r="C63" s="31" t="s">
        <v>147</v>
      </c>
      <c r="D63" s="186">
        <f t="shared" si="2"/>
        <v>0</v>
      </c>
      <c r="E63" s="186">
        <f t="shared" si="3"/>
        <v>0</v>
      </c>
      <c r="F63" s="186">
        <f>'[20]Уточнение для Пр.5-26'!F63+'[20]Пос с др.целями(Пр.2-26)'!F63</f>
        <v>0</v>
      </c>
      <c r="G63" s="186">
        <f>'[20]Уточнение для Пр.5-26'!G63+'[20]Пос с др.целями(Пр.2-26)'!G63</f>
        <v>0</v>
      </c>
      <c r="H63" s="186">
        <v>0</v>
      </c>
      <c r="I63" s="189">
        <v>0</v>
      </c>
      <c r="J63" s="189">
        <v>0</v>
      </c>
      <c r="K63" s="189">
        <v>0</v>
      </c>
      <c r="L63" s="192">
        <f t="shared" si="5"/>
        <v>0</v>
      </c>
      <c r="M63" s="192">
        <v>0</v>
      </c>
      <c r="N63" s="192">
        <v>0</v>
      </c>
      <c r="O63" s="201"/>
    </row>
    <row r="64" spans="1:15" x14ac:dyDescent="0.2">
      <c r="A64" s="128">
        <v>55</v>
      </c>
      <c r="B64" s="834" t="s">
        <v>148</v>
      </c>
      <c r="C64" s="31" t="s">
        <v>149</v>
      </c>
      <c r="D64" s="186">
        <f t="shared" si="2"/>
        <v>73400</v>
      </c>
      <c r="E64" s="186">
        <f t="shared" si="3"/>
        <v>0</v>
      </c>
      <c r="F64" s="186">
        <f>'[20]Уточнение для Пр.5-26'!F64+'[20]Пос с др.целями(Пр.2-26)'!F64</f>
        <v>0</v>
      </c>
      <c r="G64" s="186">
        <f>'[20]Уточнение для Пр.5-26'!G64+'[20]Пос с др.целями(Пр.2-26)'!G64</f>
        <v>0</v>
      </c>
      <c r="H64" s="186">
        <f t="shared" si="4"/>
        <v>73400</v>
      </c>
      <c r="I64" s="189">
        <v>800</v>
      </c>
      <c r="J64" s="189">
        <v>0</v>
      </c>
      <c r="K64" s="189">
        <v>72600</v>
      </c>
      <c r="L64" s="192">
        <f t="shared" si="5"/>
        <v>0</v>
      </c>
      <c r="M64" s="192">
        <v>0</v>
      </c>
      <c r="N64" s="192">
        <v>0</v>
      </c>
      <c r="O64" s="201"/>
    </row>
    <row r="65" spans="1:15" x14ac:dyDescent="0.2">
      <c r="A65" s="128">
        <v>56</v>
      </c>
      <c r="B65" s="72" t="s">
        <v>150</v>
      </c>
      <c r="C65" s="31" t="s">
        <v>151</v>
      </c>
      <c r="D65" s="186">
        <f t="shared" si="2"/>
        <v>60060</v>
      </c>
      <c r="E65" s="186">
        <f t="shared" si="3"/>
        <v>0</v>
      </c>
      <c r="F65" s="186">
        <f>'[20]Уточнение для Пр.5-26'!F65+'[20]Пос с др.целями(Пр.2-26)'!F65</f>
        <v>0</v>
      </c>
      <c r="G65" s="186">
        <f>'[20]Уточнение для Пр.5-26'!G65+'[20]Пос с др.целями(Пр.2-26)'!G65</f>
        <v>0</v>
      </c>
      <c r="H65" s="186">
        <f t="shared" si="4"/>
        <v>60060</v>
      </c>
      <c r="I65" s="189">
        <v>460</v>
      </c>
      <c r="J65" s="189">
        <v>0</v>
      </c>
      <c r="K65" s="189">
        <v>59600</v>
      </c>
      <c r="L65" s="192">
        <f t="shared" si="5"/>
        <v>0</v>
      </c>
      <c r="M65" s="192">
        <v>0</v>
      </c>
      <c r="N65" s="192">
        <v>0</v>
      </c>
      <c r="O65" s="201"/>
    </row>
    <row r="66" spans="1:15" x14ac:dyDescent="0.2">
      <c r="A66" s="128">
        <v>57</v>
      </c>
      <c r="B66" s="71" t="s">
        <v>152</v>
      </c>
      <c r="C66" s="31" t="s">
        <v>153</v>
      </c>
      <c r="D66" s="186">
        <f t="shared" si="2"/>
        <v>0</v>
      </c>
      <c r="E66" s="186">
        <f t="shared" si="3"/>
        <v>0</v>
      </c>
      <c r="F66" s="186">
        <f>'[20]Уточнение для Пр.5-26'!F66+'[20]Пос с др.целями(Пр.2-26)'!F66</f>
        <v>0</v>
      </c>
      <c r="G66" s="186">
        <f>'[20]Уточнение для Пр.5-26'!G66+'[20]Пос с др.целями(Пр.2-26)'!G66</f>
        <v>0</v>
      </c>
      <c r="H66" s="186">
        <f t="shared" si="4"/>
        <v>0</v>
      </c>
      <c r="I66" s="189">
        <v>0</v>
      </c>
      <c r="J66" s="189">
        <v>0</v>
      </c>
      <c r="K66" s="189">
        <v>0</v>
      </c>
      <c r="L66" s="192">
        <f t="shared" si="5"/>
        <v>0</v>
      </c>
      <c r="M66" s="192">
        <v>0</v>
      </c>
      <c r="N66" s="192">
        <v>0</v>
      </c>
      <c r="O66" s="201"/>
    </row>
    <row r="67" spans="1:15" x14ac:dyDescent="0.2">
      <c r="A67" s="128">
        <v>58</v>
      </c>
      <c r="B67" s="72" t="s">
        <v>154</v>
      </c>
      <c r="C67" s="31" t="s">
        <v>155</v>
      </c>
      <c r="D67" s="186">
        <f t="shared" si="2"/>
        <v>115000</v>
      </c>
      <c r="E67" s="186">
        <f t="shared" si="3"/>
        <v>0</v>
      </c>
      <c r="F67" s="186">
        <f>'[20]Уточнение для Пр.5-26'!F67+'[20]Пос с др.целями(Пр.2-26)'!F67</f>
        <v>0</v>
      </c>
      <c r="G67" s="186">
        <f>'[20]Уточнение для Пр.5-26'!G67+'[20]Пос с др.целями(Пр.2-26)'!G67</f>
        <v>0</v>
      </c>
      <c r="H67" s="186">
        <f t="shared" si="4"/>
        <v>105652</v>
      </c>
      <c r="I67" s="189">
        <v>2111</v>
      </c>
      <c r="J67" s="189">
        <v>0</v>
      </c>
      <c r="K67" s="189">
        <v>103541</v>
      </c>
      <c r="L67" s="192">
        <f t="shared" si="5"/>
        <v>9348</v>
      </c>
      <c r="M67" s="192">
        <v>7478</v>
      </c>
      <c r="N67" s="192">
        <v>1870</v>
      </c>
      <c r="O67" s="201"/>
    </row>
    <row r="68" spans="1:15" x14ac:dyDescent="0.2">
      <c r="A68" s="128">
        <v>59</v>
      </c>
      <c r="B68" s="834" t="s">
        <v>156</v>
      </c>
      <c r="C68" s="31" t="s">
        <v>157</v>
      </c>
      <c r="D68" s="186">
        <f t="shared" si="2"/>
        <v>0</v>
      </c>
      <c r="E68" s="186">
        <f t="shared" si="3"/>
        <v>0</v>
      </c>
      <c r="F68" s="186">
        <f>'[20]Уточнение для Пр.5-26'!F68+'[20]Пос с др.целями(Пр.2-26)'!F68</f>
        <v>0</v>
      </c>
      <c r="G68" s="186">
        <f>'[20]Уточнение для Пр.5-26'!G68+'[20]Пос с др.целями(Пр.2-26)'!G68</f>
        <v>0</v>
      </c>
      <c r="H68" s="186">
        <f t="shared" si="4"/>
        <v>0</v>
      </c>
      <c r="I68" s="189">
        <v>0</v>
      </c>
      <c r="J68" s="189">
        <v>0</v>
      </c>
      <c r="K68" s="189">
        <v>0</v>
      </c>
      <c r="L68" s="192">
        <f t="shared" si="5"/>
        <v>0</v>
      </c>
      <c r="M68" s="192">
        <v>0</v>
      </c>
      <c r="N68" s="192">
        <v>0</v>
      </c>
      <c r="O68" s="201"/>
    </row>
    <row r="69" spans="1:15" ht="24" x14ac:dyDescent="0.2">
      <c r="A69" s="128">
        <v>60</v>
      </c>
      <c r="B69" s="71" t="s">
        <v>158</v>
      </c>
      <c r="C69" s="31" t="s">
        <v>159</v>
      </c>
      <c r="D69" s="186">
        <f t="shared" si="2"/>
        <v>0</v>
      </c>
      <c r="E69" s="186">
        <f t="shared" si="3"/>
        <v>0</v>
      </c>
      <c r="F69" s="186">
        <f>'[20]Уточнение для Пр.5-26'!F69+'[20]Пос с др.целями(Пр.2-26)'!F69</f>
        <v>0</v>
      </c>
      <c r="G69" s="186">
        <f>'[20]Уточнение для Пр.5-26'!G69+'[20]Пос с др.целями(Пр.2-26)'!G69</f>
        <v>0</v>
      </c>
      <c r="H69" s="186">
        <f t="shared" si="4"/>
        <v>0</v>
      </c>
      <c r="I69" s="189">
        <v>0</v>
      </c>
      <c r="J69" s="189">
        <v>0</v>
      </c>
      <c r="K69" s="189">
        <v>0</v>
      </c>
      <c r="L69" s="192">
        <f t="shared" si="5"/>
        <v>0</v>
      </c>
      <c r="M69" s="192">
        <v>0</v>
      </c>
      <c r="N69" s="192">
        <v>0</v>
      </c>
      <c r="O69" s="201"/>
    </row>
    <row r="70" spans="1:15" ht="24" x14ac:dyDescent="0.2">
      <c r="A70" s="128">
        <v>61</v>
      </c>
      <c r="B70" s="71" t="s">
        <v>160</v>
      </c>
      <c r="C70" s="31" t="s">
        <v>161</v>
      </c>
      <c r="D70" s="186">
        <f t="shared" si="2"/>
        <v>0</v>
      </c>
      <c r="E70" s="186">
        <f t="shared" si="3"/>
        <v>0</v>
      </c>
      <c r="F70" s="186">
        <f>'[20]Уточнение для Пр.5-26'!F70+'[20]Пос с др.целями(Пр.2-26)'!F70</f>
        <v>0</v>
      </c>
      <c r="G70" s="186">
        <f>'[20]Уточнение для Пр.5-26'!G70+'[20]Пос с др.целями(Пр.2-26)'!G70</f>
        <v>0</v>
      </c>
      <c r="H70" s="186">
        <f t="shared" si="4"/>
        <v>0</v>
      </c>
      <c r="I70" s="189">
        <v>0</v>
      </c>
      <c r="J70" s="189">
        <v>0</v>
      </c>
      <c r="K70" s="189">
        <v>0</v>
      </c>
      <c r="L70" s="192">
        <f t="shared" si="5"/>
        <v>0</v>
      </c>
      <c r="M70" s="192">
        <v>0</v>
      </c>
      <c r="N70" s="192">
        <v>0</v>
      </c>
      <c r="O70" s="201"/>
    </row>
    <row r="71" spans="1:15" x14ac:dyDescent="0.2">
      <c r="A71" s="128">
        <v>62</v>
      </c>
      <c r="B71" s="72" t="s">
        <v>162</v>
      </c>
      <c r="C71" s="31" t="s">
        <v>163</v>
      </c>
      <c r="D71" s="186">
        <f t="shared" si="2"/>
        <v>15884</v>
      </c>
      <c r="E71" s="186">
        <f t="shared" si="3"/>
        <v>0</v>
      </c>
      <c r="F71" s="186">
        <f>'[20]Уточнение для Пр.5-26'!F71+'[20]Пос с др.целями(Пр.2-26)'!F71</f>
        <v>0</v>
      </c>
      <c r="G71" s="186">
        <f>'[20]Уточнение для Пр.5-26'!G71+'[20]Пос с др.целями(Пр.2-26)'!G71</f>
        <v>0</v>
      </c>
      <c r="H71" s="186">
        <f t="shared" si="4"/>
        <v>15884</v>
      </c>
      <c r="I71" s="189">
        <v>2250</v>
      </c>
      <c r="J71" s="189">
        <v>0</v>
      </c>
      <c r="K71" s="189">
        <v>13634</v>
      </c>
      <c r="L71" s="192">
        <f t="shared" si="5"/>
        <v>0</v>
      </c>
      <c r="M71" s="192">
        <v>0</v>
      </c>
      <c r="N71" s="192">
        <v>0</v>
      </c>
      <c r="O71" s="201"/>
    </row>
    <row r="72" spans="1:15" x14ac:dyDescent="0.2">
      <c r="A72" s="128">
        <v>63</v>
      </c>
      <c r="B72" s="72" t="s">
        <v>164</v>
      </c>
      <c r="C72" s="31" t="s">
        <v>165</v>
      </c>
      <c r="D72" s="186">
        <f t="shared" si="2"/>
        <v>7892</v>
      </c>
      <c r="E72" s="186">
        <f t="shared" si="3"/>
        <v>0</v>
      </c>
      <c r="F72" s="186">
        <f>'[20]Уточнение для Пр.5-26'!F72+'[20]Пос с др.целями(Пр.2-26)'!F72</f>
        <v>0</v>
      </c>
      <c r="G72" s="186">
        <f>'[20]Уточнение для Пр.5-26'!G72+'[20]Пос с др.целями(Пр.2-26)'!G72</f>
        <v>0</v>
      </c>
      <c r="H72" s="186">
        <f t="shared" si="4"/>
        <v>7892</v>
      </c>
      <c r="I72" s="189">
        <v>1000</v>
      </c>
      <c r="J72" s="189">
        <v>0</v>
      </c>
      <c r="K72" s="189">
        <v>6892</v>
      </c>
      <c r="L72" s="192">
        <f t="shared" si="5"/>
        <v>0</v>
      </c>
      <c r="M72" s="192">
        <v>0</v>
      </c>
      <c r="N72" s="192">
        <v>0</v>
      </c>
      <c r="O72" s="201"/>
    </row>
    <row r="73" spans="1:15" x14ac:dyDescent="0.2">
      <c r="A73" s="128">
        <v>64</v>
      </c>
      <c r="B73" s="72" t="s">
        <v>166</v>
      </c>
      <c r="C73" s="31" t="s">
        <v>167</v>
      </c>
      <c r="D73" s="186">
        <f t="shared" si="2"/>
        <v>13858</v>
      </c>
      <c r="E73" s="186">
        <f t="shared" si="3"/>
        <v>0</v>
      </c>
      <c r="F73" s="186">
        <f>'[20]Уточнение для Пр.5-26'!F73+'[20]Пос с др.целями(Пр.2-26)'!F73</f>
        <v>0</v>
      </c>
      <c r="G73" s="186">
        <f>'[20]Уточнение для Пр.5-26'!G73+'[20]Пос с др.целями(Пр.2-26)'!G73</f>
        <v>0</v>
      </c>
      <c r="H73" s="186">
        <f t="shared" si="4"/>
        <v>13858</v>
      </c>
      <c r="I73" s="189">
        <v>8259</v>
      </c>
      <c r="J73" s="189">
        <v>0</v>
      </c>
      <c r="K73" s="189">
        <v>5599</v>
      </c>
      <c r="L73" s="192">
        <f t="shared" si="5"/>
        <v>0</v>
      </c>
      <c r="M73" s="192">
        <v>0</v>
      </c>
      <c r="N73" s="192">
        <v>0</v>
      </c>
      <c r="O73" s="201"/>
    </row>
    <row r="74" spans="1:15" x14ac:dyDescent="0.2">
      <c r="A74" s="128">
        <v>65</v>
      </c>
      <c r="B74" s="72" t="s">
        <v>168</v>
      </c>
      <c r="C74" s="31" t="s">
        <v>169</v>
      </c>
      <c r="D74" s="186">
        <f t="shared" si="2"/>
        <v>0</v>
      </c>
      <c r="E74" s="186">
        <f t="shared" si="3"/>
        <v>0</v>
      </c>
      <c r="F74" s="186">
        <f>'[20]Уточнение для Пр.5-26'!F74+'[20]Пос с др.целями(Пр.2-26)'!F74</f>
        <v>0</v>
      </c>
      <c r="G74" s="186">
        <f>'[20]Уточнение для Пр.5-26'!G74+'[20]Пос с др.целями(Пр.2-26)'!G74</f>
        <v>0</v>
      </c>
      <c r="H74" s="186">
        <f>I74+J74+K74</f>
        <v>0</v>
      </c>
      <c r="I74" s="189">
        <v>0</v>
      </c>
      <c r="J74" s="189">
        <v>0</v>
      </c>
      <c r="K74" s="189">
        <v>0</v>
      </c>
      <c r="L74" s="192">
        <f t="shared" si="5"/>
        <v>0</v>
      </c>
      <c r="M74" s="192">
        <v>0</v>
      </c>
      <c r="N74" s="192">
        <v>0</v>
      </c>
      <c r="O74" s="201"/>
    </row>
    <row r="75" spans="1:15" x14ac:dyDescent="0.2">
      <c r="A75" s="128">
        <v>66</v>
      </c>
      <c r="B75" s="71" t="s">
        <v>170</v>
      </c>
      <c r="C75" s="31" t="s">
        <v>171</v>
      </c>
      <c r="D75" s="186">
        <f t="shared" ref="D75:D138" si="6">E75+H75+L75</f>
        <v>2746</v>
      </c>
      <c r="E75" s="186">
        <f t="shared" si="3"/>
        <v>0</v>
      </c>
      <c r="F75" s="186">
        <f>'[20]Уточнение для Пр.5-26'!F75+'[20]Пос с др.целями(Пр.2-26)'!F75</f>
        <v>0</v>
      </c>
      <c r="G75" s="186">
        <f>'[20]Уточнение для Пр.5-26'!G75+'[20]Пос с др.целями(Пр.2-26)'!G75</f>
        <v>0</v>
      </c>
      <c r="H75" s="186">
        <f t="shared" ref="H75:H138" si="7">I75+J75+K75</f>
        <v>2746</v>
      </c>
      <c r="I75" s="189">
        <v>0</v>
      </c>
      <c r="J75" s="189">
        <v>2746</v>
      </c>
      <c r="K75" s="189">
        <v>0</v>
      </c>
      <c r="L75" s="192">
        <f t="shared" ref="L75:L138" si="8">M75+N75</f>
        <v>0</v>
      </c>
      <c r="M75" s="192">
        <v>0</v>
      </c>
      <c r="N75" s="192">
        <v>0</v>
      </c>
      <c r="O75" s="201"/>
    </row>
    <row r="76" spans="1:15" x14ac:dyDescent="0.2">
      <c r="A76" s="128">
        <v>67</v>
      </c>
      <c r="B76" s="72" t="s">
        <v>172</v>
      </c>
      <c r="C76" s="31" t="s">
        <v>173</v>
      </c>
      <c r="D76" s="186">
        <f t="shared" si="6"/>
        <v>0</v>
      </c>
      <c r="E76" s="186">
        <f t="shared" si="3"/>
        <v>0</v>
      </c>
      <c r="F76" s="186">
        <f>'[20]Уточнение для Пр.5-26'!F76+'[20]Пос с др.целями(Пр.2-26)'!F76</f>
        <v>0</v>
      </c>
      <c r="G76" s="186">
        <f>'[20]Уточнение для Пр.5-26'!G76+'[20]Пос с др.целями(Пр.2-26)'!G76</f>
        <v>0</v>
      </c>
      <c r="H76" s="186">
        <f t="shared" si="7"/>
        <v>0</v>
      </c>
      <c r="I76" s="189">
        <v>0</v>
      </c>
      <c r="J76" s="189">
        <v>0</v>
      </c>
      <c r="K76" s="189">
        <v>0</v>
      </c>
      <c r="L76" s="192">
        <f t="shared" si="8"/>
        <v>0</v>
      </c>
      <c r="M76" s="192">
        <v>0</v>
      </c>
      <c r="N76" s="192">
        <v>0</v>
      </c>
      <c r="O76" s="201"/>
    </row>
    <row r="77" spans="1:15" x14ac:dyDescent="0.2">
      <c r="A77" s="128">
        <v>68</v>
      </c>
      <c r="B77" s="72" t="s">
        <v>174</v>
      </c>
      <c r="C77" s="31" t="s">
        <v>175</v>
      </c>
      <c r="D77" s="186">
        <f t="shared" si="6"/>
        <v>0</v>
      </c>
      <c r="E77" s="186">
        <f t="shared" ref="E77:E140" si="9">F77+G77</f>
        <v>0</v>
      </c>
      <c r="F77" s="186">
        <f>'[20]Уточнение для Пр.5-26'!F77+'[20]Пос с др.целями(Пр.2-26)'!F77</f>
        <v>0</v>
      </c>
      <c r="G77" s="186">
        <f>'[20]Уточнение для Пр.5-26'!G77+'[20]Пос с др.целями(Пр.2-26)'!G77</f>
        <v>0</v>
      </c>
      <c r="H77" s="186">
        <f t="shared" si="7"/>
        <v>0</v>
      </c>
      <c r="I77" s="189">
        <v>0</v>
      </c>
      <c r="J77" s="189">
        <v>0</v>
      </c>
      <c r="K77" s="189">
        <v>0</v>
      </c>
      <c r="L77" s="192">
        <f t="shared" si="8"/>
        <v>0</v>
      </c>
      <c r="M77" s="192">
        <v>0</v>
      </c>
      <c r="N77" s="192">
        <v>0</v>
      </c>
      <c r="O77" s="201"/>
    </row>
    <row r="78" spans="1:15" x14ac:dyDescent="0.2">
      <c r="A78" s="128">
        <v>69</v>
      </c>
      <c r="B78" s="71" t="s">
        <v>176</v>
      </c>
      <c r="C78" s="31" t="s">
        <v>177</v>
      </c>
      <c r="D78" s="186">
        <f t="shared" si="6"/>
        <v>5781</v>
      </c>
      <c r="E78" s="186">
        <f t="shared" si="9"/>
        <v>0</v>
      </c>
      <c r="F78" s="186">
        <f>'[20]Уточнение для Пр.5-26'!F78+'[20]Пос с др.целями(Пр.2-26)'!F78</f>
        <v>0</v>
      </c>
      <c r="G78" s="186">
        <f>'[20]Уточнение для Пр.5-26'!G78+'[20]Пос с др.целями(Пр.2-26)'!G78</f>
        <v>0</v>
      </c>
      <c r="H78" s="186">
        <f t="shared" si="7"/>
        <v>5781</v>
      </c>
      <c r="I78" s="189">
        <v>0</v>
      </c>
      <c r="J78" s="189">
        <v>5781</v>
      </c>
      <c r="K78" s="189">
        <v>0</v>
      </c>
      <c r="L78" s="192">
        <f t="shared" si="8"/>
        <v>0</v>
      </c>
      <c r="M78" s="192">
        <v>0</v>
      </c>
      <c r="N78" s="192">
        <v>0</v>
      </c>
      <c r="O78" s="201"/>
    </row>
    <row r="79" spans="1:15" x14ac:dyDescent="0.2">
      <c r="A79" s="128">
        <v>70</v>
      </c>
      <c r="B79" s="71" t="s">
        <v>178</v>
      </c>
      <c r="C79" s="31" t="s">
        <v>179</v>
      </c>
      <c r="D79" s="186">
        <f t="shared" si="6"/>
        <v>0</v>
      </c>
      <c r="E79" s="186">
        <f t="shared" si="9"/>
        <v>0</v>
      </c>
      <c r="F79" s="186">
        <f>'[20]Уточнение для Пр.5-26'!F79+'[20]Пос с др.целями(Пр.2-26)'!F79</f>
        <v>0</v>
      </c>
      <c r="G79" s="186">
        <f>'[20]Уточнение для Пр.5-26'!G79+'[20]Пос с др.целями(Пр.2-26)'!G79</f>
        <v>0</v>
      </c>
      <c r="H79" s="186">
        <f t="shared" si="7"/>
        <v>0</v>
      </c>
      <c r="I79" s="189">
        <v>0</v>
      </c>
      <c r="J79" s="189">
        <v>0</v>
      </c>
      <c r="K79" s="189">
        <v>0</v>
      </c>
      <c r="L79" s="192">
        <f t="shared" si="8"/>
        <v>0</v>
      </c>
      <c r="M79" s="192">
        <v>0</v>
      </c>
      <c r="N79" s="192">
        <v>0</v>
      </c>
      <c r="O79" s="201"/>
    </row>
    <row r="80" spans="1:15" x14ac:dyDescent="0.2">
      <c r="A80" s="128">
        <v>71</v>
      </c>
      <c r="B80" s="71" t="s">
        <v>180</v>
      </c>
      <c r="C80" s="31" t="s">
        <v>181</v>
      </c>
      <c r="D80" s="186">
        <f t="shared" si="6"/>
        <v>0</v>
      </c>
      <c r="E80" s="186">
        <f t="shared" si="9"/>
        <v>0</v>
      </c>
      <c r="F80" s="186">
        <f>'[20]Уточнение для Пр.5-26'!F80+'[20]Пос с др.целями(Пр.2-26)'!F80</f>
        <v>0</v>
      </c>
      <c r="G80" s="186">
        <f>'[20]Уточнение для Пр.5-26'!G80+'[20]Пос с др.целями(Пр.2-26)'!G80</f>
        <v>0</v>
      </c>
      <c r="H80" s="186">
        <f t="shared" si="7"/>
        <v>0</v>
      </c>
      <c r="I80" s="189">
        <v>0</v>
      </c>
      <c r="J80" s="189">
        <v>0</v>
      </c>
      <c r="K80" s="189">
        <v>0</v>
      </c>
      <c r="L80" s="192">
        <f t="shared" si="8"/>
        <v>0</v>
      </c>
      <c r="M80" s="192">
        <v>0</v>
      </c>
      <c r="N80" s="192">
        <v>0</v>
      </c>
      <c r="O80" s="201"/>
    </row>
    <row r="81" spans="1:15" x14ac:dyDescent="0.2">
      <c r="A81" s="128">
        <v>72</v>
      </c>
      <c r="B81" s="834" t="s">
        <v>182</v>
      </c>
      <c r="C81" s="31" t="s">
        <v>183</v>
      </c>
      <c r="D81" s="186">
        <f t="shared" si="6"/>
        <v>65688</v>
      </c>
      <c r="E81" s="186">
        <f t="shared" si="9"/>
        <v>0</v>
      </c>
      <c r="F81" s="186">
        <f>'[20]Уточнение для Пр.5-26'!F81+'[20]Пос с др.целями(Пр.2-26)'!F81</f>
        <v>0</v>
      </c>
      <c r="G81" s="186">
        <f>'[20]Уточнение для Пр.5-26'!G81+'[20]Пос с др.целями(Пр.2-26)'!G81</f>
        <v>0</v>
      </c>
      <c r="H81" s="186">
        <f t="shared" si="7"/>
        <v>65688</v>
      </c>
      <c r="I81" s="189">
        <v>8500</v>
      </c>
      <c r="J81" s="189">
        <v>4936</v>
      </c>
      <c r="K81" s="189">
        <v>52252</v>
      </c>
      <c r="L81" s="192">
        <f t="shared" si="8"/>
        <v>0</v>
      </c>
      <c r="M81" s="192">
        <v>0</v>
      </c>
      <c r="N81" s="192">
        <v>0</v>
      </c>
      <c r="O81" s="201"/>
    </row>
    <row r="82" spans="1:15" x14ac:dyDescent="0.2">
      <c r="A82" s="128">
        <v>73</v>
      </c>
      <c r="B82" s="71" t="s">
        <v>184</v>
      </c>
      <c r="C82" s="31" t="s">
        <v>185</v>
      </c>
      <c r="D82" s="186">
        <f t="shared" si="6"/>
        <v>30752</v>
      </c>
      <c r="E82" s="186">
        <f t="shared" si="9"/>
        <v>0</v>
      </c>
      <c r="F82" s="186">
        <f>'[20]Уточнение для Пр.5-26'!F82+'[20]Пос с др.целями(Пр.2-26)'!F82</f>
        <v>0</v>
      </c>
      <c r="G82" s="186">
        <f>'[20]Уточнение для Пр.5-26'!G82+'[20]Пос с др.целями(Пр.2-26)'!G82</f>
        <v>0</v>
      </c>
      <c r="H82" s="186">
        <f t="shared" si="7"/>
        <v>30752</v>
      </c>
      <c r="I82" s="189">
        <v>8780</v>
      </c>
      <c r="J82" s="189">
        <v>0</v>
      </c>
      <c r="K82" s="189">
        <v>21972</v>
      </c>
      <c r="L82" s="192">
        <f t="shared" si="8"/>
        <v>0</v>
      </c>
      <c r="M82" s="192">
        <v>0</v>
      </c>
      <c r="N82" s="192">
        <v>0</v>
      </c>
      <c r="O82" s="201"/>
    </row>
    <row r="83" spans="1:15" x14ac:dyDescent="0.2">
      <c r="A83" s="128">
        <v>74</v>
      </c>
      <c r="B83" s="834" t="s">
        <v>186</v>
      </c>
      <c r="C83" s="31" t="s">
        <v>187</v>
      </c>
      <c r="D83" s="186">
        <f t="shared" si="6"/>
        <v>12889</v>
      </c>
      <c r="E83" s="186">
        <f t="shared" si="9"/>
        <v>0</v>
      </c>
      <c r="F83" s="186">
        <f>'[20]Уточнение для Пр.5-26'!F83+'[20]Пос с др.целями(Пр.2-26)'!F83</f>
        <v>0</v>
      </c>
      <c r="G83" s="186">
        <f>'[20]Уточнение для Пр.5-26'!G83+'[20]Пос с др.целями(Пр.2-26)'!G83</f>
        <v>0</v>
      </c>
      <c r="H83" s="186">
        <f t="shared" si="7"/>
        <v>12889</v>
      </c>
      <c r="I83" s="189">
        <v>1000</v>
      </c>
      <c r="J83" s="189">
        <v>2894</v>
      </c>
      <c r="K83" s="189">
        <v>8995</v>
      </c>
      <c r="L83" s="192">
        <f t="shared" si="8"/>
        <v>0</v>
      </c>
      <c r="M83" s="192">
        <v>0</v>
      </c>
      <c r="N83" s="192">
        <v>0</v>
      </c>
      <c r="O83" s="201"/>
    </row>
    <row r="84" spans="1:15" x14ac:dyDescent="0.2">
      <c r="A84" s="128">
        <v>75</v>
      </c>
      <c r="B84" s="71" t="s">
        <v>188</v>
      </c>
      <c r="C84" s="31" t="s">
        <v>189</v>
      </c>
      <c r="D84" s="186">
        <f t="shared" si="6"/>
        <v>57273</v>
      </c>
      <c r="E84" s="186">
        <f t="shared" si="9"/>
        <v>0</v>
      </c>
      <c r="F84" s="186">
        <f>'[20]Уточнение для Пр.5-26'!F84+'[20]Пос с др.целями(Пр.2-26)'!F84</f>
        <v>0</v>
      </c>
      <c r="G84" s="186">
        <f>'[20]Уточнение для Пр.5-26'!G84+'[20]Пос с др.целями(Пр.2-26)'!G84</f>
        <v>0</v>
      </c>
      <c r="H84" s="186">
        <f t="shared" si="7"/>
        <v>51374</v>
      </c>
      <c r="I84" s="189">
        <v>2012</v>
      </c>
      <c r="J84" s="189">
        <v>2458</v>
      </c>
      <c r="K84" s="189">
        <v>46904</v>
      </c>
      <c r="L84" s="192">
        <f t="shared" si="8"/>
        <v>5899</v>
      </c>
      <c r="M84" s="192">
        <v>4719</v>
      </c>
      <c r="N84" s="192">
        <v>1180</v>
      </c>
      <c r="O84" s="201"/>
    </row>
    <row r="85" spans="1:15" x14ac:dyDescent="0.2">
      <c r="A85" s="128">
        <v>76</v>
      </c>
      <c r="B85" s="71" t="s">
        <v>190</v>
      </c>
      <c r="C85" s="31" t="s">
        <v>191</v>
      </c>
      <c r="D85" s="186">
        <f t="shared" si="6"/>
        <v>41860</v>
      </c>
      <c r="E85" s="186">
        <f t="shared" si="9"/>
        <v>0</v>
      </c>
      <c r="F85" s="186">
        <f>'[20]Уточнение для Пр.5-26'!F85+'[20]Пос с др.целями(Пр.2-26)'!F85</f>
        <v>0</v>
      </c>
      <c r="G85" s="186">
        <f>'[20]Уточнение для Пр.5-26'!G85+'[20]Пос с др.целями(Пр.2-26)'!G85</f>
        <v>0</v>
      </c>
      <c r="H85" s="186">
        <f t="shared" si="7"/>
        <v>41860</v>
      </c>
      <c r="I85" s="189">
        <v>10000</v>
      </c>
      <c r="J85" s="189">
        <v>0</v>
      </c>
      <c r="K85" s="189">
        <v>31860</v>
      </c>
      <c r="L85" s="192">
        <f t="shared" si="8"/>
        <v>0</v>
      </c>
      <c r="M85" s="192">
        <v>0</v>
      </c>
      <c r="N85" s="192">
        <v>0</v>
      </c>
      <c r="O85" s="201"/>
    </row>
    <row r="86" spans="1:15" x14ac:dyDescent="0.2">
      <c r="A86" s="128">
        <v>77</v>
      </c>
      <c r="B86" s="71" t="s">
        <v>192</v>
      </c>
      <c r="C86" s="31" t="s">
        <v>193</v>
      </c>
      <c r="D86" s="186">
        <f t="shared" si="6"/>
        <v>126798</v>
      </c>
      <c r="E86" s="186">
        <f t="shared" si="9"/>
        <v>0</v>
      </c>
      <c r="F86" s="186">
        <f>'[20]Уточнение для Пр.5-26'!F86+'[20]Пос с др.целями(Пр.2-26)'!F86</f>
        <v>0</v>
      </c>
      <c r="G86" s="186">
        <f>'[20]Уточнение для Пр.5-26'!G86+'[20]Пос с др.целями(Пр.2-26)'!G86</f>
        <v>0</v>
      </c>
      <c r="H86" s="186">
        <f t="shared" si="7"/>
        <v>120083</v>
      </c>
      <c r="I86" s="189">
        <v>2060</v>
      </c>
      <c r="J86" s="189">
        <v>507</v>
      </c>
      <c r="K86" s="189">
        <v>117516</v>
      </c>
      <c r="L86" s="192">
        <f t="shared" si="8"/>
        <v>6715</v>
      </c>
      <c r="M86" s="192">
        <v>5372</v>
      </c>
      <c r="N86" s="192">
        <v>1343</v>
      </c>
      <c r="O86" s="201"/>
    </row>
    <row r="87" spans="1:15" x14ac:dyDescent="0.2">
      <c r="A87" s="128">
        <v>78</v>
      </c>
      <c r="B87" s="71" t="s">
        <v>194</v>
      </c>
      <c r="C87" s="31" t="s">
        <v>195</v>
      </c>
      <c r="D87" s="186">
        <f t="shared" si="6"/>
        <v>25697</v>
      </c>
      <c r="E87" s="186">
        <f t="shared" si="9"/>
        <v>0</v>
      </c>
      <c r="F87" s="186">
        <f>'[20]Уточнение для Пр.5-26'!F87+'[20]Пос с др.целями(Пр.2-26)'!F87</f>
        <v>0</v>
      </c>
      <c r="G87" s="186">
        <f>'[20]Уточнение для Пр.5-26'!G87+'[20]Пос с др.целями(Пр.2-26)'!G87</f>
        <v>0</v>
      </c>
      <c r="H87" s="186">
        <f t="shared" si="7"/>
        <v>25697</v>
      </c>
      <c r="I87" s="189">
        <v>6427</v>
      </c>
      <c r="J87" s="189">
        <v>538</v>
      </c>
      <c r="K87" s="189">
        <v>18732</v>
      </c>
      <c r="L87" s="192">
        <f t="shared" si="8"/>
        <v>0</v>
      </c>
      <c r="M87" s="192">
        <v>0</v>
      </c>
      <c r="N87" s="192">
        <v>0</v>
      </c>
      <c r="O87" s="201"/>
    </row>
    <row r="88" spans="1:15" x14ac:dyDescent="0.2">
      <c r="A88" s="128">
        <v>79</v>
      </c>
      <c r="B88" s="71" t="s">
        <v>196</v>
      </c>
      <c r="C88" s="31" t="s">
        <v>197</v>
      </c>
      <c r="D88" s="186">
        <f t="shared" si="6"/>
        <v>32748</v>
      </c>
      <c r="E88" s="186">
        <f t="shared" si="9"/>
        <v>32748</v>
      </c>
      <c r="F88" s="186">
        <f>'[20]Уточнение для Пр.5-26'!F88+'[20]Пос с др.целями(Пр.2-26)'!F88</f>
        <v>2300</v>
      </c>
      <c r="G88" s="186">
        <f>'[20]Уточнение для Пр.5-26'!G88+'[20]Пос с др.целями(Пр.2-26)'!G88</f>
        <v>30448</v>
      </c>
      <c r="H88" s="186">
        <f t="shared" si="7"/>
        <v>0</v>
      </c>
      <c r="I88" s="189">
        <v>0</v>
      </c>
      <c r="J88" s="189">
        <v>0</v>
      </c>
      <c r="K88" s="189">
        <v>0</v>
      </c>
      <c r="L88" s="192">
        <f t="shared" si="8"/>
        <v>0</v>
      </c>
      <c r="M88" s="192">
        <v>0</v>
      </c>
      <c r="N88" s="192">
        <v>0</v>
      </c>
      <c r="O88" s="201"/>
    </row>
    <row r="89" spans="1:15" x14ac:dyDescent="0.2">
      <c r="A89" s="128">
        <v>80</v>
      </c>
      <c r="B89" s="72" t="s">
        <v>30</v>
      </c>
      <c r="C89" s="31" t="s">
        <v>198</v>
      </c>
      <c r="D89" s="186">
        <f t="shared" si="6"/>
        <v>0</v>
      </c>
      <c r="E89" s="186">
        <f t="shared" si="9"/>
        <v>0</v>
      </c>
      <c r="F89" s="186">
        <f>'[20]Уточнение для Пр.5-26'!F89+'[20]Пос с др.целями(Пр.2-26)'!F89</f>
        <v>0</v>
      </c>
      <c r="G89" s="186">
        <f>'[20]Уточнение для Пр.5-26'!G89+'[20]Пос с др.целями(Пр.2-26)'!G89</f>
        <v>0</v>
      </c>
      <c r="H89" s="186">
        <f t="shared" si="7"/>
        <v>0</v>
      </c>
      <c r="I89" s="189">
        <v>0</v>
      </c>
      <c r="J89" s="189">
        <v>0</v>
      </c>
      <c r="K89" s="189">
        <v>0</v>
      </c>
      <c r="L89" s="192">
        <f t="shared" si="8"/>
        <v>0</v>
      </c>
      <c r="M89" s="192">
        <v>0</v>
      </c>
      <c r="N89" s="192">
        <v>0</v>
      </c>
      <c r="O89" s="201"/>
    </row>
    <row r="90" spans="1:15" ht="25.5" customHeight="1" x14ac:dyDescent="0.2">
      <c r="A90" s="949">
        <v>81</v>
      </c>
      <c r="B90" s="952" t="s">
        <v>199</v>
      </c>
      <c r="C90" s="191" t="s">
        <v>200</v>
      </c>
      <c r="D90" s="186">
        <f t="shared" si="6"/>
        <v>905</v>
      </c>
      <c r="E90" s="186">
        <f t="shared" si="9"/>
        <v>0</v>
      </c>
      <c r="F90" s="186">
        <f>'[20]Уточнение для Пр.5-26'!F90+'[20]Пос с др.целями(Пр.2-26)'!F90</f>
        <v>0</v>
      </c>
      <c r="G90" s="186">
        <f>'[20]Уточнение для Пр.5-26'!G90+'[20]Пос с др.целями(Пр.2-26)'!G90</f>
        <v>0</v>
      </c>
      <c r="H90" s="186">
        <f t="shared" si="7"/>
        <v>905</v>
      </c>
      <c r="I90" s="189">
        <v>0</v>
      </c>
      <c r="J90" s="189">
        <v>0</v>
      </c>
      <c r="K90" s="189">
        <v>905</v>
      </c>
      <c r="L90" s="192">
        <f t="shared" si="8"/>
        <v>0</v>
      </c>
      <c r="M90" s="192">
        <v>0</v>
      </c>
      <c r="N90" s="192">
        <v>0</v>
      </c>
      <c r="O90" s="201"/>
    </row>
    <row r="91" spans="1:15" ht="33.75" customHeight="1" x14ac:dyDescent="0.2">
      <c r="A91" s="950"/>
      <c r="B91" s="953"/>
      <c r="C91" s="31" t="s">
        <v>201</v>
      </c>
      <c r="D91" s="186">
        <f t="shared" si="6"/>
        <v>905</v>
      </c>
      <c r="E91" s="186">
        <f t="shared" si="9"/>
        <v>0</v>
      </c>
      <c r="F91" s="186">
        <f>'[20]Уточнение для Пр.5-26'!F91+'[20]Пос с др.целями(Пр.2-26)'!F91</f>
        <v>0</v>
      </c>
      <c r="G91" s="186">
        <f>'[20]Уточнение для Пр.5-26'!G91+'[20]Пос с др.целями(Пр.2-26)'!G91</f>
        <v>0</v>
      </c>
      <c r="H91" s="186">
        <f t="shared" si="7"/>
        <v>905</v>
      </c>
      <c r="I91" s="189">
        <v>0</v>
      </c>
      <c r="J91" s="189">
        <v>0</v>
      </c>
      <c r="K91" s="189">
        <v>905</v>
      </c>
      <c r="L91" s="192">
        <f t="shared" si="8"/>
        <v>0</v>
      </c>
      <c r="M91" s="192">
        <v>0</v>
      </c>
      <c r="N91" s="192">
        <v>0</v>
      </c>
      <c r="O91" s="201"/>
    </row>
    <row r="92" spans="1:15" ht="24" x14ac:dyDescent="0.2">
      <c r="A92" s="950"/>
      <c r="B92" s="953"/>
      <c r="C92" s="31" t="s">
        <v>202</v>
      </c>
      <c r="D92" s="186">
        <f t="shared" si="6"/>
        <v>0</v>
      </c>
      <c r="E92" s="186">
        <f t="shared" si="9"/>
        <v>0</v>
      </c>
      <c r="F92" s="186">
        <f>'[20]Уточнение для Пр.5-26'!F92+'[20]Пос с др.целями(Пр.2-26)'!F92</f>
        <v>0</v>
      </c>
      <c r="G92" s="186">
        <f>'[20]Уточнение для Пр.5-26'!G92+'[20]Пос с др.целями(Пр.2-26)'!G92</f>
        <v>0</v>
      </c>
      <c r="H92" s="186">
        <f t="shared" si="7"/>
        <v>0</v>
      </c>
      <c r="I92" s="189">
        <v>0</v>
      </c>
      <c r="J92" s="189">
        <v>0</v>
      </c>
      <c r="K92" s="189">
        <v>0</v>
      </c>
      <c r="L92" s="192">
        <f t="shared" si="8"/>
        <v>0</v>
      </c>
      <c r="M92" s="192">
        <v>0</v>
      </c>
      <c r="N92" s="192">
        <v>0</v>
      </c>
      <c r="O92" s="201"/>
    </row>
    <row r="93" spans="1:15" ht="36" x14ac:dyDescent="0.2">
      <c r="A93" s="951"/>
      <c r="B93" s="954"/>
      <c r="C93" s="131" t="s">
        <v>203</v>
      </c>
      <c r="D93" s="186">
        <f t="shared" si="6"/>
        <v>0</v>
      </c>
      <c r="E93" s="186">
        <f t="shared" si="9"/>
        <v>0</v>
      </c>
      <c r="F93" s="186">
        <f>'[20]Уточнение для Пр.5-26'!F93+'[20]Пос с др.целями(Пр.2-26)'!F93</f>
        <v>0</v>
      </c>
      <c r="G93" s="186">
        <f>'[20]Уточнение для Пр.5-26'!G93+'[20]Пос с др.целями(Пр.2-26)'!G93</f>
        <v>0</v>
      </c>
      <c r="H93" s="186">
        <v>0</v>
      </c>
      <c r="I93" s="189">
        <v>0</v>
      </c>
      <c r="J93" s="189">
        <v>0</v>
      </c>
      <c r="K93" s="189">
        <v>0</v>
      </c>
      <c r="L93" s="192">
        <f t="shared" si="8"/>
        <v>0</v>
      </c>
      <c r="M93" s="192">
        <v>0</v>
      </c>
      <c r="N93" s="192">
        <v>0</v>
      </c>
      <c r="O93" s="201"/>
    </row>
    <row r="94" spans="1:15" ht="24" x14ac:dyDescent="0.2">
      <c r="A94" s="128">
        <v>82</v>
      </c>
      <c r="B94" s="72" t="s">
        <v>204</v>
      </c>
      <c r="C94" s="31" t="s">
        <v>205</v>
      </c>
      <c r="D94" s="186">
        <f t="shared" si="6"/>
        <v>0</v>
      </c>
      <c r="E94" s="186">
        <f t="shared" si="9"/>
        <v>0</v>
      </c>
      <c r="F94" s="186">
        <f>'[20]Уточнение для Пр.5-26'!F94+'[20]Пос с др.целями(Пр.2-26)'!F94</f>
        <v>0</v>
      </c>
      <c r="G94" s="186">
        <f>'[20]Уточнение для Пр.5-26'!G94+'[20]Пос с др.целями(Пр.2-26)'!G94</f>
        <v>0</v>
      </c>
      <c r="H94" s="186">
        <f t="shared" si="7"/>
        <v>0</v>
      </c>
      <c r="I94" s="189">
        <v>0</v>
      </c>
      <c r="J94" s="189">
        <v>0</v>
      </c>
      <c r="K94" s="189">
        <v>0</v>
      </c>
      <c r="L94" s="192">
        <f t="shared" si="8"/>
        <v>0</v>
      </c>
      <c r="M94" s="192">
        <v>0</v>
      </c>
      <c r="N94" s="192">
        <v>0</v>
      </c>
      <c r="O94" s="201"/>
    </row>
    <row r="95" spans="1:15" x14ac:dyDescent="0.2">
      <c r="A95" s="128">
        <v>83</v>
      </c>
      <c r="B95" s="72" t="s">
        <v>206</v>
      </c>
      <c r="C95" s="31" t="s">
        <v>207</v>
      </c>
      <c r="D95" s="186">
        <f t="shared" si="6"/>
        <v>1987</v>
      </c>
      <c r="E95" s="186">
        <f t="shared" si="9"/>
        <v>0</v>
      </c>
      <c r="F95" s="186">
        <f>'[20]Уточнение для Пр.5-26'!F95+'[20]Пос с др.целями(Пр.2-26)'!F95</f>
        <v>0</v>
      </c>
      <c r="G95" s="186">
        <f>'[20]Уточнение для Пр.5-26'!G95+'[20]Пос с др.целями(Пр.2-26)'!G95</f>
        <v>0</v>
      </c>
      <c r="H95" s="186">
        <f t="shared" si="7"/>
        <v>1987</v>
      </c>
      <c r="I95" s="189">
        <v>100</v>
      </c>
      <c r="J95" s="189">
        <v>128</v>
      </c>
      <c r="K95" s="189">
        <v>1759</v>
      </c>
      <c r="L95" s="192">
        <f t="shared" si="8"/>
        <v>0</v>
      </c>
      <c r="M95" s="192">
        <v>0</v>
      </c>
      <c r="N95" s="192">
        <v>0</v>
      </c>
      <c r="O95" s="201"/>
    </row>
    <row r="96" spans="1:15" x14ac:dyDescent="0.2">
      <c r="A96" s="128">
        <v>84</v>
      </c>
      <c r="B96" s="834" t="s">
        <v>208</v>
      </c>
      <c r="C96" s="31" t="s">
        <v>209</v>
      </c>
      <c r="D96" s="186">
        <f t="shared" si="6"/>
        <v>3571</v>
      </c>
      <c r="E96" s="186">
        <f t="shared" si="9"/>
        <v>0</v>
      </c>
      <c r="F96" s="186">
        <f>'[20]Уточнение для Пр.5-26'!F96+'[20]Пос с др.целями(Пр.2-26)'!F96</f>
        <v>0</v>
      </c>
      <c r="G96" s="186">
        <f>'[20]Уточнение для Пр.5-26'!G96+'[20]Пос с др.целями(Пр.2-26)'!G96</f>
        <v>0</v>
      </c>
      <c r="H96" s="186">
        <f t="shared" si="7"/>
        <v>3571</v>
      </c>
      <c r="I96" s="189">
        <v>460</v>
      </c>
      <c r="J96" s="189">
        <v>816</v>
      </c>
      <c r="K96" s="189">
        <v>2295</v>
      </c>
      <c r="L96" s="192">
        <f t="shared" si="8"/>
        <v>0</v>
      </c>
      <c r="M96" s="192">
        <v>0</v>
      </c>
      <c r="N96" s="192">
        <v>0</v>
      </c>
      <c r="O96" s="201"/>
    </row>
    <row r="97" spans="1:15" x14ac:dyDescent="0.2">
      <c r="A97" s="128">
        <v>85</v>
      </c>
      <c r="B97" s="72" t="s">
        <v>210</v>
      </c>
      <c r="C97" s="31" t="s">
        <v>211</v>
      </c>
      <c r="D97" s="186">
        <f t="shared" si="6"/>
        <v>6597</v>
      </c>
      <c r="E97" s="186">
        <f t="shared" si="9"/>
        <v>0</v>
      </c>
      <c r="F97" s="186">
        <f>'[20]Уточнение для Пр.5-26'!F97+'[20]Пос с др.целями(Пр.2-26)'!F97</f>
        <v>0</v>
      </c>
      <c r="G97" s="186">
        <f>'[20]Уточнение для Пр.5-26'!G97+'[20]Пос с др.целями(Пр.2-26)'!G97</f>
        <v>0</v>
      </c>
      <c r="H97" s="186">
        <f t="shared" si="7"/>
        <v>6597</v>
      </c>
      <c r="I97" s="189">
        <v>150</v>
      </c>
      <c r="J97" s="189">
        <v>985</v>
      </c>
      <c r="K97" s="189">
        <v>5462</v>
      </c>
      <c r="L97" s="192">
        <f t="shared" si="8"/>
        <v>0</v>
      </c>
      <c r="M97" s="192">
        <v>0</v>
      </c>
      <c r="N97" s="192">
        <v>0</v>
      </c>
      <c r="O97" s="201"/>
    </row>
    <row r="98" spans="1:15" x14ac:dyDescent="0.2">
      <c r="A98" s="128">
        <v>86</v>
      </c>
      <c r="B98" s="834" t="s">
        <v>212</v>
      </c>
      <c r="C98" s="31" t="s">
        <v>213</v>
      </c>
      <c r="D98" s="186">
        <f t="shared" si="6"/>
        <v>8088</v>
      </c>
      <c r="E98" s="186">
        <f t="shared" si="9"/>
        <v>0</v>
      </c>
      <c r="F98" s="186">
        <f>'[20]Уточнение для Пр.5-26'!F98+'[20]Пос с др.целями(Пр.2-26)'!F98</f>
        <v>0</v>
      </c>
      <c r="G98" s="186">
        <f>'[20]Уточнение для Пр.5-26'!G98+'[20]Пос с др.целями(Пр.2-26)'!G98</f>
        <v>0</v>
      </c>
      <c r="H98" s="186">
        <f t="shared" si="7"/>
        <v>8088</v>
      </c>
      <c r="I98" s="189">
        <v>0</v>
      </c>
      <c r="J98" s="189">
        <v>311</v>
      </c>
      <c r="K98" s="189">
        <v>7777</v>
      </c>
      <c r="L98" s="192">
        <f t="shared" si="8"/>
        <v>0</v>
      </c>
      <c r="M98" s="192">
        <v>0</v>
      </c>
      <c r="N98" s="192">
        <v>0</v>
      </c>
      <c r="O98" s="201"/>
    </row>
    <row r="99" spans="1:15" x14ac:dyDescent="0.2">
      <c r="A99" s="128">
        <v>87</v>
      </c>
      <c r="B99" s="834" t="s">
        <v>214</v>
      </c>
      <c r="C99" s="31" t="s">
        <v>215</v>
      </c>
      <c r="D99" s="186">
        <f t="shared" si="6"/>
        <v>29616</v>
      </c>
      <c r="E99" s="186">
        <f t="shared" si="9"/>
        <v>0</v>
      </c>
      <c r="F99" s="186">
        <f>'[20]Уточнение для Пр.5-26'!F99+'[20]Пос с др.целями(Пр.2-26)'!F99</f>
        <v>0</v>
      </c>
      <c r="G99" s="186">
        <f>'[20]Уточнение для Пр.5-26'!G99+'[20]Пос с др.целями(Пр.2-26)'!G99</f>
        <v>0</v>
      </c>
      <c r="H99" s="186">
        <f t="shared" si="7"/>
        <v>29616</v>
      </c>
      <c r="I99" s="189">
        <v>2000</v>
      </c>
      <c r="J99" s="189">
        <v>1810</v>
      </c>
      <c r="K99" s="189">
        <v>25806</v>
      </c>
      <c r="L99" s="192">
        <f t="shared" si="8"/>
        <v>0</v>
      </c>
      <c r="M99" s="192">
        <v>0</v>
      </c>
      <c r="N99" s="192">
        <v>0</v>
      </c>
      <c r="O99" s="201"/>
    </row>
    <row r="100" spans="1:15" x14ac:dyDescent="0.2">
      <c r="A100" s="128">
        <v>88</v>
      </c>
      <c r="B100" s="72" t="s">
        <v>216</v>
      </c>
      <c r="C100" s="31" t="s">
        <v>217</v>
      </c>
      <c r="D100" s="186">
        <f t="shared" si="6"/>
        <v>8356</v>
      </c>
      <c r="E100" s="186">
        <f t="shared" si="9"/>
        <v>0</v>
      </c>
      <c r="F100" s="186">
        <f>'[20]Уточнение для Пр.5-26'!F100+'[20]Пос с др.целями(Пр.2-26)'!F100</f>
        <v>0</v>
      </c>
      <c r="G100" s="186">
        <f>'[20]Уточнение для Пр.5-26'!G100+'[20]Пос с др.целями(Пр.2-26)'!G100</f>
        <v>0</v>
      </c>
      <c r="H100" s="186">
        <f t="shared" si="7"/>
        <v>8356</v>
      </c>
      <c r="I100" s="189">
        <v>1333</v>
      </c>
      <c r="J100" s="189">
        <v>1346</v>
      </c>
      <c r="K100" s="189">
        <v>5677</v>
      </c>
      <c r="L100" s="192">
        <f t="shared" si="8"/>
        <v>0</v>
      </c>
      <c r="M100" s="192">
        <v>0</v>
      </c>
      <c r="N100" s="192">
        <v>0</v>
      </c>
      <c r="O100" s="201"/>
    </row>
    <row r="101" spans="1:15" x14ac:dyDescent="0.2">
      <c r="A101" s="128">
        <v>89</v>
      </c>
      <c r="B101" s="71" t="s">
        <v>218</v>
      </c>
      <c r="C101" s="31" t="s">
        <v>219</v>
      </c>
      <c r="D101" s="186">
        <f t="shared" si="6"/>
        <v>40042</v>
      </c>
      <c r="E101" s="186">
        <f t="shared" si="9"/>
        <v>0</v>
      </c>
      <c r="F101" s="186">
        <f>'[20]Уточнение для Пр.5-26'!F101+'[20]Пос с др.целями(Пр.2-26)'!F101</f>
        <v>0</v>
      </c>
      <c r="G101" s="186">
        <f>'[20]Уточнение для Пр.5-26'!G101+'[20]Пос с др.целями(Пр.2-26)'!G101</f>
        <v>0</v>
      </c>
      <c r="H101" s="186">
        <f t="shared" si="7"/>
        <v>40042</v>
      </c>
      <c r="I101" s="189">
        <v>721</v>
      </c>
      <c r="J101" s="189">
        <v>2536</v>
      </c>
      <c r="K101" s="189">
        <v>36785</v>
      </c>
      <c r="L101" s="192">
        <f t="shared" si="8"/>
        <v>0</v>
      </c>
      <c r="M101" s="192">
        <v>0</v>
      </c>
      <c r="N101" s="192">
        <v>0</v>
      </c>
      <c r="O101" s="201"/>
    </row>
    <row r="102" spans="1:15" x14ac:dyDescent="0.2">
      <c r="A102" s="128">
        <v>90</v>
      </c>
      <c r="B102" s="71" t="s">
        <v>220</v>
      </c>
      <c r="C102" s="31" t="s">
        <v>221</v>
      </c>
      <c r="D102" s="186">
        <f t="shared" si="6"/>
        <v>23305</v>
      </c>
      <c r="E102" s="186">
        <f t="shared" si="9"/>
        <v>0</v>
      </c>
      <c r="F102" s="186">
        <f>'[20]Уточнение для Пр.5-26'!F102+'[20]Пос с др.целями(Пр.2-26)'!F102</f>
        <v>0</v>
      </c>
      <c r="G102" s="186">
        <f>'[20]Уточнение для Пр.5-26'!G102+'[20]Пос с др.целями(Пр.2-26)'!G102</f>
        <v>0</v>
      </c>
      <c r="H102" s="186">
        <f t="shared" si="7"/>
        <v>23305</v>
      </c>
      <c r="I102" s="189">
        <v>2540</v>
      </c>
      <c r="J102" s="189">
        <v>716</v>
      </c>
      <c r="K102" s="189">
        <v>20049</v>
      </c>
      <c r="L102" s="192">
        <f t="shared" si="8"/>
        <v>0</v>
      </c>
      <c r="M102" s="192">
        <v>0</v>
      </c>
      <c r="N102" s="192">
        <v>0</v>
      </c>
      <c r="O102" s="201"/>
    </row>
    <row r="103" spans="1:15" x14ac:dyDescent="0.2">
      <c r="A103" s="128">
        <v>91</v>
      </c>
      <c r="B103" s="834" t="s">
        <v>222</v>
      </c>
      <c r="C103" s="31" t="s">
        <v>223</v>
      </c>
      <c r="D103" s="186">
        <f t="shared" si="6"/>
        <v>5555</v>
      </c>
      <c r="E103" s="186">
        <f t="shared" si="9"/>
        <v>0</v>
      </c>
      <c r="F103" s="186">
        <f>'[20]Уточнение для Пр.5-26'!F103+'[20]Пос с др.целями(Пр.2-26)'!F103</f>
        <v>0</v>
      </c>
      <c r="G103" s="186">
        <f>'[20]Уточнение для Пр.5-26'!G103+'[20]Пос с др.целями(Пр.2-26)'!G103</f>
        <v>0</v>
      </c>
      <c r="H103" s="186">
        <f t="shared" si="7"/>
        <v>5555</v>
      </c>
      <c r="I103" s="189">
        <v>800</v>
      </c>
      <c r="J103" s="189">
        <v>124</v>
      </c>
      <c r="K103" s="189">
        <v>4631</v>
      </c>
      <c r="L103" s="192">
        <f t="shared" si="8"/>
        <v>0</v>
      </c>
      <c r="M103" s="192">
        <v>0</v>
      </c>
      <c r="N103" s="192">
        <v>0</v>
      </c>
      <c r="O103" s="201"/>
    </row>
    <row r="104" spans="1:15" x14ac:dyDescent="0.2">
      <c r="A104" s="128">
        <v>92</v>
      </c>
      <c r="B104" s="71" t="s">
        <v>224</v>
      </c>
      <c r="C104" s="31" t="s">
        <v>225</v>
      </c>
      <c r="D104" s="186">
        <f t="shared" si="6"/>
        <v>10593</v>
      </c>
      <c r="E104" s="186">
        <f t="shared" si="9"/>
        <v>0</v>
      </c>
      <c r="F104" s="186">
        <f>'[20]Уточнение для Пр.5-26'!F104+'[20]Пос с др.целями(Пр.2-26)'!F104</f>
        <v>0</v>
      </c>
      <c r="G104" s="186">
        <f>'[20]Уточнение для Пр.5-26'!G104+'[20]Пос с др.целями(Пр.2-26)'!G104</f>
        <v>0</v>
      </c>
      <c r="H104" s="186">
        <f t="shared" si="7"/>
        <v>10593</v>
      </c>
      <c r="I104" s="189">
        <v>840</v>
      </c>
      <c r="J104" s="189">
        <v>1030</v>
      </c>
      <c r="K104" s="189">
        <v>8723</v>
      </c>
      <c r="L104" s="192">
        <f t="shared" si="8"/>
        <v>0</v>
      </c>
      <c r="M104" s="192">
        <v>0</v>
      </c>
      <c r="N104" s="192">
        <v>0</v>
      </c>
      <c r="O104" s="201"/>
    </row>
    <row r="105" spans="1:15" x14ac:dyDescent="0.2">
      <c r="A105" s="128">
        <v>93</v>
      </c>
      <c r="B105" s="71" t="s">
        <v>226</v>
      </c>
      <c r="C105" s="31" t="s">
        <v>227</v>
      </c>
      <c r="D105" s="186">
        <f t="shared" si="6"/>
        <v>8829</v>
      </c>
      <c r="E105" s="186">
        <f t="shared" si="9"/>
        <v>0</v>
      </c>
      <c r="F105" s="186">
        <f>'[20]Уточнение для Пр.5-26'!F105+'[20]Пос с др.целями(Пр.2-26)'!F105</f>
        <v>0</v>
      </c>
      <c r="G105" s="186">
        <f>'[20]Уточнение для Пр.5-26'!G105+'[20]Пос с др.целями(Пр.2-26)'!G105</f>
        <v>0</v>
      </c>
      <c r="H105" s="186">
        <f t="shared" si="7"/>
        <v>8829</v>
      </c>
      <c r="I105" s="189">
        <v>720</v>
      </c>
      <c r="J105" s="189">
        <v>686</v>
      </c>
      <c r="K105" s="189">
        <v>7423</v>
      </c>
      <c r="L105" s="192">
        <f t="shared" si="8"/>
        <v>0</v>
      </c>
      <c r="M105" s="192">
        <v>0</v>
      </c>
      <c r="N105" s="192">
        <v>0</v>
      </c>
      <c r="O105" s="201"/>
    </row>
    <row r="106" spans="1:15" x14ac:dyDescent="0.2">
      <c r="A106" s="128">
        <v>94</v>
      </c>
      <c r="B106" s="72" t="s">
        <v>32</v>
      </c>
      <c r="C106" s="31" t="s">
        <v>33</v>
      </c>
      <c r="D106" s="186">
        <f t="shared" si="6"/>
        <v>20917</v>
      </c>
      <c r="E106" s="186">
        <f t="shared" si="9"/>
        <v>0</v>
      </c>
      <c r="F106" s="186">
        <f>'[20]Уточнение для Пр.5-26'!F106+'[20]Пос с др.целями(Пр.2-26)'!F106</f>
        <v>0</v>
      </c>
      <c r="G106" s="186">
        <f>'[20]Уточнение для Пр.5-26'!G106+'[20]Пос с др.целями(Пр.2-26)'!G106</f>
        <v>0</v>
      </c>
      <c r="H106" s="186">
        <f t="shared" si="7"/>
        <v>19509</v>
      </c>
      <c r="I106" s="189">
        <v>2345</v>
      </c>
      <c r="J106" s="189">
        <v>187</v>
      </c>
      <c r="K106" s="189">
        <v>16977</v>
      </c>
      <c r="L106" s="192">
        <f t="shared" si="8"/>
        <v>1408</v>
      </c>
      <c r="M106" s="192">
        <v>1126</v>
      </c>
      <c r="N106" s="192">
        <v>282</v>
      </c>
      <c r="O106" s="201"/>
    </row>
    <row r="107" spans="1:15" x14ac:dyDescent="0.2">
      <c r="A107" s="128">
        <v>95</v>
      </c>
      <c r="B107" s="834" t="s">
        <v>228</v>
      </c>
      <c r="C107" s="31" t="s">
        <v>229</v>
      </c>
      <c r="D107" s="186">
        <f t="shared" si="6"/>
        <v>11082</v>
      </c>
      <c r="E107" s="186">
        <f t="shared" si="9"/>
        <v>0</v>
      </c>
      <c r="F107" s="186">
        <f>'[20]Уточнение для Пр.5-26'!F107+'[20]Пос с др.целями(Пр.2-26)'!F107</f>
        <v>0</v>
      </c>
      <c r="G107" s="186">
        <f>'[20]Уточнение для Пр.5-26'!G107+'[20]Пос с др.целями(Пр.2-26)'!G107</f>
        <v>0</v>
      </c>
      <c r="H107" s="186">
        <f t="shared" si="7"/>
        <v>11082</v>
      </c>
      <c r="I107" s="189">
        <v>1110</v>
      </c>
      <c r="J107" s="189">
        <v>296</v>
      </c>
      <c r="K107" s="189">
        <v>9676</v>
      </c>
      <c r="L107" s="192">
        <f t="shared" si="8"/>
        <v>0</v>
      </c>
      <c r="M107" s="192">
        <v>0</v>
      </c>
      <c r="N107" s="192">
        <v>0</v>
      </c>
      <c r="O107" s="201"/>
    </row>
    <row r="108" spans="1:15" x14ac:dyDescent="0.2">
      <c r="A108" s="128">
        <v>96</v>
      </c>
      <c r="B108" s="71" t="s">
        <v>230</v>
      </c>
      <c r="C108" s="31" t="s">
        <v>231</v>
      </c>
      <c r="D108" s="186">
        <f t="shared" si="6"/>
        <v>24640</v>
      </c>
      <c r="E108" s="186">
        <f t="shared" si="9"/>
        <v>0</v>
      </c>
      <c r="F108" s="186">
        <f>'[20]Уточнение для Пр.5-26'!F108+'[20]Пос с др.целями(Пр.2-26)'!F108</f>
        <v>0</v>
      </c>
      <c r="G108" s="186">
        <f>'[20]Уточнение для Пр.5-26'!G108+'[20]Пос с др.целями(Пр.2-26)'!G108</f>
        <v>0</v>
      </c>
      <c r="H108" s="186">
        <f t="shared" si="7"/>
        <v>24640</v>
      </c>
      <c r="I108" s="189">
        <v>620</v>
      </c>
      <c r="J108" s="189">
        <v>1539</v>
      </c>
      <c r="K108" s="189">
        <v>22481</v>
      </c>
      <c r="L108" s="192">
        <f t="shared" si="8"/>
        <v>0</v>
      </c>
      <c r="M108" s="192">
        <v>0</v>
      </c>
      <c r="N108" s="192">
        <v>0</v>
      </c>
      <c r="O108" s="201"/>
    </row>
    <row r="109" spans="1:15" x14ac:dyDescent="0.2">
      <c r="A109" s="128">
        <v>97</v>
      </c>
      <c r="B109" s="71" t="s">
        <v>232</v>
      </c>
      <c r="C109" s="31" t="s">
        <v>233</v>
      </c>
      <c r="D109" s="186">
        <f t="shared" si="6"/>
        <v>0</v>
      </c>
      <c r="E109" s="186">
        <f t="shared" si="9"/>
        <v>0</v>
      </c>
      <c r="F109" s="186">
        <f>'[20]Уточнение для Пр.5-26'!F109+'[20]Пос с др.целями(Пр.2-26)'!F109</f>
        <v>0</v>
      </c>
      <c r="G109" s="186">
        <f>'[20]Уточнение для Пр.5-26'!G109+'[20]Пос с др.целями(Пр.2-26)'!G109</f>
        <v>0</v>
      </c>
      <c r="H109" s="186">
        <f t="shared" si="7"/>
        <v>0</v>
      </c>
      <c r="I109" s="189">
        <v>0</v>
      </c>
      <c r="J109" s="189">
        <v>0</v>
      </c>
      <c r="K109" s="189">
        <v>0</v>
      </c>
      <c r="L109" s="192">
        <f t="shared" si="8"/>
        <v>0</v>
      </c>
      <c r="M109" s="192">
        <v>0</v>
      </c>
      <c r="N109" s="192">
        <v>0</v>
      </c>
      <c r="O109" s="201"/>
    </row>
    <row r="110" spans="1:15" x14ac:dyDescent="0.2">
      <c r="A110" s="128">
        <v>98</v>
      </c>
      <c r="B110" s="71" t="s">
        <v>234</v>
      </c>
      <c r="C110" s="31" t="s">
        <v>235</v>
      </c>
      <c r="D110" s="186">
        <f t="shared" si="6"/>
        <v>0</v>
      </c>
      <c r="E110" s="186">
        <f t="shared" si="9"/>
        <v>0</v>
      </c>
      <c r="F110" s="186">
        <f>'[20]Уточнение для Пр.5-26'!F110+'[20]Пос с др.целями(Пр.2-26)'!F110</f>
        <v>0</v>
      </c>
      <c r="G110" s="186">
        <f>'[20]Уточнение для Пр.5-26'!G110+'[20]Пос с др.целями(Пр.2-26)'!G110</f>
        <v>0</v>
      </c>
      <c r="H110" s="186">
        <v>0</v>
      </c>
      <c r="I110" s="189">
        <v>0</v>
      </c>
      <c r="J110" s="189">
        <v>0</v>
      </c>
      <c r="K110" s="189">
        <v>0</v>
      </c>
      <c r="L110" s="192">
        <f t="shared" si="8"/>
        <v>0</v>
      </c>
      <c r="M110" s="192">
        <v>0</v>
      </c>
      <c r="N110" s="192">
        <v>0</v>
      </c>
      <c r="O110" s="201"/>
    </row>
    <row r="111" spans="1:15" x14ac:dyDescent="0.2">
      <c r="A111" s="128">
        <v>99</v>
      </c>
      <c r="B111" s="834" t="s">
        <v>236</v>
      </c>
      <c r="C111" s="31" t="s">
        <v>237</v>
      </c>
      <c r="D111" s="186">
        <f t="shared" si="6"/>
        <v>0</v>
      </c>
      <c r="E111" s="186">
        <f t="shared" si="9"/>
        <v>0</v>
      </c>
      <c r="F111" s="186">
        <f>'[20]Уточнение для Пр.5-26'!F111+'[20]Пос с др.целями(Пр.2-26)'!F111</f>
        <v>0</v>
      </c>
      <c r="G111" s="186">
        <f>'[20]Уточнение для Пр.5-26'!G111+'[20]Пос с др.целями(Пр.2-26)'!G111</f>
        <v>0</v>
      </c>
      <c r="H111" s="186">
        <v>0</v>
      </c>
      <c r="I111" s="189">
        <v>0</v>
      </c>
      <c r="J111" s="189">
        <v>0</v>
      </c>
      <c r="K111" s="189">
        <v>0</v>
      </c>
      <c r="L111" s="192">
        <f t="shared" si="8"/>
        <v>0</v>
      </c>
      <c r="M111" s="192">
        <v>0</v>
      </c>
      <c r="N111" s="192">
        <v>0</v>
      </c>
      <c r="O111" s="201"/>
    </row>
    <row r="112" spans="1:15" x14ac:dyDescent="0.2">
      <c r="A112" s="128">
        <v>100</v>
      </c>
      <c r="B112" s="834" t="s">
        <v>238</v>
      </c>
      <c r="C112" s="31" t="s">
        <v>239</v>
      </c>
      <c r="D112" s="186">
        <f t="shared" si="6"/>
        <v>0</v>
      </c>
      <c r="E112" s="186">
        <f t="shared" si="9"/>
        <v>0</v>
      </c>
      <c r="F112" s="186">
        <f>'[20]Уточнение для Пр.5-26'!F112+'[20]Пос с др.целями(Пр.2-26)'!F112</f>
        <v>0</v>
      </c>
      <c r="G112" s="186">
        <f>'[20]Уточнение для Пр.5-26'!G112+'[20]Пос с др.целями(Пр.2-26)'!G112</f>
        <v>0</v>
      </c>
      <c r="H112" s="186">
        <v>0</v>
      </c>
      <c r="I112" s="189">
        <v>0</v>
      </c>
      <c r="J112" s="189">
        <v>0</v>
      </c>
      <c r="K112" s="189">
        <v>0</v>
      </c>
      <c r="L112" s="192">
        <f t="shared" si="8"/>
        <v>0</v>
      </c>
      <c r="M112" s="192">
        <v>0</v>
      </c>
      <c r="N112" s="192">
        <v>0</v>
      </c>
      <c r="O112" s="201"/>
    </row>
    <row r="113" spans="1:15" x14ac:dyDescent="0.2">
      <c r="A113" s="128">
        <v>101</v>
      </c>
      <c r="B113" s="834" t="s">
        <v>240</v>
      </c>
      <c r="C113" s="31" t="s">
        <v>241</v>
      </c>
      <c r="D113" s="186">
        <f t="shared" si="6"/>
        <v>0</v>
      </c>
      <c r="E113" s="186">
        <f t="shared" si="9"/>
        <v>0</v>
      </c>
      <c r="F113" s="186">
        <f>'[20]Уточнение для Пр.5-26'!F113+'[20]Пос с др.целями(Пр.2-26)'!F113</f>
        <v>0</v>
      </c>
      <c r="G113" s="186">
        <f>'[20]Уточнение для Пр.5-26'!G113+'[20]Пос с др.целями(Пр.2-26)'!G113</f>
        <v>0</v>
      </c>
      <c r="H113" s="186">
        <v>0</v>
      </c>
      <c r="I113" s="189">
        <v>0</v>
      </c>
      <c r="J113" s="189">
        <v>0</v>
      </c>
      <c r="K113" s="189">
        <v>0</v>
      </c>
      <c r="L113" s="192">
        <f t="shared" si="8"/>
        <v>0</v>
      </c>
      <c r="M113" s="192">
        <v>0</v>
      </c>
      <c r="N113" s="192">
        <v>0</v>
      </c>
      <c r="O113" s="201"/>
    </row>
    <row r="114" spans="1:15" x14ac:dyDescent="0.2">
      <c r="A114" s="128">
        <v>102</v>
      </c>
      <c r="B114" s="834" t="s">
        <v>242</v>
      </c>
      <c r="C114" s="31" t="s">
        <v>243</v>
      </c>
      <c r="D114" s="186">
        <f t="shared" si="6"/>
        <v>0</v>
      </c>
      <c r="E114" s="186">
        <f t="shared" si="9"/>
        <v>0</v>
      </c>
      <c r="F114" s="186">
        <f>'[20]Уточнение для Пр.5-26'!F114+'[20]Пос с др.целями(Пр.2-26)'!F114</f>
        <v>0</v>
      </c>
      <c r="G114" s="186">
        <f>'[20]Уточнение для Пр.5-26'!G114+'[20]Пос с др.целями(Пр.2-26)'!G114</f>
        <v>0</v>
      </c>
      <c r="H114" s="186">
        <v>0</v>
      </c>
      <c r="I114" s="189">
        <v>0</v>
      </c>
      <c r="J114" s="189">
        <v>0</v>
      </c>
      <c r="K114" s="189">
        <v>0</v>
      </c>
      <c r="L114" s="192">
        <f t="shared" si="8"/>
        <v>0</v>
      </c>
      <c r="M114" s="192">
        <v>0</v>
      </c>
      <c r="N114" s="192">
        <v>0</v>
      </c>
      <c r="O114" s="201"/>
    </row>
    <row r="115" spans="1:15" x14ac:dyDescent="0.2">
      <c r="A115" s="128">
        <v>103</v>
      </c>
      <c r="B115" s="834" t="s">
        <v>244</v>
      </c>
      <c r="C115" s="31" t="s">
        <v>245</v>
      </c>
      <c r="D115" s="186">
        <f t="shared" si="6"/>
        <v>0</v>
      </c>
      <c r="E115" s="186">
        <f t="shared" si="9"/>
        <v>0</v>
      </c>
      <c r="F115" s="186">
        <f>'[20]Уточнение для Пр.5-26'!F115+'[20]Пос с др.целями(Пр.2-26)'!F115</f>
        <v>0</v>
      </c>
      <c r="G115" s="186">
        <f>'[20]Уточнение для Пр.5-26'!G115+'[20]Пос с др.целями(Пр.2-26)'!G115</f>
        <v>0</v>
      </c>
      <c r="H115" s="186">
        <f t="shared" si="7"/>
        <v>0</v>
      </c>
      <c r="I115" s="189">
        <v>0</v>
      </c>
      <c r="J115" s="189">
        <v>0</v>
      </c>
      <c r="K115" s="189">
        <v>0</v>
      </c>
      <c r="L115" s="192">
        <f t="shared" si="8"/>
        <v>0</v>
      </c>
      <c r="M115" s="192">
        <v>0</v>
      </c>
      <c r="N115" s="192">
        <v>0</v>
      </c>
      <c r="O115" s="201"/>
    </row>
    <row r="116" spans="1:15" x14ac:dyDescent="0.2">
      <c r="A116" s="128">
        <v>104</v>
      </c>
      <c r="B116" s="132" t="s">
        <v>246</v>
      </c>
      <c r="C116" s="130" t="s">
        <v>247</v>
      </c>
      <c r="D116" s="186">
        <f t="shared" si="6"/>
        <v>0</v>
      </c>
      <c r="E116" s="186">
        <f t="shared" si="9"/>
        <v>0</v>
      </c>
      <c r="F116" s="186">
        <f>'[20]Уточнение для Пр.5-26'!F116+'[20]Пос с др.целями(Пр.2-26)'!F116</f>
        <v>0</v>
      </c>
      <c r="G116" s="186">
        <f>'[20]Уточнение для Пр.5-26'!G116+'[20]Пос с др.целями(Пр.2-26)'!G116</f>
        <v>0</v>
      </c>
      <c r="H116" s="186">
        <v>0</v>
      </c>
      <c r="I116" s="189">
        <v>0</v>
      </c>
      <c r="J116" s="189">
        <v>0</v>
      </c>
      <c r="K116" s="189">
        <v>0</v>
      </c>
      <c r="L116" s="192">
        <f t="shared" si="8"/>
        <v>0</v>
      </c>
      <c r="M116" s="192">
        <v>0</v>
      </c>
      <c r="N116" s="192">
        <v>0</v>
      </c>
      <c r="O116" s="201"/>
    </row>
    <row r="117" spans="1:15" x14ac:dyDescent="0.2">
      <c r="A117" s="128">
        <v>105</v>
      </c>
      <c r="B117" s="72" t="s">
        <v>248</v>
      </c>
      <c r="C117" s="31" t="s">
        <v>249</v>
      </c>
      <c r="D117" s="186">
        <f t="shared" si="6"/>
        <v>0</v>
      </c>
      <c r="E117" s="186">
        <f t="shared" si="9"/>
        <v>0</v>
      </c>
      <c r="F117" s="186">
        <f>'[20]Уточнение для Пр.5-26'!F117+'[20]Пос с др.целями(Пр.2-26)'!F117</f>
        <v>0</v>
      </c>
      <c r="G117" s="186">
        <f>'[20]Уточнение для Пр.5-26'!G117+'[20]Пос с др.целями(Пр.2-26)'!G117</f>
        <v>0</v>
      </c>
      <c r="H117" s="186">
        <v>0</v>
      </c>
      <c r="I117" s="189">
        <v>0</v>
      </c>
      <c r="J117" s="189">
        <v>0</v>
      </c>
      <c r="K117" s="189">
        <v>0</v>
      </c>
      <c r="L117" s="192">
        <f t="shared" si="8"/>
        <v>0</v>
      </c>
      <c r="M117" s="192">
        <v>0</v>
      </c>
      <c r="N117" s="192">
        <v>0</v>
      </c>
      <c r="O117" s="201"/>
    </row>
    <row r="118" spans="1:15" x14ac:dyDescent="0.2">
      <c r="A118" s="128">
        <v>106</v>
      </c>
      <c r="B118" s="834" t="s">
        <v>250</v>
      </c>
      <c r="C118" s="31" t="s">
        <v>251</v>
      </c>
      <c r="D118" s="186">
        <f t="shared" si="6"/>
        <v>0</v>
      </c>
      <c r="E118" s="186">
        <f t="shared" si="9"/>
        <v>0</v>
      </c>
      <c r="F118" s="186">
        <f>'[20]Уточнение для Пр.5-26'!F118+'[20]Пос с др.целями(Пр.2-26)'!F118</f>
        <v>0</v>
      </c>
      <c r="G118" s="186">
        <f>'[20]Уточнение для Пр.5-26'!G118+'[20]Пос с др.целями(Пр.2-26)'!G118</f>
        <v>0</v>
      </c>
      <c r="H118" s="186">
        <v>0</v>
      </c>
      <c r="I118" s="189">
        <v>0</v>
      </c>
      <c r="J118" s="189">
        <v>0</v>
      </c>
      <c r="K118" s="189">
        <v>0</v>
      </c>
      <c r="L118" s="192">
        <f t="shared" si="8"/>
        <v>0</v>
      </c>
      <c r="M118" s="192">
        <v>0</v>
      </c>
      <c r="N118" s="192">
        <v>0</v>
      </c>
      <c r="O118" s="201"/>
    </row>
    <row r="119" spans="1:15" x14ac:dyDescent="0.2">
      <c r="A119" s="128">
        <v>107</v>
      </c>
      <c r="B119" s="71" t="s">
        <v>252</v>
      </c>
      <c r="C119" s="133" t="s">
        <v>253</v>
      </c>
      <c r="D119" s="186">
        <f t="shared" si="6"/>
        <v>0</v>
      </c>
      <c r="E119" s="186">
        <f t="shared" si="9"/>
        <v>0</v>
      </c>
      <c r="F119" s="186">
        <f>'[20]Уточнение для Пр.5-26'!F119+'[20]Пос с др.целями(Пр.2-26)'!F119</f>
        <v>0</v>
      </c>
      <c r="G119" s="186">
        <f>'[20]Уточнение для Пр.5-26'!G119+'[20]Пос с др.целями(Пр.2-26)'!G119</f>
        <v>0</v>
      </c>
      <c r="H119" s="186">
        <v>0</v>
      </c>
      <c r="I119" s="189">
        <v>0</v>
      </c>
      <c r="J119" s="189">
        <v>0</v>
      </c>
      <c r="K119" s="189">
        <v>0</v>
      </c>
      <c r="L119" s="192">
        <f t="shared" si="8"/>
        <v>0</v>
      </c>
      <c r="M119" s="192">
        <v>0</v>
      </c>
      <c r="N119" s="192">
        <v>0</v>
      </c>
      <c r="O119" s="201"/>
    </row>
    <row r="120" spans="1:15" x14ac:dyDescent="0.2">
      <c r="A120" s="128">
        <v>108</v>
      </c>
      <c r="B120" s="834" t="s">
        <v>254</v>
      </c>
      <c r="C120" s="31" t="s">
        <v>255</v>
      </c>
      <c r="D120" s="186">
        <f t="shared" si="6"/>
        <v>0</v>
      </c>
      <c r="E120" s="186">
        <f t="shared" si="9"/>
        <v>0</v>
      </c>
      <c r="F120" s="186">
        <f>'[20]Уточнение для Пр.5-26'!F120+'[20]Пос с др.целями(Пр.2-26)'!F120</f>
        <v>0</v>
      </c>
      <c r="G120" s="186">
        <f>'[20]Уточнение для Пр.5-26'!G120+'[20]Пос с др.целями(Пр.2-26)'!G120</f>
        <v>0</v>
      </c>
      <c r="H120" s="186">
        <v>0</v>
      </c>
      <c r="I120" s="189">
        <v>0</v>
      </c>
      <c r="J120" s="189">
        <v>0</v>
      </c>
      <c r="K120" s="189">
        <v>0</v>
      </c>
      <c r="L120" s="192">
        <f t="shared" si="8"/>
        <v>0</v>
      </c>
      <c r="M120" s="192">
        <v>0</v>
      </c>
      <c r="N120" s="192">
        <v>0</v>
      </c>
      <c r="O120" s="201"/>
    </row>
    <row r="121" spans="1:15" x14ac:dyDescent="0.2">
      <c r="A121" s="128">
        <v>109</v>
      </c>
      <c r="B121" s="72" t="s">
        <v>256</v>
      </c>
      <c r="C121" s="31" t="s">
        <v>257</v>
      </c>
      <c r="D121" s="186">
        <f t="shared" si="6"/>
        <v>0</v>
      </c>
      <c r="E121" s="186">
        <f t="shared" si="9"/>
        <v>0</v>
      </c>
      <c r="F121" s="186">
        <f>'[20]Уточнение для Пр.5-26'!F121+'[20]Пос с др.целями(Пр.2-26)'!F121</f>
        <v>0</v>
      </c>
      <c r="G121" s="186">
        <f>'[20]Уточнение для Пр.5-26'!G121+'[20]Пос с др.целями(Пр.2-26)'!G121</f>
        <v>0</v>
      </c>
      <c r="H121" s="186">
        <v>0</v>
      </c>
      <c r="I121" s="189">
        <v>0</v>
      </c>
      <c r="J121" s="189">
        <v>0</v>
      </c>
      <c r="K121" s="189">
        <v>0</v>
      </c>
      <c r="L121" s="192">
        <f t="shared" si="8"/>
        <v>0</v>
      </c>
      <c r="M121" s="192">
        <v>0</v>
      </c>
      <c r="N121" s="192">
        <v>0</v>
      </c>
      <c r="O121" s="201"/>
    </row>
    <row r="122" spans="1:15" x14ac:dyDescent="0.2">
      <c r="A122" s="128">
        <v>110</v>
      </c>
      <c r="B122" s="71" t="s">
        <v>258</v>
      </c>
      <c r="C122" s="31" t="s">
        <v>259</v>
      </c>
      <c r="D122" s="186">
        <f t="shared" si="6"/>
        <v>0</v>
      </c>
      <c r="E122" s="186">
        <f t="shared" si="9"/>
        <v>0</v>
      </c>
      <c r="F122" s="186">
        <f>'[20]Уточнение для Пр.5-26'!F122+'[20]Пос с др.целями(Пр.2-26)'!F122</f>
        <v>0</v>
      </c>
      <c r="G122" s="186">
        <f>'[20]Уточнение для Пр.5-26'!G122+'[20]Пос с др.целями(Пр.2-26)'!G122</f>
        <v>0</v>
      </c>
      <c r="H122" s="186">
        <v>0</v>
      </c>
      <c r="I122" s="189">
        <v>0</v>
      </c>
      <c r="J122" s="189">
        <v>0</v>
      </c>
      <c r="K122" s="189">
        <v>0</v>
      </c>
      <c r="L122" s="192">
        <f t="shared" si="8"/>
        <v>0</v>
      </c>
      <c r="M122" s="192">
        <v>0</v>
      </c>
      <c r="N122" s="192">
        <v>0</v>
      </c>
      <c r="O122" s="201"/>
    </row>
    <row r="123" spans="1:15" x14ac:dyDescent="0.2">
      <c r="A123" s="128">
        <v>111</v>
      </c>
      <c r="B123" s="262" t="s">
        <v>551</v>
      </c>
      <c r="C123" s="261" t="s">
        <v>552</v>
      </c>
      <c r="D123" s="186">
        <f t="shared" si="6"/>
        <v>0</v>
      </c>
      <c r="E123" s="186">
        <f t="shared" si="9"/>
        <v>0</v>
      </c>
      <c r="F123" s="186">
        <f>'[20]Уточнение для Пр.5-26'!F123+'[20]Пос с др.целями(Пр.2-26)'!F123</f>
        <v>0</v>
      </c>
      <c r="G123" s="186">
        <f>'[20]Уточнение для Пр.5-26'!G123+'[20]Пос с др.целями(Пр.2-26)'!G123</f>
        <v>0</v>
      </c>
      <c r="H123" s="186">
        <v>0</v>
      </c>
      <c r="I123" s="189">
        <v>0</v>
      </c>
      <c r="J123" s="189">
        <v>0</v>
      </c>
      <c r="K123" s="189">
        <v>0</v>
      </c>
      <c r="L123" s="192">
        <f t="shared" si="8"/>
        <v>0</v>
      </c>
      <c r="M123" s="192">
        <v>0</v>
      </c>
      <c r="N123" s="192">
        <v>0</v>
      </c>
      <c r="O123" s="201"/>
    </row>
    <row r="124" spans="1:15" x14ac:dyDescent="0.2">
      <c r="A124" s="128">
        <v>112</v>
      </c>
      <c r="B124" s="72" t="s">
        <v>260</v>
      </c>
      <c r="C124" s="31" t="s">
        <v>261</v>
      </c>
      <c r="D124" s="186">
        <f t="shared" si="6"/>
        <v>0</v>
      </c>
      <c r="E124" s="186">
        <f t="shared" si="9"/>
        <v>0</v>
      </c>
      <c r="F124" s="186">
        <f>'[20]Уточнение для Пр.5-26'!F124+'[20]Пос с др.целями(Пр.2-26)'!F124</f>
        <v>0</v>
      </c>
      <c r="G124" s="186">
        <f>'[20]Уточнение для Пр.5-26'!G124+'[20]Пос с др.целями(Пр.2-26)'!G124</f>
        <v>0</v>
      </c>
      <c r="H124" s="186">
        <v>0</v>
      </c>
      <c r="I124" s="189">
        <v>0</v>
      </c>
      <c r="J124" s="189">
        <v>0</v>
      </c>
      <c r="K124" s="189">
        <v>0</v>
      </c>
      <c r="L124" s="192">
        <f t="shared" si="8"/>
        <v>0</v>
      </c>
      <c r="M124" s="192">
        <v>0</v>
      </c>
      <c r="N124" s="192">
        <v>0</v>
      </c>
      <c r="O124" s="201"/>
    </row>
    <row r="125" spans="1:15" x14ac:dyDescent="0.2">
      <c r="A125" s="128">
        <v>113</v>
      </c>
      <c r="B125" s="834" t="s">
        <v>262</v>
      </c>
      <c r="C125" s="31" t="s">
        <v>263</v>
      </c>
      <c r="D125" s="186">
        <f t="shared" si="6"/>
        <v>0</v>
      </c>
      <c r="E125" s="186">
        <f t="shared" si="9"/>
        <v>0</v>
      </c>
      <c r="F125" s="186">
        <f>'[20]Уточнение для Пр.5-26'!F125+'[20]Пос с др.целями(Пр.2-26)'!F125</f>
        <v>0</v>
      </c>
      <c r="G125" s="186">
        <f>'[20]Уточнение для Пр.5-26'!G125+'[20]Пос с др.целями(Пр.2-26)'!G125</f>
        <v>0</v>
      </c>
      <c r="H125" s="186">
        <f t="shared" si="7"/>
        <v>0</v>
      </c>
      <c r="I125" s="189">
        <v>0</v>
      </c>
      <c r="J125" s="189">
        <v>0</v>
      </c>
      <c r="K125" s="189">
        <v>0</v>
      </c>
      <c r="L125" s="192">
        <f t="shared" si="8"/>
        <v>0</v>
      </c>
      <c r="M125" s="192">
        <v>0</v>
      </c>
      <c r="N125" s="192">
        <v>0</v>
      </c>
      <c r="O125" s="201"/>
    </row>
    <row r="126" spans="1:15" x14ac:dyDescent="0.2">
      <c r="A126" s="128">
        <v>114</v>
      </c>
      <c r="B126" s="834" t="s">
        <v>264</v>
      </c>
      <c r="C126" s="134" t="s">
        <v>265</v>
      </c>
      <c r="D126" s="186">
        <f t="shared" si="6"/>
        <v>0</v>
      </c>
      <c r="E126" s="186">
        <f t="shared" si="9"/>
        <v>0</v>
      </c>
      <c r="F126" s="186">
        <f>'[20]Уточнение для Пр.5-26'!F126+'[20]Пос с др.целями(Пр.2-26)'!F126</f>
        <v>0</v>
      </c>
      <c r="G126" s="186">
        <f>'[20]Уточнение для Пр.5-26'!G126+'[20]Пос с др.целями(Пр.2-26)'!G126</f>
        <v>0</v>
      </c>
      <c r="H126" s="186">
        <f t="shared" si="7"/>
        <v>0</v>
      </c>
      <c r="I126" s="189">
        <v>0</v>
      </c>
      <c r="J126" s="189">
        <v>0</v>
      </c>
      <c r="K126" s="189">
        <v>0</v>
      </c>
      <c r="L126" s="192">
        <f t="shared" si="8"/>
        <v>0</v>
      </c>
      <c r="M126" s="192">
        <v>0</v>
      </c>
      <c r="N126" s="192">
        <v>0</v>
      </c>
      <c r="O126" s="201"/>
    </row>
    <row r="127" spans="1:15" x14ac:dyDescent="0.2">
      <c r="A127" s="128">
        <v>115</v>
      </c>
      <c r="B127" s="834" t="s">
        <v>266</v>
      </c>
      <c r="C127" s="31" t="s">
        <v>267</v>
      </c>
      <c r="D127" s="186">
        <f t="shared" si="6"/>
        <v>0</v>
      </c>
      <c r="E127" s="186">
        <f t="shared" si="9"/>
        <v>0</v>
      </c>
      <c r="F127" s="186">
        <f>'[20]Уточнение для Пр.5-26'!F127+'[20]Пос с др.целями(Пр.2-26)'!F127</f>
        <v>0</v>
      </c>
      <c r="G127" s="186">
        <f>'[20]Уточнение для Пр.5-26'!G127+'[20]Пос с др.целями(Пр.2-26)'!G127</f>
        <v>0</v>
      </c>
      <c r="H127" s="186">
        <f t="shared" si="7"/>
        <v>0</v>
      </c>
      <c r="I127" s="189">
        <v>0</v>
      </c>
      <c r="J127" s="189">
        <v>0</v>
      </c>
      <c r="K127" s="189">
        <v>0</v>
      </c>
      <c r="L127" s="192">
        <f t="shared" si="8"/>
        <v>0</v>
      </c>
      <c r="M127" s="192">
        <v>0</v>
      </c>
      <c r="N127" s="192">
        <v>0</v>
      </c>
      <c r="O127" s="201"/>
    </row>
    <row r="128" spans="1:15" x14ac:dyDescent="0.2">
      <c r="A128" s="128">
        <v>116</v>
      </c>
      <c r="B128" s="834" t="s">
        <v>268</v>
      </c>
      <c r="C128" s="31" t="s">
        <v>269</v>
      </c>
      <c r="D128" s="186">
        <f t="shared" si="6"/>
        <v>0</v>
      </c>
      <c r="E128" s="186">
        <f t="shared" si="9"/>
        <v>0</v>
      </c>
      <c r="F128" s="186">
        <f>'[20]Уточнение для Пр.5-26'!F128+'[20]Пос с др.целями(Пр.2-26)'!F128</f>
        <v>0</v>
      </c>
      <c r="G128" s="186">
        <f>'[20]Уточнение для Пр.5-26'!G128+'[20]Пос с др.целями(Пр.2-26)'!G128</f>
        <v>0</v>
      </c>
      <c r="H128" s="186">
        <f t="shared" si="7"/>
        <v>0</v>
      </c>
      <c r="I128" s="189">
        <v>0</v>
      </c>
      <c r="J128" s="189">
        <v>0</v>
      </c>
      <c r="K128" s="189">
        <v>0</v>
      </c>
      <c r="L128" s="192">
        <f t="shared" si="8"/>
        <v>0</v>
      </c>
      <c r="M128" s="192">
        <v>0</v>
      </c>
      <c r="N128" s="192">
        <v>0</v>
      </c>
      <c r="O128" s="201"/>
    </row>
    <row r="129" spans="1:15" x14ac:dyDescent="0.2">
      <c r="A129" s="128">
        <v>117</v>
      </c>
      <c r="B129" s="834" t="s">
        <v>270</v>
      </c>
      <c r="C129" s="31" t="s">
        <v>271</v>
      </c>
      <c r="D129" s="186">
        <f t="shared" si="6"/>
        <v>0</v>
      </c>
      <c r="E129" s="186">
        <f t="shared" si="9"/>
        <v>0</v>
      </c>
      <c r="F129" s="186">
        <f>'[20]Уточнение для Пр.5-26'!F129+'[20]Пос с др.целями(Пр.2-26)'!F129</f>
        <v>0</v>
      </c>
      <c r="G129" s="186">
        <f>'[20]Уточнение для Пр.5-26'!G129+'[20]Пос с др.целями(Пр.2-26)'!G129</f>
        <v>0</v>
      </c>
      <c r="H129" s="186">
        <f t="shared" si="7"/>
        <v>0</v>
      </c>
      <c r="I129" s="189">
        <v>0</v>
      </c>
      <c r="J129" s="189">
        <v>0</v>
      </c>
      <c r="K129" s="189">
        <v>0</v>
      </c>
      <c r="L129" s="192">
        <f t="shared" si="8"/>
        <v>0</v>
      </c>
      <c r="M129" s="192">
        <v>0</v>
      </c>
      <c r="N129" s="192">
        <v>0</v>
      </c>
      <c r="O129" s="201"/>
    </row>
    <row r="130" spans="1:15" x14ac:dyDescent="0.2">
      <c r="A130" s="128">
        <v>118</v>
      </c>
      <c r="B130" s="71" t="s">
        <v>272</v>
      </c>
      <c r="C130" s="31" t="s">
        <v>273</v>
      </c>
      <c r="D130" s="186">
        <f t="shared" si="6"/>
        <v>0</v>
      </c>
      <c r="E130" s="186">
        <f t="shared" si="9"/>
        <v>0</v>
      </c>
      <c r="F130" s="186">
        <f>'[20]Уточнение для Пр.5-26'!F130+'[20]Пос с др.целями(Пр.2-26)'!F130</f>
        <v>0</v>
      </c>
      <c r="G130" s="186">
        <f>'[20]Уточнение для Пр.5-26'!G130+'[20]Пос с др.целями(Пр.2-26)'!G130</f>
        <v>0</v>
      </c>
      <c r="H130" s="186">
        <f t="shared" si="7"/>
        <v>0</v>
      </c>
      <c r="I130" s="189">
        <v>0</v>
      </c>
      <c r="J130" s="189">
        <v>0</v>
      </c>
      <c r="K130" s="189">
        <v>0</v>
      </c>
      <c r="L130" s="192">
        <f t="shared" si="8"/>
        <v>0</v>
      </c>
      <c r="M130" s="192">
        <v>0</v>
      </c>
      <c r="N130" s="192">
        <v>0</v>
      </c>
      <c r="O130" s="201"/>
    </row>
    <row r="131" spans="1:15" x14ac:dyDescent="0.2">
      <c r="A131" s="128">
        <v>119</v>
      </c>
      <c r="B131" s="71" t="s">
        <v>274</v>
      </c>
      <c r="C131" s="31" t="s">
        <v>275</v>
      </c>
      <c r="D131" s="186">
        <f t="shared" si="6"/>
        <v>11800</v>
      </c>
      <c r="E131" s="186">
        <f t="shared" si="9"/>
        <v>11800</v>
      </c>
      <c r="F131" s="186">
        <f>'[20]Уточнение для Пр.5-26'!F131+'[20]Пос с др.целями(Пр.2-26)'!F131</f>
        <v>0</v>
      </c>
      <c r="G131" s="186">
        <f>'[20]Уточнение для Пр.5-26'!G131+'[20]Пос с др.целями(Пр.2-26)'!G131</f>
        <v>11800</v>
      </c>
      <c r="H131" s="186">
        <f t="shared" si="7"/>
        <v>0</v>
      </c>
      <c r="I131" s="189">
        <v>0</v>
      </c>
      <c r="J131" s="189">
        <v>0</v>
      </c>
      <c r="K131" s="189">
        <v>0</v>
      </c>
      <c r="L131" s="192">
        <f t="shared" si="8"/>
        <v>0</v>
      </c>
      <c r="M131" s="192">
        <v>0</v>
      </c>
      <c r="N131" s="192">
        <v>0</v>
      </c>
      <c r="O131" s="201"/>
    </row>
    <row r="132" spans="1:15" x14ac:dyDescent="0.2">
      <c r="A132" s="128">
        <v>120</v>
      </c>
      <c r="B132" s="71" t="s">
        <v>276</v>
      </c>
      <c r="C132" s="31" t="s">
        <v>277</v>
      </c>
      <c r="D132" s="186">
        <f t="shared" si="6"/>
        <v>23130</v>
      </c>
      <c r="E132" s="186">
        <f t="shared" si="9"/>
        <v>23130</v>
      </c>
      <c r="F132" s="186">
        <f>'[20]Уточнение для Пр.5-26'!F132+'[20]Пос с др.целями(Пр.2-26)'!F132</f>
        <v>0</v>
      </c>
      <c r="G132" s="186">
        <f>'[20]Уточнение для Пр.5-26'!G132+'[20]Пос с др.целями(Пр.2-26)'!G132</f>
        <v>23130</v>
      </c>
      <c r="H132" s="186">
        <f t="shared" si="7"/>
        <v>0</v>
      </c>
      <c r="I132" s="189">
        <v>0</v>
      </c>
      <c r="J132" s="189">
        <v>0</v>
      </c>
      <c r="K132" s="189">
        <v>0</v>
      </c>
      <c r="L132" s="192">
        <f t="shared" si="8"/>
        <v>0</v>
      </c>
      <c r="M132" s="192">
        <v>0</v>
      </c>
      <c r="N132" s="192">
        <v>0</v>
      </c>
      <c r="O132" s="201"/>
    </row>
    <row r="133" spans="1:15" x14ac:dyDescent="0.2">
      <c r="A133" s="128">
        <v>121</v>
      </c>
      <c r="B133" s="834" t="s">
        <v>278</v>
      </c>
      <c r="C133" s="31" t="s">
        <v>279</v>
      </c>
      <c r="D133" s="186">
        <f t="shared" si="6"/>
        <v>0</v>
      </c>
      <c r="E133" s="186">
        <f t="shared" si="9"/>
        <v>0</v>
      </c>
      <c r="F133" s="186">
        <f>'[20]Уточнение для Пр.5-26'!F133+'[20]Пос с др.целями(Пр.2-26)'!F133</f>
        <v>0</v>
      </c>
      <c r="G133" s="186">
        <f>'[20]Уточнение для Пр.5-26'!G133+'[20]Пос с др.целями(Пр.2-26)'!G133</f>
        <v>0</v>
      </c>
      <c r="H133" s="186">
        <f t="shared" si="7"/>
        <v>0</v>
      </c>
      <c r="I133" s="189">
        <v>0</v>
      </c>
      <c r="J133" s="189">
        <v>0</v>
      </c>
      <c r="K133" s="189">
        <v>0</v>
      </c>
      <c r="L133" s="192">
        <f t="shared" si="8"/>
        <v>0</v>
      </c>
      <c r="M133" s="192">
        <v>0</v>
      </c>
      <c r="N133" s="192">
        <v>0</v>
      </c>
      <c r="O133" s="201"/>
    </row>
    <row r="134" spans="1:15" x14ac:dyDescent="0.2">
      <c r="A134" s="128">
        <v>122</v>
      </c>
      <c r="B134" s="834" t="s">
        <v>280</v>
      </c>
      <c r="C134" s="31" t="s">
        <v>501</v>
      </c>
      <c r="D134" s="186">
        <f t="shared" si="6"/>
        <v>0</v>
      </c>
      <c r="E134" s="186">
        <f t="shared" si="9"/>
        <v>0</v>
      </c>
      <c r="F134" s="186">
        <f>'[20]Уточнение для Пр.5-26'!F134+'[20]Пос с др.целями(Пр.2-26)'!F134</f>
        <v>0</v>
      </c>
      <c r="G134" s="186">
        <f>'[20]Уточнение для Пр.5-26'!G134+'[20]Пос с др.целями(Пр.2-26)'!G134</f>
        <v>0</v>
      </c>
      <c r="H134" s="186">
        <f t="shared" si="7"/>
        <v>0</v>
      </c>
      <c r="I134" s="189">
        <v>0</v>
      </c>
      <c r="J134" s="189">
        <v>0</v>
      </c>
      <c r="K134" s="189">
        <v>0</v>
      </c>
      <c r="L134" s="192">
        <f t="shared" si="8"/>
        <v>0</v>
      </c>
      <c r="M134" s="192">
        <v>0</v>
      </c>
      <c r="N134" s="192">
        <v>0</v>
      </c>
      <c r="O134" s="201"/>
    </row>
    <row r="135" spans="1:15" x14ac:dyDescent="0.2">
      <c r="A135" s="128">
        <v>123</v>
      </c>
      <c r="B135" s="834" t="s">
        <v>282</v>
      </c>
      <c r="C135" s="31" t="s">
        <v>783</v>
      </c>
      <c r="D135" s="186">
        <f t="shared" si="6"/>
        <v>0</v>
      </c>
      <c r="E135" s="186">
        <f t="shared" si="9"/>
        <v>0</v>
      </c>
      <c r="F135" s="186">
        <f>'[20]Уточнение для Пр.5-26'!F135+'[20]Пос с др.целями(Пр.2-26)'!F135</f>
        <v>0</v>
      </c>
      <c r="G135" s="186">
        <f>'[20]Уточнение для Пр.5-26'!G135+'[20]Пос с др.целями(Пр.2-26)'!G135</f>
        <v>0</v>
      </c>
      <c r="H135" s="186">
        <f t="shared" si="7"/>
        <v>0</v>
      </c>
      <c r="I135" s="189">
        <v>0</v>
      </c>
      <c r="J135" s="189">
        <v>0</v>
      </c>
      <c r="K135" s="189">
        <v>0</v>
      </c>
      <c r="L135" s="192">
        <f t="shared" si="8"/>
        <v>0</v>
      </c>
      <c r="M135" s="192">
        <v>0</v>
      </c>
      <c r="N135" s="192">
        <v>0</v>
      </c>
      <c r="O135" s="201"/>
    </row>
    <row r="136" spans="1:15" x14ac:dyDescent="0.2">
      <c r="A136" s="128">
        <v>124</v>
      </c>
      <c r="B136" s="71" t="s">
        <v>283</v>
      </c>
      <c r="C136" s="31" t="s">
        <v>284</v>
      </c>
      <c r="D136" s="186">
        <f t="shared" si="6"/>
        <v>6889</v>
      </c>
      <c r="E136" s="186">
        <f t="shared" si="9"/>
        <v>0</v>
      </c>
      <c r="F136" s="186">
        <f>'[20]Уточнение для Пр.5-26'!F136+'[20]Пос с др.целями(Пр.2-26)'!F136</f>
        <v>0</v>
      </c>
      <c r="G136" s="186">
        <f>'[20]Уточнение для Пр.5-26'!G136+'[20]Пос с др.целями(Пр.2-26)'!G136</f>
        <v>0</v>
      </c>
      <c r="H136" s="186">
        <f t="shared" si="7"/>
        <v>6889</v>
      </c>
      <c r="I136" s="189">
        <v>1320</v>
      </c>
      <c r="J136" s="189">
        <v>0</v>
      </c>
      <c r="K136" s="189">
        <v>5569</v>
      </c>
      <c r="L136" s="192">
        <f t="shared" si="8"/>
        <v>0</v>
      </c>
      <c r="M136" s="192">
        <v>0</v>
      </c>
      <c r="N136" s="192">
        <v>0</v>
      </c>
      <c r="O136" s="201"/>
    </row>
    <row r="137" spans="1:15" x14ac:dyDescent="0.2">
      <c r="A137" s="128">
        <v>125</v>
      </c>
      <c r="B137" s="72" t="s">
        <v>285</v>
      </c>
      <c r="C137" s="50" t="s">
        <v>737</v>
      </c>
      <c r="D137" s="186">
        <f t="shared" si="6"/>
        <v>46209</v>
      </c>
      <c r="E137" s="186">
        <f t="shared" si="9"/>
        <v>0</v>
      </c>
      <c r="F137" s="186">
        <f>'[20]Уточнение для Пр.5-26'!F137+'[20]Пос с др.целями(Пр.2-26)'!F137</f>
        <v>0</v>
      </c>
      <c r="G137" s="186">
        <f>'[20]Уточнение для Пр.5-26'!G137+'[20]Пос с др.целями(Пр.2-26)'!G137</f>
        <v>0</v>
      </c>
      <c r="H137" s="186">
        <f t="shared" si="7"/>
        <v>46209</v>
      </c>
      <c r="I137" s="189">
        <v>2325</v>
      </c>
      <c r="J137" s="189">
        <v>755</v>
      </c>
      <c r="K137" s="189">
        <v>43129</v>
      </c>
      <c r="L137" s="192">
        <f t="shared" si="8"/>
        <v>0</v>
      </c>
      <c r="M137" s="192">
        <v>0</v>
      </c>
      <c r="N137" s="192">
        <v>0</v>
      </c>
      <c r="O137" s="201"/>
    </row>
    <row r="138" spans="1:15" x14ac:dyDescent="0.2">
      <c r="A138" s="128">
        <v>126</v>
      </c>
      <c r="B138" s="834" t="s">
        <v>286</v>
      </c>
      <c r="C138" s="31" t="s">
        <v>287</v>
      </c>
      <c r="D138" s="186">
        <f t="shared" si="6"/>
        <v>0</v>
      </c>
      <c r="E138" s="186">
        <f t="shared" si="9"/>
        <v>0</v>
      </c>
      <c r="F138" s="186">
        <f>'[20]Уточнение для Пр.5-26'!F138+'[20]Пос с др.целями(Пр.2-26)'!F138</f>
        <v>0</v>
      </c>
      <c r="G138" s="186">
        <f>'[20]Уточнение для Пр.5-26'!G138+'[20]Пос с др.целями(Пр.2-26)'!G138</f>
        <v>0</v>
      </c>
      <c r="H138" s="186">
        <f t="shared" si="7"/>
        <v>0</v>
      </c>
      <c r="I138" s="189">
        <v>0</v>
      </c>
      <c r="J138" s="189">
        <v>0</v>
      </c>
      <c r="K138" s="189">
        <v>0</v>
      </c>
      <c r="L138" s="192">
        <f t="shared" si="8"/>
        <v>0</v>
      </c>
      <c r="M138" s="192">
        <v>0</v>
      </c>
      <c r="N138" s="192">
        <v>0</v>
      </c>
      <c r="O138" s="201"/>
    </row>
    <row r="139" spans="1:15" x14ac:dyDescent="0.2">
      <c r="A139" s="128">
        <v>127</v>
      </c>
      <c r="B139" s="71" t="s">
        <v>288</v>
      </c>
      <c r="C139" s="31" t="s">
        <v>289</v>
      </c>
      <c r="D139" s="186">
        <f t="shared" ref="D139:D147" si="10">E139+H139+L139</f>
        <v>0</v>
      </c>
      <c r="E139" s="186">
        <f t="shared" si="9"/>
        <v>0</v>
      </c>
      <c r="F139" s="186">
        <f>'[20]Уточнение для Пр.5-26'!F139+'[20]Пос с др.целями(Пр.2-26)'!F139</f>
        <v>0</v>
      </c>
      <c r="G139" s="186">
        <f>'[20]Уточнение для Пр.5-26'!G139+'[20]Пос с др.целями(Пр.2-26)'!G139</f>
        <v>0</v>
      </c>
      <c r="H139" s="186">
        <f t="shared" ref="H139" si="11">I139+J139+K139</f>
        <v>0</v>
      </c>
      <c r="I139" s="189">
        <v>0</v>
      </c>
      <c r="J139" s="189">
        <v>0</v>
      </c>
      <c r="K139" s="189">
        <v>0</v>
      </c>
      <c r="L139" s="192">
        <f t="shared" ref="L139:L147" si="12">M139+N139</f>
        <v>0</v>
      </c>
      <c r="M139" s="192">
        <v>0</v>
      </c>
      <c r="N139" s="192">
        <v>0</v>
      </c>
      <c r="O139" s="201"/>
    </row>
    <row r="140" spans="1:15" ht="12.75" x14ac:dyDescent="0.2">
      <c r="A140" s="128">
        <v>128</v>
      </c>
      <c r="B140" s="841" t="s">
        <v>290</v>
      </c>
      <c r="C140" s="135" t="s">
        <v>291</v>
      </c>
      <c r="D140" s="186">
        <f t="shared" si="10"/>
        <v>0</v>
      </c>
      <c r="E140" s="186">
        <f t="shared" si="9"/>
        <v>0</v>
      </c>
      <c r="F140" s="186">
        <f>'[20]Уточнение для Пр.5-26'!F140+'[20]Пос с др.целями(Пр.2-26)'!F140</f>
        <v>0</v>
      </c>
      <c r="G140" s="186">
        <f>'[20]Уточнение для Пр.5-26'!G140+'[20]Пос с др.целями(Пр.2-26)'!G140</f>
        <v>0</v>
      </c>
      <c r="H140" s="186">
        <v>0</v>
      </c>
      <c r="I140" s="189">
        <v>0</v>
      </c>
      <c r="J140" s="189">
        <v>0</v>
      </c>
      <c r="K140" s="189">
        <v>0</v>
      </c>
      <c r="L140" s="192">
        <f t="shared" si="12"/>
        <v>0</v>
      </c>
      <c r="M140" s="192">
        <v>0</v>
      </c>
      <c r="N140" s="192">
        <v>0</v>
      </c>
      <c r="O140" s="201"/>
    </row>
    <row r="141" spans="1:15" ht="12.75" x14ac:dyDescent="0.2">
      <c r="A141" s="128">
        <v>129</v>
      </c>
      <c r="B141" s="136" t="s">
        <v>292</v>
      </c>
      <c r="C141" s="137" t="s">
        <v>293</v>
      </c>
      <c r="D141" s="186">
        <f t="shared" si="10"/>
        <v>0</v>
      </c>
      <c r="E141" s="186">
        <f t="shared" ref="E141:E145" si="13">F141+G141</f>
        <v>0</v>
      </c>
      <c r="F141" s="186">
        <f>'[20]Уточнение для Пр.5-26'!F141+'[20]Пос с др.целями(Пр.2-26)'!F141</f>
        <v>0</v>
      </c>
      <c r="G141" s="186">
        <f>'[20]Уточнение для Пр.5-26'!G141+'[20]Пос с др.целями(Пр.2-26)'!G141</f>
        <v>0</v>
      </c>
      <c r="H141" s="186">
        <v>0</v>
      </c>
      <c r="I141" s="189">
        <v>0</v>
      </c>
      <c r="J141" s="189">
        <v>0</v>
      </c>
      <c r="K141" s="189">
        <v>0</v>
      </c>
      <c r="L141" s="192">
        <f t="shared" si="12"/>
        <v>0</v>
      </c>
      <c r="M141" s="192">
        <v>0</v>
      </c>
      <c r="N141" s="192">
        <v>0</v>
      </c>
      <c r="O141" s="201"/>
    </row>
    <row r="142" spans="1:15" ht="12.75" x14ac:dyDescent="0.2">
      <c r="A142" s="128">
        <v>130</v>
      </c>
      <c r="B142" s="138" t="s">
        <v>294</v>
      </c>
      <c r="C142" s="139" t="s">
        <v>295</v>
      </c>
      <c r="D142" s="186">
        <f t="shared" si="10"/>
        <v>0</v>
      </c>
      <c r="E142" s="186">
        <f t="shared" si="13"/>
        <v>0</v>
      </c>
      <c r="F142" s="186">
        <f>'[20]Уточнение для Пр.5-26'!F142+'[20]Пос с др.целями(Пр.2-26)'!F142</f>
        <v>0</v>
      </c>
      <c r="G142" s="186">
        <f>'[20]Уточнение для Пр.5-26'!G142+'[20]Пос с др.целями(Пр.2-26)'!G142</f>
        <v>0</v>
      </c>
      <c r="H142" s="186">
        <v>0</v>
      </c>
      <c r="I142" s="189">
        <v>0</v>
      </c>
      <c r="J142" s="189">
        <v>0</v>
      </c>
      <c r="K142" s="189">
        <v>0</v>
      </c>
      <c r="L142" s="192">
        <f t="shared" si="12"/>
        <v>0</v>
      </c>
      <c r="M142" s="192">
        <v>0</v>
      </c>
      <c r="N142" s="192">
        <v>0</v>
      </c>
      <c r="O142" s="201"/>
    </row>
    <row r="143" spans="1:15" ht="12.75" x14ac:dyDescent="0.2">
      <c r="A143" s="128">
        <v>131</v>
      </c>
      <c r="B143" s="140" t="s">
        <v>296</v>
      </c>
      <c r="C143" s="194" t="s">
        <v>462</v>
      </c>
      <c r="D143" s="186">
        <f t="shared" si="10"/>
        <v>0</v>
      </c>
      <c r="E143" s="186">
        <f t="shared" si="13"/>
        <v>0</v>
      </c>
      <c r="F143" s="186">
        <f>'[20]Уточнение для Пр.5-26'!F143+'[20]Пос с др.целями(Пр.2-26)'!F143</f>
        <v>0</v>
      </c>
      <c r="G143" s="186">
        <f>'[20]Уточнение для Пр.5-26'!G143+'[20]Пос с др.целями(Пр.2-26)'!G143</f>
        <v>0</v>
      </c>
      <c r="H143" s="186">
        <v>0</v>
      </c>
      <c r="I143" s="189">
        <v>0</v>
      </c>
      <c r="J143" s="189">
        <v>0</v>
      </c>
      <c r="K143" s="189">
        <v>0</v>
      </c>
      <c r="L143" s="192">
        <f t="shared" si="12"/>
        <v>0</v>
      </c>
      <c r="M143" s="192">
        <v>0</v>
      </c>
      <c r="N143" s="192">
        <v>0</v>
      </c>
      <c r="O143" s="201"/>
    </row>
    <row r="144" spans="1:15" x14ac:dyDescent="0.2">
      <c r="A144" s="128">
        <v>132</v>
      </c>
      <c r="B144" s="128" t="s">
        <v>298</v>
      </c>
      <c r="C144" s="142" t="s">
        <v>299</v>
      </c>
      <c r="D144" s="186">
        <f t="shared" si="10"/>
        <v>0</v>
      </c>
      <c r="E144" s="186">
        <f t="shared" si="13"/>
        <v>0</v>
      </c>
      <c r="F144" s="186">
        <f>'[20]Уточнение для Пр.5-26'!F144+'[20]Пос с др.целями(Пр.2-26)'!F144</f>
        <v>0</v>
      </c>
      <c r="G144" s="186">
        <f>'[20]Уточнение для Пр.5-26'!G144+'[20]Пос с др.целями(Пр.2-26)'!G144</f>
        <v>0</v>
      </c>
      <c r="H144" s="186">
        <v>0</v>
      </c>
      <c r="I144" s="189">
        <v>0</v>
      </c>
      <c r="J144" s="189">
        <v>0</v>
      </c>
      <c r="K144" s="189">
        <v>0</v>
      </c>
      <c r="L144" s="192">
        <f t="shared" si="12"/>
        <v>0</v>
      </c>
      <c r="M144" s="192">
        <v>0</v>
      </c>
      <c r="N144" s="192">
        <v>0</v>
      </c>
      <c r="O144" s="201"/>
    </row>
    <row r="145" spans="1:15" x14ac:dyDescent="0.2">
      <c r="A145" s="128">
        <v>133</v>
      </c>
      <c r="B145" s="143" t="s">
        <v>300</v>
      </c>
      <c r="C145" s="142" t="s">
        <v>301</v>
      </c>
      <c r="D145" s="186">
        <f t="shared" si="10"/>
        <v>0</v>
      </c>
      <c r="E145" s="193">
        <f t="shared" si="13"/>
        <v>0</v>
      </c>
      <c r="F145" s="193">
        <f>'[20]Уточнение для Пр.5-26'!F145+'[20]Пос с др.целями(Пр.2-26)'!F145</f>
        <v>0</v>
      </c>
      <c r="G145" s="193">
        <f>'[20]Уточнение для Пр.5-26'!G145+'[20]Пос с др.целями(Пр.2-26)'!G145</f>
        <v>0</v>
      </c>
      <c r="H145" s="186">
        <v>0</v>
      </c>
      <c r="I145" s="189">
        <v>0</v>
      </c>
      <c r="J145" s="193">
        <v>0</v>
      </c>
      <c r="K145" s="193">
        <v>0</v>
      </c>
      <c r="L145" s="192">
        <f t="shared" si="12"/>
        <v>0</v>
      </c>
      <c r="M145" s="192">
        <v>0</v>
      </c>
      <c r="N145" s="192">
        <v>0</v>
      </c>
      <c r="O145" s="201"/>
    </row>
    <row r="146" spans="1:15" x14ac:dyDescent="0.2">
      <c r="A146" s="128">
        <v>134</v>
      </c>
      <c r="B146" s="196" t="s">
        <v>302</v>
      </c>
      <c r="C146" s="197" t="s">
        <v>303</v>
      </c>
      <c r="D146" s="186">
        <f t="shared" si="10"/>
        <v>0</v>
      </c>
      <c r="E146" s="193">
        <v>0</v>
      </c>
      <c r="F146" s="193">
        <f>'[20]Уточнение для Пр.5-26'!F146+'[20]Пос с др.целями(Пр.2-26)'!F146</f>
        <v>0</v>
      </c>
      <c r="G146" s="193">
        <f>'[20]Уточнение для Пр.5-26'!G146+'[20]Пос с др.целями(Пр.2-26)'!G146</f>
        <v>0</v>
      </c>
      <c r="H146" s="193">
        <v>0</v>
      </c>
      <c r="I146" s="189">
        <v>0</v>
      </c>
      <c r="J146" s="193">
        <v>0</v>
      </c>
      <c r="K146" s="193">
        <v>0</v>
      </c>
      <c r="L146" s="192">
        <f t="shared" si="12"/>
        <v>0</v>
      </c>
      <c r="M146" s="192">
        <v>0</v>
      </c>
      <c r="N146" s="192">
        <v>0</v>
      </c>
      <c r="O146" s="201"/>
    </row>
    <row r="147" spans="1:15" x14ac:dyDescent="0.2">
      <c r="A147" s="128">
        <v>135</v>
      </c>
      <c r="B147" s="143" t="s">
        <v>304</v>
      </c>
      <c r="C147" s="142" t="s">
        <v>305</v>
      </c>
      <c r="D147" s="186">
        <f t="shared" si="10"/>
        <v>0</v>
      </c>
      <c r="E147" s="193">
        <v>0</v>
      </c>
      <c r="F147" s="193">
        <f>'[20]Уточнение для Пр.5-26'!F147+'[20]Пос с др.целями(Пр.2-26)'!F147</f>
        <v>0</v>
      </c>
      <c r="G147" s="193">
        <f>'[20]Уточнение для Пр.5-26'!G147+'[20]Пос с др.целями(Пр.2-26)'!G147</f>
        <v>0</v>
      </c>
      <c r="H147" s="193">
        <v>0</v>
      </c>
      <c r="I147" s="189">
        <v>0</v>
      </c>
      <c r="J147" s="193">
        <v>0</v>
      </c>
      <c r="K147" s="193">
        <v>0</v>
      </c>
      <c r="L147" s="192">
        <f t="shared" si="12"/>
        <v>0</v>
      </c>
      <c r="M147" s="192">
        <v>0</v>
      </c>
      <c r="N147" s="192">
        <v>0</v>
      </c>
      <c r="O147" s="201"/>
    </row>
    <row r="148" spans="1:15" x14ac:dyDescent="0.2">
      <c r="A148" s="202"/>
      <c r="B148" s="203"/>
      <c r="C148" s="204"/>
      <c r="D148" s="205"/>
      <c r="E148" s="206"/>
      <c r="F148" s="206"/>
      <c r="G148" s="206"/>
      <c r="H148" s="206"/>
      <c r="I148" s="206"/>
      <c r="J148" s="206"/>
      <c r="K148" s="206"/>
      <c r="L148" s="207"/>
      <c r="M148" s="207"/>
      <c r="N148" s="207"/>
      <c r="O148" s="198"/>
    </row>
    <row r="149" spans="1:15" ht="12.75" customHeight="1" x14ac:dyDescent="0.2">
      <c r="A149" s="208"/>
      <c r="B149" s="208"/>
      <c r="C149" s="208"/>
      <c r="D149" s="208"/>
      <c r="E149" s="208"/>
      <c r="F149" s="208"/>
      <c r="G149" s="208"/>
      <c r="H149" s="208"/>
      <c r="I149" s="209"/>
    </row>
    <row r="150" spans="1:15" x14ac:dyDescent="0.2"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</row>
    <row r="154" spans="1:15" x14ac:dyDescent="0.2">
      <c r="J154" s="198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workbookViewId="0">
      <pane xSplit="3" ySplit="9" topLeftCell="D135" activePane="bottomRight" state="frozen"/>
      <selection pane="topRight" activeCell="E1" sqref="E1"/>
      <selection pane="bottomLeft" activeCell="A10" sqref="A10"/>
      <selection pane="bottomRight" activeCell="K142" sqref="K142"/>
    </sheetView>
  </sheetViews>
  <sheetFormatPr defaultRowHeight="15" x14ac:dyDescent="0.25"/>
  <cols>
    <col min="1" max="1" width="4.85546875" style="211" customWidth="1"/>
    <col min="2" max="2" width="8.7109375" style="211" customWidth="1"/>
    <col min="3" max="3" width="50" style="211" customWidth="1"/>
    <col min="4" max="7" width="17.85546875" style="211" customWidth="1"/>
    <col min="8" max="8" width="10.28515625" style="211" customWidth="1"/>
    <col min="9" max="16384" width="9.140625" style="211"/>
  </cols>
  <sheetData>
    <row r="1" spans="1:9" ht="49.5" customHeight="1" x14ac:dyDescent="0.25">
      <c r="A1" s="1028" t="s">
        <v>502</v>
      </c>
      <c r="B1" s="1028"/>
      <c r="C1" s="1028"/>
      <c r="D1" s="1028"/>
      <c r="E1" s="1028"/>
      <c r="F1" s="1028"/>
      <c r="G1" s="1028"/>
    </row>
    <row r="2" spans="1:9" ht="27" customHeight="1" x14ac:dyDescent="0.25">
      <c r="A2" s="1029" t="s">
        <v>0</v>
      </c>
      <c r="B2" s="1030" t="s">
        <v>326</v>
      </c>
      <c r="C2" s="1029" t="s">
        <v>309</v>
      </c>
      <c r="D2" s="1032" t="s">
        <v>503</v>
      </c>
      <c r="E2" s="1033"/>
      <c r="F2" s="1033"/>
      <c r="G2" s="1034"/>
    </row>
    <row r="3" spans="1:9" ht="16.5" customHeight="1" x14ac:dyDescent="0.25">
      <c r="A3" s="1029"/>
      <c r="B3" s="1031"/>
      <c r="C3" s="1029"/>
      <c r="D3" s="1035" t="s">
        <v>468</v>
      </c>
      <c r="E3" s="1036"/>
      <c r="F3" s="1036"/>
      <c r="G3" s="1037"/>
    </row>
    <row r="4" spans="1:9" ht="37.5" customHeight="1" x14ac:dyDescent="0.25">
      <c r="A4" s="1029"/>
      <c r="B4" s="1031"/>
      <c r="C4" s="1029"/>
      <c r="D4" s="1038" t="s">
        <v>44</v>
      </c>
      <c r="E4" s="1038" t="s">
        <v>469</v>
      </c>
      <c r="F4" s="1040" t="s">
        <v>49</v>
      </c>
      <c r="G4" s="1040"/>
    </row>
    <row r="5" spans="1:9" ht="27.75" customHeight="1" x14ac:dyDescent="0.25">
      <c r="A5" s="1029"/>
      <c r="B5" s="1031"/>
      <c r="C5" s="1029"/>
      <c r="D5" s="1039"/>
      <c r="E5" s="1039"/>
      <c r="F5" s="212" t="s">
        <v>51</v>
      </c>
      <c r="G5" s="213" t="s">
        <v>50</v>
      </c>
    </row>
    <row r="6" spans="1:9" ht="10.5" customHeight="1" x14ac:dyDescent="0.25">
      <c r="A6" s="214">
        <v>1</v>
      </c>
      <c r="B6" s="214">
        <v>2</v>
      </c>
      <c r="C6" s="214">
        <v>3</v>
      </c>
      <c r="D6" s="215">
        <v>4</v>
      </c>
      <c r="E6" s="215">
        <v>5</v>
      </c>
      <c r="F6" s="215">
        <v>6</v>
      </c>
      <c r="G6" s="215">
        <v>7</v>
      </c>
    </row>
    <row r="7" spans="1:9" x14ac:dyDescent="0.25">
      <c r="A7" s="938" t="s">
        <v>44</v>
      </c>
      <c r="B7" s="938"/>
      <c r="C7" s="938"/>
      <c r="D7" s="216">
        <f>D8+D9</f>
        <v>962125</v>
      </c>
      <c r="E7" s="216">
        <f>E8+E9</f>
        <v>20192</v>
      </c>
      <c r="F7" s="216">
        <f>F8+F9</f>
        <v>135508</v>
      </c>
      <c r="G7" s="216">
        <f t="shared" ref="G7" si="0">G8+G9</f>
        <v>806425</v>
      </c>
    </row>
    <row r="8" spans="1:9" x14ac:dyDescent="0.25">
      <c r="A8" s="946" t="s">
        <v>14</v>
      </c>
      <c r="B8" s="947"/>
      <c r="C8" s="948"/>
      <c r="D8" s="215">
        <f>E8+F8+G8</f>
        <v>0</v>
      </c>
      <c r="E8" s="215">
        <f>'[21]Пос. ср.мед.пер. (Пр.2-26) '!E8+'[21]Уточнение Пр.5-26'!E8</f>
        <v>0</v>
      </c>
      <c r="F8" s="215">
        <f>'[21]Пос. ср.мед.пер. (Пр.2-26) '!F8+'[21]Уточнение Пр.5-26'!F8</f>
        <v>0</v>
      </c>
      <c r="G8" s="215">
        <f>'[21]Пос. ср.мед.пер. (Пр.2-26) '!G8+'[21]Уточнение Пр.5-26'!G8</f>
        <v>0</v>
      </c>
    </row>
    <row r="9" spans="1:9" x14ac:dyDescent="0.25">
      <c r="A9" s="946" t="s">
        <v>15</v>
      </c>
      <c r="B9" s="947"/>
      <c r="C9" s="948"/>
      <c r="D9" s="216">
        <f>SUM(D10:D139)-D90</f>
        <v>962125</v>
      </c>
      <c r="E9" s="216">
        <f>SUM(E10:E139)-E90</f>
        <v>20192</v>
      </c>
      <c r="F9" s="216">
        <f>SUM(F10:F139)-F90</f>
        <v>135508</v>
      </c>
      <c r="G9" s="216">
        <f>SUM(G10:G139)-G90</f>
        <v>806425</v>
      </c>
      <c r="I9" s="217"/>
    </row>
    <row r="10" spans="1:9" x14ac:dyDescent="0.25">
      <c r="A10" s="218">
        <v>1</v>
      </c>
      <c r="B10" s="219" t="s">
        <v>54</v>
      </c>
      <c r="C10" s="220" t="s">
        <v>55</v>
      </c>
      <c r="D10" s="215">
        <f>E10+F10+G10</f>
        <v>534</v>
      </c>
      <c r="E10" s="215">
        <f>'[21]Пос. ср.мед.пер. (Пр.2-26) '!E10+'[21]Уточнение Пр.5-26'!E10</f>
        <v>0</v>
      </c>
      <c r="F10" s="215">
        <v>0</v>
      </c>
      <c r="G10" s="215">
        <v>534</v>
      </c>
      <c r="I10" s="221"/>
    </row>
    <row r="11" spans="1:9" x14ac:dyDescent="0.25">
      <c r="A11" s="218">
        <v>2</v>
      </c>
      <c r="B11" s="222" t="s">
        <v>56</v>
      </c>
      <c r="C11" s="220" t="s">
        <v>57</v>
      </c>
      <c r="D11" s="215">
        <f t="shared" ref="D11:D76" si="1">E11+F11+G11</f>
        <v>6450</v>
      </c>
      <c r="E11" s="215">
        <f>'[21]Пос. ср.мед.пер. (Пр.2-26) '!E11+'[21]Уточнение Пр.5-26'!E11</f>
        <v>0</v>
      </c>
      <c r="F11" s="215">
        <v>0</v>
      </c>
      <c r="G11" s="215">
        <v>6450</v>
      </c>
      <c r="I11" s="221"/>
    </row>
    <row r="12" spans="1:9" x14ac:dyDescent="0.25">
      <c r="A12" s="218">
        <v>3</v>
      </c>
      <c r="B12" s="223" t="s">
        <v>16</v>
      </c>
      <c r="C12" s="220" t="s">
        <v>17</v>
      </c>
      <c r="D12" s="215">
        <f t="shared" si="1"/>
        <v>22307</v>
      </c>
      <c r="E12" s="215">
        <f>'[21]Пос. ср.мед.пер. (Пр.2-26) '!E12+'[21]Уточнение Пр.5-26'!E12</f>
        <v>0</v>
      </c>
      <c r="F12" s="215">
        <v>0</v>
      </c>
      <c r="G12" s="215">
        <v>22307</v>
      </c>
      <c r="I12" s="221"/>
    </row>
    <row r="13" spans="1:9" x14ac:dyDescent="0.25">
      <c r="A13" s="218">
        <v>4</v>
      </c>
      <c r="B13" s="219" t="s">
        <v>58</v>
      </c>
      <c r="C13" s="220" t="s">
        <v>59</v>
      </c>
      <c r="D13" s="215">
        <f t="shared" si="1"/>
        <v>6053</v>
      </c>
      <c r="E13" s="215">
        <f>'[21]Пос. ср.мед.пер. (Пр.2-26) '!E13+'[21]Уточнение Пр.5-26'!E13</f>
        <v>0</v>
      </c>
      <c r="F13" s="215">
        <v>0</v>
      </c>
      <c r="G13" s="215">
        <v>6053</v>
      </c>
      <c r="I13" s="221"/>
    </row>
    <row r="14" spans="1:9" x14ac:dyDescent="0.25">
      <c r="A14" s="218">
        <v>5</v>
      </c>
      <c r="B14" s="219" t="s">
        <v>60</v>
      </c>
      <c r="C14" s="220" t="s">
        <v>61</v>
      </c>
      <c r="D14" s="215">
        <f t="shared" si="1"/>
        <v>6208</v>
      </c>
      <c r="E14" s="215">
        <f>'[21]Пос. ср.мед.пер. (Пр.2-26) '!E14+'[21]Уточнение Пр.5-26'!E14</f>
        <v>0</v>
      </c>
      <c r="F14" s="215">
        <v>1408</v>
      </c>
      <c r="G14" s="215">
        <v>4800</v>
      </c>
      <c r="I14" s="221"/>
    </row>
    <row r="15" spans="1:9" x14ac:dyDescent="0.25">
      <c r="A15" s="218">
        <v>6</v>
      </c>
      <c r="B15" s="223" t="s">
        <v>18</v>
      </c>
      <c r="C15" s="220" t="s">
        <v>19</v>
      </c>
      <c r="D15" s="215">
        <f t="shared" si="1"/>
        <v>13729</v>
      </c>
      <c r="E15" s="215">
        <f>'[21]Пос. ср.мед.пер. (Пр.2-26) '!E15+'[21]Уточнение Пр.5-26'!E15</f>
        <v>0</v>
      </c>
      <c r="F15" s="215">
        <v>2171</v>
      </c>
      <c r="G15" s="215">
        <v>11558</v>
      </c>
      <c r="I15" s="221"/>
    </row>
    <row r="16" spans="1:9" x14ac:dyDescent="0.25">
      <c r="A16" s="218">
        <v>7</v>
      </c>
      <c r="B16" s="219" t="s">
        <v>62</v>
      </c>
      <c r="C16" s="220" t="s">
        <v>63</v>
      </c>
      <c r="D16" s="215">
        <f t="shared" si="1"/>
        <v>16111</v>
      </c>
      <c r="E16" s="215">
        <f>'[21]Пос. ср.мед.пер. (Пр.2-26) '!E16+'[21]Уточнение Пр.5-26'!E16</f>
        <v>0</v>
      </c>
      <c r="F16" s="215">
        <v>1013</v>
      </c>
      <c r="G16" s="215">
        <v>15098</v>
      </c>
      <c r="I16" s="221"/>
    </row>
    <row r="17" spans="1:9" x14ac:dyDescent="0.25">
      <c r="A17" s="218">
        <v>8</v>
      </c>
      <c r="B17" s="223" t="s">
        <v>64</v>
      </c>
      <c r="C17" s="220" t="s">
        <v>65</v>
      </c>
      <c r="D17" s="215">
        <f t="shared" si="1"/>
        <v>9937</v>
      </c>
      <c r="E17" s="215">
        <f>'[21]Пос. ср.мед.пер. (Пр.2-26) '!E17+'[21]Уточнение Пр.5-26'!E17</f>
        <v>0</v>
      </c>
      <c r="F17" s="215">
        <v>0</v>
      </c>
      <c r="G17" s="215">
        <v>9937</v>
      </c>
      <c r="I17" s="221"/>
    </row>
    <row r="18" spans="1:9" x14ac:dyDescent="0.25">
      <c r="A18" s="218">
        <v>9</v>
      </c>
      <c r="B18" s="223" t="s">
        <v>66</v>
      </c>
      <c r="C18" s="220" t="s">
        <v>67</v>
      </c>
      <c r="D18" s="215">
        <f t="shared" si="1"/>
        <v>6150</v>
      </c>
      <c r="E18" s="215">
        <f>'[21]Пос. ср.мед.пер. (Пр.2-26) '!E18+'[21]Уточнение Пр.5-26'!E18</f>
        <v>0</v>
      </c>
      <c r="F18" s="215">
        <v>0</v>
      </c>
      <c r="G18" s="215">
        <v>6150</v>
      </c>
      <c r="I18" s="221"/>
    </row>
    <row r="19" spans="1:9" x14ac:dyDescent="0.25">
      <c r="A19" s="218">
        <v>10</v>
      </c>
      <c r="B19" s="223" t="s">
        <v>68</v>
      </c>
      <c r="C19" s="220" t="s">
        <v>69</v>
      </c>
      <c r="D19" s="215">
        <f t="shared" si="1"/>
        <v>13373</v>
      </c>
      <c r="E19" s="215">
        <f>'[21]Пос. ср.мед.пер. (Пр.2-26) '!E19+'[21]Уточнение Пр.5-26'!E19</f>
        <v>1500</v>
      </c>
      <c r="F19" s="215">
        <v>0</v>
      </c>
      <c r="G19" s="215">
        <v>11873</v>
      </c>
      <c r="I19" s="221"/>
    </row>
    <row r="20" spans="1:9" x14ac:dyDescent="0.25">
      <c r="A20" s="218">
        <v>11</v>
      </c>
      <c r="B20" s="223" t="s">
        <v>70</v>
      </c>
      <c r="C20" s="220" t="s">
        <v>71</v>
      </c>
      <c r="D20" s="215">
        <f t="shared" si="1"/>
        <v>7987</v>
      </c>
      <c r="E20" s="215">
        <f>'[21]Пос. ср.мед.пер. (Пр.2-26) '!E20+'[21]Уточнение Пр.5-26'!E20</f>
        <v>0</v>
      </c>
      <c r="F20" s="215">
        <v>1816</v>
      </c>
      <c r="G20" s="215">
        <v>6171</v>
      </c>
      <c r="I20" s="221"/>
    </row>
    <row r="21" spans="1:9" x14ac:dyDescent="0.25">
      <c r="A21" s="218">
        <v>12</v>
      </c>
      <c r="B21" s="223" t="s">
        <v>72</v>
      </c>
      <c r="C21" s="220" t="s">
        <v>73</v>
      </c>
      <c r="D21" s="215">
        <f t="shared" si="1"/>
        <v>2971</v>
      </c>
      <c r="E21" s="215">
        <f>'[21]Пос. ср.мед.пер. (Пр.2-26) '!E21+'[21]Уточнение Пр.5-26'!E21</f>
        <v>0</v>
      </c>
      <c r="F21" s="215">
        <v>1829</v>
      </c>
      <c r="G21" s="215">
        <v>1142</v>
      </c>
      <c r="I21" s="221"/>
    </row>
    <row r="22" spans="1:9" x14ac:dyDescent="0.25">
      <c r="A22" s="218">
        <v>13</v>
      </c>
      <c r="B22" s="223" t="s">
        <v>74</v>
      </c>
      <c r="C22" s="220" t="s">
        <v>75</v>
      </c>
      <c r="D22" s="215">
        <f t="shared" si="1"/>
        <v>0</v>
      </c>
      <c r="E22" s="215">
        <f>'[21]Пос. ср.мед.пер. (Пр.2-26) '!E22+'[21]Уточнение Пр.5-26'!E22</f>
        <v>0</v>
      </c>
      <c r="F22" s="215">
        <v>0</v>
      </c>
      <c r="G22" s="215">
        <v>0</v>
      </c>
      <c r="I22" s="221"/>
    </row>
    <row r="23" spans="1:9" x14ac:dyDescent="0.25">
      <c r="A23" s="218">
        <v>14</v>
      </c>
      <c r="B23" s="223" t="s">
        <v>76</v>
      </c>
      <c r="C23" s="220" t="s">
        <v>77</v>
      </c>
      <c r="D23" s="215">
        <f t="shared" si="1"/>
        <v>13420</v>
      </c>
      <c r="E23" s="215">
        <f>'[21]Пос. ср.мед.пер. (Пр.2-26) '!E23+'[21]Уточнение Пр.5-26'!E23</f>
        <v>53</v>
      </c>
      <c r="F23" s="215">
        <v>2183</v>
      </c>
      <c r="G23" s="215">
        <v>11184</v>
      </c>
      <c r="I23" s="221"/>
    </row>
    <row r="24" spans="1:9" x14ac:dyDescent="0.25">
      <c r="A24" s="218">
        <v>15</v>
      </c>
      <c r="B24" s="223" t="s">
        <v>78</v>
      </c>
      <c r="C24" s="220" t="s">
        <v>79</v>
      </c>
      <c r="D24" s="215">
        <f t="shared" si="1"/>
        <v>13137</v>
      </c>
      <c r="E24" s="215">
        <f>'[21]Пос. ср.мед.пер. (Пр.2-26) '!E24+'[21]Уточнение Пр.5-26'!E24</f>
        <v>0</v>
      </c>
      <c r="F24" s="215">
        <v>0</v>
      </c>
      <c r="G24" s="215">
        <v>13137</v>
      </c>
      <c r="I24" s="221"/>
    </row>
    <row r="25" spans="1:9" x14ac:dyDescent="0.25">
      <c r="A25" s="218">
        <v>16</v>
      </c>
      <c r="B25" s="223" t="s">
        <v>80</v>
      </c>
      <c r="C25" s="220" t="s">
        <v>81</v>
      </c>
      <c r="D25" s="215">
        <f t="shared" si="1"/>
        <v>12443</v>
      </c>
      <c r="E25" s="215">
        <f>'[21]Пос. ср.мед.пер. (Пр.2-26) '!E25+'[21]Уточнение Пр.5-26'!E25</f>
        <v>0</v>
      </c>
      <c r="F25" s="215">
        <v>1016</v>
      </c>
      <c r="G25" s="215">
        <v>11427</v>
      </c>
      <c r="I25" s="221"/>
    </row>
    <row r="26" spans="1:9" x14ac:dyDescent="0.25">
      <c r="A26" s="218">
        <v>17</v>
      </c>
      <c r="B26" s="223" t="s">
        <v>20</v>
      </c>
      <c r="C26" s="220" t="s">
        <v>21</v>
      </c>
      <c r="D26" s="215">
        <f t="shared" si="1"/>
        <v>62948</v>
      </c>
      <c r="E26" s="215">
        <f>'[21]Пос. ср.мед.пер. (Пр.2-26) '!E26+'[21]Уточнение Пр.5-26'!E26</f>
        <v>100</v>
      </c>
      <c r="F26" s="215">
        <v>2163</v>
      </c>
      <c r="G26" s="215">
        <v>60685</v>
      </c>
      <c r="I26" s="221"/>
    </row>
    <row r="27" spans="1:9" x14ac:dyDescent="0.25">
      <c r="A27" s="218">
        <v>18</v>
      </c>
      <c r="B27" s="219" t="s">
        <v>82</v>
      </c>
      <c r="C27" s="220" t="s">
        <v>83</v>
      </c>
      <c r="D27" s="215">
        <f t="shared" si="1"/>
        <v>6430</v>
      </c>
      <c r="E27" s="215">
        <f>'[21]Пос. ср.мед.пер. (Пр.2-26) '!E27+'[21]Уточнение Пр.5-26'!E27</f>
        <v>0</v>
      </c>
      <c r="F27" s="215">
        <v>2896</v>
      </c>
      <c r="G27" s="215">
        <v>3534</v>
      </c>
      <c r="I27" s="221"/>
    </row>
    <row r="28" spans="1:9" x14ac:dyDescent="0.25">
      <c r="A28" s="218">
        <v>19</v>
      </c>
      <c r="B28" s="219" t="s">
        <v>84</v>
      </c>
      <c r="C28" s="220" t="s">
        <v>85</v>
      </c>
      <c r="D28" s="215">
        <f t="shared" si="1"/>
        <v>455</v>
      </c>
      <c r="E28" s="215">
        <f>'[21]Пос. ср.мед.пер. (Пр.2-26) '!E28+'[21]Уточнение Пр.5-26'!E28</f>
        <v>37</v>
      </c>
      <c r="F28" s="215">
        <v>0</v>
      </c>
      <c r="G28" s="215">
        <v>418</v>
      </c>
      <c r="I28" s="221"/>
    </row>
    <row r="29" spans="1:9" x14ac:dyDescent="0.25">
      <c r="A29" s="218">
        <v>20</v>
      </c>
      <c r="B29" s="219" t="s">
        <v>86</v>
      </c>
      <c r="C29" s="220" t="s">
        <v>87</v>
      </c>
      <c r="D29" s="215">
        <f t="shared" si="1"/>
        <v>25523</v>
      </c>
      <c r="E29" s="215">
        <f>'[21]Пос. ср.мед.пер. (Пр.2-26) '!E29+'[21]Уточнение Пр.5-26'!E29</f>
        <v>0</v>
      </c>
      <c r="F29" s="215">
        <v>1692</v>
      </c>
      <c r="G29" s="215">
        <v>23831</v>
      </c>
      <c r="I29" s="221"/>
    </row>
    <row r="30" spans="1:9" x14ac:dyDescent="0.25">
      <c r="A30" s="218">
        <v>21</v>
      </c>
      <c r="B30" s="219" t="s">
        <v>22</v>
      </c>
      <c r="C30" s="220" t="s">
        <v>23</v>
      </c>
      <c r="D30" s="215">
        <f t="shared" si="1"/>
        <v>6071</v>
      </c>
      <c r="E30" s="215">
        <f>'[21]Пос. ср.мед.пер. (Пр.2-26) '!E30+'[21]Уточнение Пр.5-26'!E30</f>
        <v>0</v>
      </c>
      <c r="F30" s="215">
        <v>1253</v>
      </c>
      <c r="G30" s="215">
        <v>4818</v>
      </c>
      <c r="I30" s="221"/>
    </row>
    <row r="31" spans="1:9" x14ac:dyDescent="0.25">
      <c r="A31" s="218">
        <v>22</v>
      </c>
      <c r="B31" s="223" t="s">
        <v>24</v>
      </c>
      <c r="C31" s="220" t="s">
        <v>25</v>
      </c>
      <c r="D31" s="215">
        <f t="shared" si="1"/>
        <v>2149</v>
      </c>
      <c r="E31" s="215">
        <f>'[21]Пос. ср.мед.пер. (Пр.2-26) '!E31+'[21]Уточнение Пр.5-26'!E31</f>
        <v>0</v>
      </c>
      <c r="F31" s="215">
        <v>1202</v>
      </c>
      <c r="G31" s="215">
        <v>947</v>
      </c>
      <c r="I31" s="221"/>
    </row>
    <row r="32" spans="1:9" x14ac:dyDescent="0.25">
      <c r="A32" s="218">
        <v>23</v>
      </c>
      <c r="B32" s="223" t="s">
        <v>88</v>
      </c>
      <c r="C32" s="220" t="s">
        <v>89</v>
      </c>
      <c r="D32" s="215">
        <f t="shared" si="1"/>
        <v>0</v>
      </c>
      <c r="E32" s="215">
        <f>'[21]Пос. ср.мед.пер. (Пр.2-26) '!E32+'[21]Уточнение Пр.5-26'!E32</f>
        <v>0</v>
      </c>
      <c r="F32" s="215">
        <v>0</v>
      </c>
      <c r="G32" s="215">
        <v>0</v>
      </c>
      <c r="I32" s="221"/>
    </row>
    <row r="33" spans="1:9" x14ac:dyDescent="0.25">
      <c r="A33" s="218">
        <v>24</v>
      </c>
      <c r="B33" s="223" t="s">
        <v>90</v>
      </c>
      <c r="C33" s="220" t="s">
        <v>91</v>
      </c>
      <c r="D33" s="215">
        <f t="shared" si="1"/>
        <v>0</v>
      </c>
      <c r="E33" s="215">
        <f>'[21]Пос. ср.мед.пер. (Пр.2-26) '!E33+'[21]Уточнение Пр.5-26'!E33</f>
        <v>0</v>
      </c>
      <c r="F33" s="215">
        <v>0</v>
      </c>
      <c r="G33" s="215">
        <v>0</v>
      </c>
      <c r="I33" s="221"/>
    </row>
    <row r="34" spans="1:9" x14ac:dyDescent="0.25">
      <c r="A34" s="218">
        <v>25</v>
      </c>
      <c r="B34" s="219" t="s">
        <v>92</v>
      </c>
      <c r="C34" s="220" t="s">
        <v>93</v>
      </c>
      <c r="D34" s="215">
        <f t="shared" si="1"/>
        <v>151473</v>
      </c>
      <c r="E34" s="215">
        <f>'[21]Пос. ср.мед.пер. (Пр.2-26) '!E34+'[21]Уточнение Пр.5-26'!E34</f>
        <v>5479</v>
      </c>
      <c r="F34" s="215">
        <v>2725</v>
      </c>
      <c r="G34" s="215">
        <v>143269</v>
      </c>
      <c r="I34" s="221"/>
    </row>
    <row r="35" spans="1:9" x14ac:dyDescent="0.25">
      <c r="A35" s="218">
        <v>26</v>
      </c>
      <c r="B35" s="223" t="s">
        <v>94</v>
      </c>
      <c r="C35" s="220" t="s">
        <v>95</v>
      </c>
      <c r="D35" s="215">
        <f t="shared" si="1"/>
        <v>0</v>
      </c>
      <c r="E35" s="215">
        <f>'[21]Пос. ср.мед.пер. (Пр.2-26) '!E35+'[21]Уточнение Пр.5-26'!E35</f>
        <v>0</v>
      </c>
      <c r="F35" s="215">
        <v>0</v>
      </c>
      <c r="G35" s="215">
        <v>0</v>
      </c>
      <c r="I35" s="221"/>
    </row>
    <row r="36" spans="1:9" x14ac:dyDescent="0.25">
      <c r="A36" s="218">
        <v>27</v>
      </c>
      <c r="B36" s="222" t="s">
        <v>96</v>
      </c>
      <c r="C36" s="220" t="s">
        <v>97</v>
      </c>
      <c r="D36" s="215">
        <f t="shared" si="1"/>
        <v>10497</v>
      </c>
      <c r="E36" s="215">
        <f>'[21]Пос. ср.мед.пер. (Пр.2-26) '!E36+'[21]Уточнение Пр.5-26'!E36</f>
        <v>0</v>
      </c>
      <c r="F36" s="215">
        <v>10497</v>
      </c>
      <c r="G36" s="215">
        <v>0</v>
      </c>
      <c r="I36" s="221"/>
    </row>
    <row r="37" spans="1:9" x14ac:dyDescent="0.25">
      <c r="A37" s="218">
        <v>28</v>
      </c>
      <c r="B37" s="222" t="s">
        <v>26</v>
      </c>
      <c r="C37" s="220" t="s">
        <v>27</v>
      </c>
      <c r="D37" s="215">
        <f t="shared" si="1"/>
        <v>38345</v>
      </c>
      <c r="E37" s="215">
        <f>'[21]Пос. ср.мед.пер. (Пр.2-26) '!E37+'[21]Уточнение Пр.5-26'!E37</f>
        <v>0</v>
      </c>
      <c r="F37" s="215">
        <v>4470</v>
      </c>
      <c r="G37" s="215">
        <v>33875</v>
      </c>
      <c r="I37" s="221"/>
    </row>
    <row r="38" spans="1:9" x14ac:dyDescent="0.25">
      <c r="A38" s="218">
        <v>29</v>
      </c>
      <c r="B38" s="219" t="s">
        <v>98</v>
      </c>
      <c r="C38" s="220" t="s">
        <v>99</v>
      </c>
      <c r="D38" s="215">
        <f t="shared" si="1"/>
        <v>50028</v>
      </c>
      <c r="E38" s="215">
        <f>'[21]Пос. ср.мед.пер. (Пр.2-26) '!E38+'[21]Уточнение Пр.5-26'!E38</f>
        <v>6500</v>
      </c>
      <c r="F38" s="215">
        <v>5598</v>
      </c>
      <c r="G38" s="215">
        <v>37930</v>
      </c>
      <c r="I38" s="221"/>
    </row>
    <row r="39" spans="1:9" x14ac:dyDescent="0.25">
      <c r="A39" s="218">
        <v>30</v>
      </c>
      <c r="B39" s="222" t="s">
        <v>100</v>
      </c>
      <c r="C39" s="220" t="s">
        <v>101</v>
      </c>
      <c r="D39" s="215">
        <f t="shared" si="1"/>
        <v>2946</v>
      </c>
      <c r="E39" s="215">
        <f>'[21]Пос. ср.мед.пер. (Пр.2-26) '!E39+'[21]Уточнение Пр.5-26'!E39</f>
        <v>0</v>
      </c>
      <c r="F39" s="215">
        <v>948</v>
      </c>
      <c r="G39" s="215">
        <v>1998</v>
      </c>
      <c r="I39" s="221"/>
    </row>
    <row r="40" spans="1:9" x14ac:dyDescent="0.25">
      <c r="A40" s="218">
        <v>31</v>
      </c>
      <c r="B40" s="223" t="s">
        <v>102</v>
      </c>
      <c r="C40" s="220" t="s">
        <v>103</v>
      </c>
      <c r="D40" s="215">
        <f t="shared" si="1"/>
        <v>40018</v>
      </c>
      <c r="E40" s="215">
        <f>'[21]Пос. ср.мед.пер. (Пр.2-26) '!E40+'[21]Уточнение Пр.5-26'!E40</f>
        <v>0</v>
      </c>
      <c r="F40" s="215">
        <v>4470</v>
      </c>
      <c r="G40" s="215">
        <v>35548</v>
      </c>
      <c r="I40" s="221"/>
    </row>
    <row r="41" spans="1:9" x14ac:dyDescent="0.25">
      <c r="A41" s="218">
        <v>32</v>
      </c>
      <c r="B41" s="222" t="s">
        <v>104</v>
      </c>
      <c r="C41" s="220" t="s">
        <v>105</v>
      </c>
      <c r="D41" s="215">
        <f t="shared" si="1"/>
        <v>14832</v>
      </c>
      <c r="E41" s="215">
        <f>'[21]Пос. ср.мед.пер. (Пр.2-26) '!E41+'[21]Уточнение Пр.5-26'!E41</f>
        <v>324</v>
      </c>
      <c r="F41" s="215">
        <v>989</v>
      </c>
      <c r="G41" s="215">
        <v>13519</v>
      </c>
      <c r="I41" s="221"/>
    </row>
    <row r="42" spans="1:9" x14ac:dyDescent="0.25">
      <c r="A42" s="218">
        <v>33</v>
      </c>
      <c r="B42" s="219" t="s">
        <v>106</v>
      </c>
      <c r="C42" s="220" t="s">
        <v>107</v>
      </c>
      <c r="D42" s="215">
        <f t="shared" si="1"/>
        <v>33381</v>
      </c>
      <c r="E42" s="215">
        <f>'[21]Пос. ср.мед.пер. (Пр.2-26) '!E42+'[21]Уточнение Пр.5-26'!E42</f>
        <v>0</v>
      </c>
      <c r="F42" s="215">
        <v>7081</v>
      </c>
      <c r="G42" s="215">
        <v>26300</v>
      </c>
      <c r="I42" s="221"/>
    </row>
    <row r="43" spans="1:9" x14ac:dyDescent="0.25">
      <c r="A43" s="218">
        <v>34</v>
      </c>
      <c r="B43" s="224" t="s">
        <v>108</v>
      </c>
      <c r="C43" s="225" t="s">
        <v>109</v>
      </c>
      <c r="D43" s="215">
        <f t="shared" si="1"/>
        <v>12006</v>
      </c>
      <c r="E43" s="215">
        <f>'[21]Пос. ср.мед.пер. (Пр.2-26) '!E43+'[21]Уточнение Пр.5-26'!E43</f>
        <v>0</v>
      </c>
      <c r="F43" s="215">
        <v>1024</v>
      </c>
      <c r="G43" s="215">
        <v>10982</v>
      </c>
      <c r="I43" s="221"/>
    </row>
    <row r="44" spans="1:9" x14ac:dyDescent="0.25">
      <c r="A44" s="218">
        <v>35</v>
      </c>
      <c r="B44" s="219" t="s">
        <v>110</v>
      </c>
      <c r="C44" s="220" t="s">
        <v>111</v>
      </c>
      <c r="D44" s="215">
        <f t="shared" si="1"/>
        <v>3677</v>
      </c>
      <c r="E44" s="215">
        <f>'[21]Пос. ср.мед.пер. (Пр.2-26) '!E44+'[21]Уточнение Пр.5-26'!E44</f>
        <v>350</v>
      </c>
      <c r="F44" s="215">
        <v>3111</v>
      </c>
      <c r="G44" s="215">
        <v>216</v>
      </c>
      <c r="I44" s="221"/>
    </row>
    <row r="45" spans="1:9" x14ac:dyDescent="0.25">
      <c r="A45" s="218">
        <v>36</v>
      </c>
      <c r="B45" s="219" t="s">
        <v>112</v>
      </c>
      <c r="C45" s="220" t="s">
        <v>113</v>
      </c>
      <c r="D45" s="215">
        <f t="shared" si="1"/>
        <v>7499</v>
      </c>
      <c r="E45" s="215">
        <f>'[21]Пос. ср.мед.пер. (Пр.2-26) '!E45+'[21]Уточнение Пр.5-26'!E45</f>
        <v>0</v>
      </c>
      <c r="F45" s="215">
        <v>282</v>
      </c>
      <c r="G45" s="215">
        <v>7217</v>
      </c>
      <c r="I45" s="221"/>
    </row>
    <row r="46" spans="1:9" x14ac:dyDescent="0.25">
      <c r="A46" s="218">
        <v>37</v>
      </c>
      <c r="B46" s="223" t="s">
        <v>114</v>
      </c>
      <c r="C46" s="220" t="s">
        <v>115</v>
      </c>
      <c r="D46" s="215">
        <f t="shared" si="1"/>
        <v>8031</v>
      </c>
      <c r="E46" s="215">
        <f>'[21]Пос. ср.мед.пер. (Пр.2-26) '!E46+'[21]Уточнение Пр.5-26'!E46</f>
        <v>0</v>
      </c>
      <c r="F46" s="215">
        <v>1626</v>
      </c>
      <c r="G46" s="215">
        <v>6405</v>
      </c>
      <c r="I46" s="221"/>
    </row>
    <row r="47" spans="1:9" x14ac:dyDescent="0.25">
      <c r="A47" s="218">
        <v>38</v>
      </c>
      <c r="B47" s="222" t="s">
        <v>116</v>
      </c>
      <c r="C47" s="220" t="s">
        <v>117</v>
      </c>
      <c r="D47" s="215">
        <f t="shared" si="1"/>
        <v>0</v>
      </c>
      <c r="E47" s="215">
        <f>'[21]Пос. ср.мед.пер. (Пр.2-26) '!E47+'[21]Уточнение Пр.5-26'!E47</f>
        <v>0</v>
      </c>
      <c r="F47" s="215">
        <v>0</v>
      </c>
      <c r="G47" s="215">
        <v>0</v>
      </c>
      <c r="I47" s="221"/>
    </row>
    <row r="48" spans="1:9" x14ac:dyDescent="0.25">
      <c r="A48" s="218">
        <v>39</v>
      </c>
      <c r="B48" s="223" t="s">
        <v>28</v>
      </c>
      <c r="C48" s="220" t="s">
        <v>29</v>
      </c>
      <c r="D48" s="215">
        <f t="shared" si="1"/>
        <v>18535</v>
      </c>
      <c r="E48" s="215">
        <f>'[21]Пос. ср.мед.пер. (Пр.2-26) '!E48+'[21]Уточнение Пр.5-26'!E48</f>
        <v>1765</v>
      </c>
      <c r="F48" s="215">
        <v>11068</v>
      </c>
      <c r="G48" s="215">
        <v>5702</v>
      </c>
      <c r="I48" s="221"/>
    </row>
    <row r="49" spans="1:9" x14ac:dyDescent="0.25">
      <c r="A49" s="218">
        <v>40</v>
      </c>
      <c r="B49" s="219" t="s">
        <v>118</v>
      </c>
      <c r="C49" s="220" t="s">
        <v>119</v>
      </c>
      <c r="D49" s="215">
        <f t="shared" si="1"/>
        <v>7603</v>
      </c>
      <c r="E49" s="215">
        <f>'[21]Пос. ср.мед.пер. (Пр.2-26) '!E49+'[21]Уточнение Пр.5-26'!E49</f>
        <v>188</v>
      </c>
      <c r="F49" s="215">
        <v>0</v>
      </c>
      <c r="G49" s="215">
        <v>7415</v>
      </c>
      <c r="I49" s="221"/>
    </row>
    <row r="50" spans="1:9" x14ac:dyDescent="0.25">
      <c r="A50" s="218">
        <v>41</v>
      </c>
      <c r="B50" s="219" t="s">
        <v>120</v>
      </c>
      <c r="C50" s="220" t="s">
        <v>121</v>
      </c>
      <c r="D50" s="215">
        <f t="shared" si="1"/>
        <v>10152</v>
      </c>
      <c r="E50" s="215">
        <f>'[21]Пос. ср.мед.пер. (Пр.2-26) '!E50+'[21]Уточнение Пр.5-26'!E50</f>
        <v>0</v>
      </c>
      <c r="F50" s="215">
        <v>0</v>
      </c>
      <c r="G50" s="215">
        <v>10152</v>
      </c>
      <c r="I50" s="221"/>
    </row>
    <row r="51" spans="1:9" x14ac:dyDescent="0.25">
      <c r="A51" s="218">
        <v>42</v>
      </c>
      <c r="B51" s="223" t="s">
        <v>122</v>
      </c>
      <c r="C51" s="220" t="s">
        <v>123</v>
      </c>
      <c r="D51" s="215">
        <f t="shared" si="1"/>
        <v>4379</v>
      </c>
      <c r="E51" s="215">
        <f>'[21]Пос. ср.мед.пер. (Пр.2-26) '!E51+'[21]Уточнение Пр.5-26'!E51</f>
        <v>0</v>
      </c>
      <c r="F51" s="215">
        <v>0</v>
      </c>
      <c r="G51" s="215">
        <v>4379</v>
      </c>
      <c r="I51" s="221"/>
    </row>
    <row r="52" spans="1:9" x14ac:dyDescent="0.25">
      <c r="A52" s="218">
        <v>43</v>
      </c>
      <c r="B52" s="222" t="s">
        <v>124</v>
      </c>
      <c r="C52" s="220" t="s">
        <v>125</v>
      </c>
      <c r="D52" s="215">
        <f t="shared" si="1"/>
        <v>6849</v>
      </c>
      <c r="E52" s="215">
        <f>'[21]Пос. ср.мед.пер. (Пр.2-26) '!E52+'[21]Уточнение Пр.5-26'!E52</f>
        <v>480</v>
      </c>
      <c r="F52" s="215">
        <v>0</v>
      </c>
      <c r="G52" s="215">
        <v>6369</v>
      </c>
      <c r="I52" s="221"/>
    </row>
    <row r="53" spans="1:9" x14ac:dyDescent="0.25">
      <c r="A53" s="218">
        <v>44</v>
      </c>
      <c r="B53" s="223" t="s">
        <v>126</v>
      </c>
      <c r="C53" s="220" t="s">
        <v>127</v>
      </c>
      <c r="D53" s="215">
        <f t="shared" si="1"/>
        <v>13904</v>
      </c>
      <c r="E53" s="215">
        <f>'[21]Пос. ср.мед.пер. (Пр.2-26) '!E53+'[21]Уточнение Пр.5-26'!E53</f>
        <v>0</v>
      </c>
      <c r="F53" s="215">
        <v>1528</v>
      </c>
      <c r="G53" s="215">
        <v>12376</v>
      </c>
      <c r="I53" s="221"/>
    </row>
    <row r="54" spans="1:9" x14ac:dyDescent="0.25">
      <c r="A54" s="218">
        <v>45</v>
      </c>
      <c r="B54" s="222" t="s">
        <v>128</v>
      </c>
      <c r="C54" s="220" t="s">
        <v>129</v>
      </c>
      <c r="D54" s="215">
        <f t="shared" si="1"/>
        <v>784</v>
      </c>
      <c r="E54" s="215">
        <f>'[21]Пос. ср.мед.пер. (Пр.2-26) '!E54+'[21]Уточнение Пр.5-26'!E54</f>
        <v>0</v>
      </c>
      <c r="F54" s="215">
        <v>0</v>
      </c>
      <c r="G54" s="215">
        <v>784</v>
      </c>
      <c r="I54" s="221"/>
    </row>
    <row r="55" spans="1:9" x14ac:dyDescent="0.25">
      <c r="A55" s="218">
        <v>46</v>
      </c>
      <c r="B55" s="223" t="s">
        <v>130</v>
      </c>
      <c r="C55" s="220" t="s">
        <v>131</v>
      </c>
      <c r="D55" s="215">
        <f t="shared" si="1"/>
        <v>1884</v>
      </c>
      <c r="E55" s="215">
        <f>'[21]Пос. ср.мед.пер. (Пр.2-26) '!E55+'[21]Уточнение Пр.5-26'!E55</f>
        <v>0</v>
      </c>
      <c r="F55" s="215">
        <v>0</v>
      </c>
      <c r="G55" s="215">
        <v>1884</v>
      </c>
      <c r="I55" s="221"/>
    </row>
    <row r="56" spans="1:9" x14ac:dyDescent="0.25">
      <c r="A56" s="218">
        <v>47</v>
      </c>
      <c r="B56" s="222" t="s">
        <v>132</v>
      </c>
      <c r="C56" s="220" t="s">
        <v>133</v>
      </c>
      <c r="D56" s="215">
        <f t="shared" si="1"/>
        <v>11490</v>
      </c>
      <c r="E56" s="215">
        <f>'[21]Пос. ср.мед.пер. (Пр.2-26) '!E56+'[21]Уточнение Пр.5-26'!E56</f>
        <v>0</v>
      </c>
      <c r="F56" s="215">
        <v>1983</v>
      </c>
      <c r="G56" s="215">
        <v>9507</v>
      </c>
      <c r="I56" s="221"/>
    </row>
    <row r="57" spans="1:9" x14ac:dyDescent="0.25">
      <c r="A57" s="218">
        <v>48</v>
      </c>
      <c r="B57" s="223" t="s">
        <v>134</v>
      </c>
      <c r="C57" s="220" t="s">
        <v>135</v>
      </c>
      <c r="D57" s="215">
        <f t="shared" si="1"/>
        <v>11301</v>
      </c>
      <c r="E57" s="215">
        <f>'[21]Пос. ср.мед.пер. (Пр.2-26) '!E57+'[21]Уточнение Пр.5-26'!E57</f>
        <v>0</v>
      </c>
      <c r="F57" s="215">
        <v>699</v>
      </c>
      <c r="G57" s="215">
        <v>10602</v>
      </c>
      <c r="I57" s="221"/>
    </row>
    <row r="58" spans="1:9" x14ac:dyDescent="0.25">
      <c r="A58" s="218">
        <v>49</v>
      </c>
      <c r="B58" s="223" t="s">
        <v>136</v>
      </c>
      <c r="C58" s="220" t="s">
        <v>137</v>
      </c>
      <c r="D58" s="215">
        <f t="shared" si="1"/>
        <v>33569</v>
      </c>
      <c r="E58" s="215">
        <f>'[21]Пос. ср.мед.пер. (Пр.2-26) '!E58+'[21]Уточнение Пр.5-26'!E58</f>
        <v>0</v>
      </c>
      <c r="F58" s="215">
        <v>249</v>
      </c>
      <c r="G58" s="215">
        <v>33320</v>
      </c>
      <c r="I58" s="221"/>
    </row>
    <row r="59" spans="1:9" x14ac:dyDescent="0.25">
      <c r="A59" s="218">
        <v>50</v>
      </c>
      <c r="B59" s="223" t="s">
        <v>138</v>
      </c>
      <c r="C59" s="220" t="s">
        <v>139</v>
      </c>
      <c r="D59" s="215">
        <f t="shared" si="1"/>
        <v>7525</v>
      </c>
      <c r="E59" s="215">
        <f>'[21]Пос. ср.мед.пер. (Пр.2-26) '!E59+'[21]Уточнение Пр.5-26'!E59</f>
        <v>0</v>
      </c>
      <c r="F59" s="215">
        <v>1174</v>
      </c>
      <c r="G59" s="215">
        <v>6351</v>
      </c>
      <c r="I59" s="221"/>
    </row>
    <row r="60" spans="1:9" x14ac:dyDescent="0.25">
      <c r="A60" s="218">
        <v>51</v>
      </c>
      <c r="B60" s="223" t="s">
        <v>140</v>
      </c>
      <c r="C60" s="220" t="s">
        <v>141</v>
      </c>
      <c r="D60" s="215">
        <f t="shared" si="1"/>
        <v>8496</v>
      </c>
      <c r="E60" s="215">
        <f>'[21]Пос. ср.мед.пер. (Пр.2-26) '!E60+'[21]Уточнение Пр.5-26'!E60</f>
        <v>0</v>
      </c>
      <c r="F60" s="215">
        <v>1392</v>
      </c>
      <c r="G60" s="215">
        <v>7104</v>
      </c>
      <c r="I60" s="221"/>
    </row>
    <row r="61" spans="1:9" x14ac:dyDescent="0.25">
      <c r="A61" s="218">
        <v>52</v>
      </c>
      <c r="B61" s="222" t="s">
        <v>142</v>
      </c>
      <c r="C61" s="220" t="s">
        <v>143</v>
      </c>
      <c r="D61" s="215">
        <f t="shared" si="1"/>
        <v>9554</v>
      </c>
      <c r="E61" s="215">
        <f>'[21]Пос. ср.мед.пер. (Пр.2-26) '!E61+'[21]Уточнение Пр.5-26'!E61</f>
        <v>0</v>
      </c>
      <c r="F61" s="215">
        <v>1165</v>
      </c>
      <c r="G61" s="215">
        <v>8389</v>
      </c>
      <c r="I61" s="221"/>
    </row>
    <row r="62" spans="1:9" x14ac:dyDescent="0.25">
      <c r="A62" s="218">
        <v>53</v>
      </c>
      <c r="B62" s="223" t="s">
        <v>144</v>
      </c>
      <c r="C62" s="220" t="s">
        <v>145</v>
      </c>
      <c r="D62" s="215">
        <f t="shared" si="1"/>
        <v>0</v>
      </c>
      <c r="E62" s="215">
        <f>'[21]Пос. ср.мед.пер. (Пр.2-26) '!E62+'[21]Уточнение Пр.5-26'!E62</f>
        <v>0</v>
      </c>
      <c r="F62" s="215">
        <v>0</v>
      </c>
      <c r="G62" s="215">
        <v>0</v>
      </c>
      <c r="I62" s="221"/>
    </row>
    <row r="63" spans="1:9" x14ac:dyDescent="0.25">
      <c r="A63" s="218">
        <v>54</v>
      </c>
      <c r="B63" s="223" t="s">
        <v>146</v>
      </c>
      <c r="C63" s="220" t="s">
        <v>147</v>
      </c>
      <c r="D63" s="215">
        <f t="shared" si="1"/>
        <v>0</v>
      </c>
      <c r="E63" s="215">
        <f>'[21]Пос. ср.мед.пер. (Пр.2-26) '!E63+'[21]Уточнение Пр.5-26'!E63</f>
        <v>0</v>
      </c>
      <c r="F63" s="215">
        <v>0</v>
      </c>
      <c r="G63" s="215">
        <v>0</v>
      </c>
      <c r="I63" s="221"/>
    </row>
    <row r="64" spans="1:9" x14ac:dyDescent="0.25">
      <c r="A64" s="218">
        <v>55</v>
      </c>
      <c r="B64" s="223" t="s">
        <v>148</v>
      </c>
      <c r="C64" s="220" t="s">
        <v>149</v>
      </c>
      <c r="D64" s="215">
        <f t="shared" si="1"/>
        <v>0</v>
      </c>
      <c r="E64" s="215">
        <f>'[21]Пос. ср.мед.пер. (Пр.2-26) '!E64+'[21]Уточнение Пр.5-26'!E64</f>
        <v>0</v>
      </c>
      <c r="F64" s="215">
        <v>0</v>
      </c>
      <c r="G64" s="215">
        <v>0</v>
      </c>
      <c r="I64" s="221"/>
    </row>
    <row r="65" spans="1:9" x14ac:dyDescent="0.25">
      <c r="A65" s="218">
        <v>56</v>
      </c>
      <c r="B65" s="222" t="s">
        <v>150</v>
      </c>
      <c r="C65" s="220" t="s">
        <v>151</v>
      </c>
      <c r="D65" s="215">
        <f t="shared" si="1"/>
        <v>0</v>
      </c>
      <c r="E65" s="215">
        <f>'[21]Пос. ср.мед.пер. (Пр.2-26) '!E65+'[21]Уточнение Пр.5-26'!E65</f>
        <v>0</v>
      </c>
      <c r="F65" s="215">
        <v>0</v>
      </c>
      <c r="G65" s="215">
        <v>0</v>
      </c>
      <c r="I65" s="221"/>
    </row>
    <row r="66" spans="1:9" x14ac:dyDescent="0.25">
      <c r="A66" s="218">
        <v>57</v>
      </c>
      <c r="B66" s="219" t="s">
        <v>152</v>
      </c>
      <c r="C66" s="220" t="s">
        <v>153</v>
      </c>
      <c r="D66" s="215">
        <f t="shared" si="1"/>
        <v>0</v>
      </c>
      <c r="E66" s="215">
        <f>'[21]Пос. ср.мед.пер. (Пр.2-26) '!E66+'[21]Уточнение Пр.5-26'!E66</f>
        <v>0</v>
      </c>
      <c r="F66" s="215">
        <v>0</v>
      </c>
      <c r="G66" s="215">
        <v>0</v>
      </c>
      <c r="I66" s="221"/>
    </row>
    <row r="67" spans="1:9" x14ac:dyDescent="0.25">
      <c r="A67" s="218">
        <v>58</v>
      </c>
      <c r="B67" s="222" t="s">
        <v>154</v>
      </c>
      <c r="C67" s="220" t="s">
        <v>155</v>
      </c>
      <c r="D67" s="215">
        <f t="shared" si="1"/>
        <v>0</v>
      </c>
      <c r="E67" s="215">
        <f>'[21]Пос. ср.мед.пер. (Пр.2-26) '!E67+'[21]Уточнение Пр.5-26'!E67</f>
        <v>0</v>
      </c>
      <c r="F67" s="215">
        <v>0</v>
      </c>
      <c r="G67" s="215">
        <v>0</v>
      </c>
      <c r="I67" s="221"/>
    </row>
    <row r="68" spans="1:9" x14ac:dyDescent="0.25">
      <c r="A68" s="218">
        <v>59</v>
      </c>
      <c r="B68" s="223" t="s">
        <v>156</v>
      </c>
      <c r="C68" s="220" t="s">
        <v>157</v>
      </c>
      <c r="D68" s="215">
        <f t="shared" si="1"/>
        <v>0</v>
      </c>
      <c r="E68" s="215">
        <f>'[21]Пос. ср.мед.пер. (Пр.2-26) '!E68+'[21]Уточнение Пр.5-26'!E68</f>
        <v>0</v>
      </c>
      <c r="F68" s="215">
        <v>0</v>
      </c>
      <c r="G68" s="215">
        <v>0</v>
      </c>
      <c r="I68" s="221"/>
    </row>
    <row r="69" spans="1:9" x14ac:dyDescent="0.25">
      <c r="A69" s="218">
        <v>60</v>
      </c>
      <c r="B69" s="219" t="s">
        <v>158</v>
      </c>
      <c r="C69" s="220" t="s">
        <v>159</v>
      </c>
      <c r="D69" s="215">
        <f t="shared" si="1"/>
        <v>3479</v>
      </c>
      <c r="E69" s="215">
        <f>'[21]Пос. ср.мед.пер. (Пр.2-26) '!E69+'[21]Уточнение Пр.5-26'!E69</f>
        <v>0</v>
      </c>
      <c r="F69" s="215">
        <v>3479</v>
      </c>
      <c r="G69" s="215">
        <v>0</v>
      </c>
      <c r="I69" s="221"/>
    </row>
    <row r="70" spans="1:9" x14ac:dyDescent="0.25">
      <c r="A70" s="218">
        <v>61</v>
      </c>
      <c r="B70" s="219" t="s">
        <v>160</v>
      </c>
      <c r="C70" s="220" t="s">
        <v>161</v>
      </c>
      <c r="D70" s="215">
        <f t="shared" si="1"/>
        <v>8078</v>
      </c>
      <c r="E70" s="215">
        <f>'[21]Пос. ср.мед.пер. (Пр.2-26) '!E70+'[21]Уточнение Пр.5-26'!E70</f>
        <v>0</v>
      </c>
      <c r="F70" s="215">
        <v>8078</v>
      </c>
      <c r="G70" s="215">
        <v>0</v>
      </c>
      <c r="I70" s="221"/>
    </row>
    <row r="71" spans="1:9" x14ac:dyDescent="0.25">
      <c r="A71" s="218">
        <v>62</v>
      </c>
      <c r="B71" s="222" t="s">
        <v>162</v>
      </c>
      <c r="C71" s="220" t="s">
        <v>163</v>
      </c>
      <c r="D71" s="215">
        <f t="shared" si="1"/>
        <v>991</v>
      </c>
      <c r="E71" s="215">
        <f>'[21]Пос. ср.мед.пер. (Пр.2-26) '!E71+'[21]Уточнение Пр.5-26'!E71</f>
        <v>0</v>
      </c>
      <c r="F71" s="215">
        <v>0</v>
      </c>
      <c r="G71" s="215">
        <v>991</v>
      </c>
      <c r="I71" s="221"/>
    </row>
    <row r="72" spans="1:9" x14ac:dyDescent="0.25">
      <c r="A72" s="218">
        <v>63</v>
      </c>
      <c r="B72" s="222" t="s">
        <v>164</v>
      </c>
      <c r="C72" s="220" t="s">
        <v>165</v>
      </c>
      <c r="D72" s="215">
        <f t="shared" si="1"/>
        <v>0</v>
      </c>
      <c r="E72" s="215">
        <f>'[21]Пос. ср.мед.пер. (Пр.2-26) '!E72+'[21]Уточнение Пр.5-26'!E72</f>
        <v>0</v>
      </c>
      <c r="F72" s="215">
        <v>0</v>
      </c>
      <c r="G72" s="215">
        <v>0</v>
      </c>
      <c r="I72" s="221"/>
    </row>
    <row r="73" spans="1:9" x14ac:dyDescent="0.25">
      <c r="A73" s="218">
        <v>64</v>
      </c>
      <c r="B73" s="222" t="s">
        <v>166</v>
      </c>
      <c r="C73" s="220" t="s">
        <v>167</v>
      </c>
      <c r="D73" s="215">
        <f t="shared" si="1"/>
        <v>0</v>
      </c>
      <c r="E73" s="215">
        <f>'[21]Пос. ср.мед.пер. (Пр.2-26) '!E73+'[21]Уточнение Пр.5-26'!E73</f>
        <v>0</v>
      </c>
      <c r="F73" s="215">
        <v>0</v>
      </c>
      <c r="G73" s="215">
        <v>0</v>
      </c>
      <c r="I73" s="221"/>
    </row>
    <row r="74" spans="1:9" x14ac:dyDescent="0.25">
      <c r="A74" s="218">
        <v>65</v>
      </c>
      <c r="B74" s="222" t="s">
        <v>168</v>
      </c>
      <c r="C74" s="220" t="s">
        <v>169</v>
      </c>
      <c r="D74" s="215">
        <f t="shared" si="1"/>
        <v>0</v>
      </c>
      <c r="E74" s="215">
        <f>'[21]Пос. ср.мед.пер. (Пр.2-26) '!E74+'[21]Уточнение Пр.5-26'!E74</f>
        <v>0</v>
      </c>
      <c r="F74" s="215">
        <v>0</v>
      </c>
      <c r="G74" s="215">
        <v>0</v>
      </c>
      <c r="I74" s="221"/>
    </row>
    <row r="75" spans="1:9" x14ac:dyDescent="0.25">
      <c r="A75" s="218">
        <v>66</v>
      </c>
      <c r="B75" s="219" t="s">
        <v>170</v>
      </c>
      <c r="C75" s="220" t="s">
        <v>171</v>
      </c>
      <c r="D75" s="215">
        <f t="shared" si="1"/>
        <v>320</v>
      </c>
      <c r="E75" s="215">
        <f>'[21]Пос. ср.мед.пер. (Пр.2-26) '!E75+'[21]Уточнение Пр.5-26'!E75</f>
        <v>0</v>
      </c>
      <c r="F75" s="215">
        <v>320</v>
      </c>
      <c r="G75" s="215">
        <v>0</v>
      </c>
      <c r="I75" s="221"/>
    </row>
    <row r="76" spans="1:9" x14ac:dyDescent="0.25">
      <c r="A76" s="218">
        <v>67</v>
      </c>
      <c r="B76" s="222" t="s">
        <v>172</v>
      </c>
      <c r="C76" s="220" t="s">
        <v>173</v>
      </c>
      <c r="D76" s="215">
        <f t="shared" si="1"/>
        <v>0</v>
      </c>
      <c r="E76" s="215">
        <f>'[21]Пос. ср.мед.пер. (Пр.2-26) '!E76+'[21]Уточнение Пр.5-26'!E76</f>
        <v>0</v>
      </c>
      <c r="F76" s="215">
        <v>0</v>
      </c>
      <c r="G76" s="215">
        <v>0</v>
      </c>
      <c r="I76" s="221"/>
    </row>
    <row r="77" spans="1:9" x14ac:dyDescent="0.25">
      <c r="A77" s="218">
        <v>68</v>
      </c>
      <c r="B77" s="222" t="s">
        <v>174</v>
      </c>
      <c r="C77" s="220" t="s">
        <v>175</v>
      </c>
      <c r="D77" s="215">
        <f t="shared" ref="D77:D140" si="2">E77+F77+G77</f>
        <v>0</v>
      </c>
      <c r="E77" s="215">
        <f>'[21]Пос. ср.мед.пер. (Пр.2-26) '!E77+'[21]Уточнение Пр.5-26'!E77</f>
        <v>0</v>
      </c>
      <c r="F77" s="215">
        <v>0</v>
      </c>
      <c r="G77" s="215">
        <v>0</v>
      </c>
      <c r="I77" s="221"/>
    </row>
    <row r="78" spans="1:9" x14ac:dyDescent="0.25">
      <c r="A78" s="218">
        <v>69</v>
      </c>
      <c r="B78" s="219" t="s">
        <v>176</v>
      </c>
      <c r="C78" s="220" t="s">
        <v>177</v>
      </c>
      <c r="D78" s="215">
        <f t="shared" si="2"/>
        <v>5062</v>
      </c>
      <c r="E78" s="215">
        <f>'[21]Пос. ср.мед.пер. (Пр.2-26) '!E78+'[21]Уточнение Пр.5-26'!E78</f>
        <v>0</v>
      </c>
      <c r="F78" s="215">
        <v>5062</v>
      </c>
      <c r="G78" s="215">
        <v>0</v>
      </c>
      <c r="I78" s="221"/>
    </row>
    <row r="79" spans="1:9" x14ac:dyDescent="0.25">
      <c r="A79" s="218">
        <v>70</v>
      </c>
      <c r="B79" s="219" t="s">
        <v>178</v>
      </c>
      <c r="C79" s="220" t="s">
        <v>179</v>
      </c>
      <c r="D79" s="215">
        <f t="shared" si="2"/>
        <v>0</v>
      </c>
      <c r="E79" s="215">
        <f>'[21]Пос. ср.мед.пер. (Пр.2-26) '!E79+'[21]Уточнение Пр.5-26'!E79</f>
        <v>0</v>
      </c>
      <c r="F79" s="215">
        <v>0</v>
      </c>
      <c r="G79" s="215">
        <v>0</v>
      </c>
      <c r="I79" s="221"/>
    </row>
    <row r="80" spans="1:9" x14ac:dyDescent="0.25">
      <c r="A80" s="218">
        <v>71</v>
      </c>
      <c r="B80" s="219" t="s">
        <v>180</v>
      </c>
      <c r="C80" s="220" t="s">
        <v>181</v>
      </c>
      <c r="D80" s="215">
        <f t="shared" si="2"/>
        <v>0</v>
      </c>
      <c r="E80" s="215">
        <f>'[21]Пос. ср.мед.пер. (Пр.2-26) '!E80+'[21]Уточнение Пр.5-26'!E80</f>
        <v>0</v>
      </c>
      <c r="F80" s="215">
        <v>0</v>
      </c>
      <c r="G80" s="215">
        <v>0</v>
      </c>
      <c r="I80" s="221"/>
    </row>
    <row r="81" spans="1:9" x14ac:dyDescent="0.25">
      <c r="A81" s="218">
        <v>72</v>
      </c>
      <c r="B81" s="223" t="s">
        <v>182</v>
      </c>
      <c r="C81" s="220" t="s">
        <v>183</v>
      </c>
      <c r="D81" s="215">
        <f t="shared" si="2"/>
        <v>12593</v>
      </c>
      <c r="E81" s="215">
        <f>'[21]Пос. ср.мед.пер. (Пр.2-26) '!E81+'[21]Уточнение Пр.5-26'!E81</f>
        <v>0</v>
      </c>
      <c r="F81" s="215">
        <v>3905</v>
      </c>
      <c r="G81" s="215">
        <v>8688</v>
      </c>
      <c r="I81" s="221"/>
    </row>
    <row r="82" spans="1:9" x14ac:dyDescent="0.25">
      <c r="A82" s="218">
        <v>73</v>
      </c>
      <c r="B82" s="219" t="s">
        <v>184</v>
      </c>
      <c r="C82" s="220" t="s">
        <v>185</v>
      </c>
      <c r="D82" s="215">
        <f t="shared" si="2"/>
        <v>5933</v>
      </c>
      <c r="E82" s="215">
        <f>'[21]Пос. ср.мед.пер. (Пр.2-26) '!E82+'[21]Уточнение Пр.5-26'!E82</f>
        <v>0</v>
      </c>
      <c r="F82" s="215">
        <v>0</v>
      </c>
      <c r="G82" s="215">
        <v>5933</v>
      </c>
      <c r="I82" s="221"/>
    </row>
    <row r="83" spans="1:9" x14ac:dyDescent="0.25">
      <c r="A83" s="218">
        <v>74</v>
      </c>
      <c r="B83" s="223" t="s">
        <v>186</v>
      </c>
      <c r="C83" s="220" t="s">
        <v>187</v>
      </c>
      <c r="D83" s="215">
        <f t="shared" si="2"/>
        <v>5586</v>
      </c>
      <c r="E83" s="215">
        <f>'[21]Пос. ср.мед.пер. (Пр.2-26) '!E83+'[21]Уточнение Пр.5-26'!E83</f>
        <v>0</v>
      </c>
      <c r="F83" s="215">
        <v>1445</v>
      </c>
      <c r="G83" s="215">
        <v>4141</v>
      </c>
      <c r="I83" s="221"/>
    </row>
    <row r="84" spans="1:9" x14ac:dyDescent="0.25">
      <c r="A84" s="218">
        <v>75</v>
      </c>
      <c r="B84" s="219" t="s">
        <v>188</v>
      </c>
      <c r="C84" s="220" t="s">
        <v>189</v>
      </c>
      <c r="D84" s="215">
        <f t="shared" si="2"/>
        <v>7147</v>
      </c>
      <c r="E84" s="215">
        <f>'[21]Пос. ср.мед.пер. (Пр.2-26) '!E84+'[21]Уточнение Пр.5-26'!E84</f>
        <v>0</v>
      </c>
      <c r="F84" s="215">
        <v>948</v>
      </c>
      <c r="G84" s="215">
        <v>6199</v>
      </c>
      <c r="I84" s="221"/>
    </row>
    <row r="85" spans="1:9" x14ac:dyDescent="0.25">
      <c r="A85" s="218">
        <v>76</v>
      </c>
      <c r="B85" s="219" t="s">
        <v>190</v>
      </c>
      <c r="C85" s="220" t="s">
        <v>191</v>
      </c>
      <c r="D85" s="215">
        <f t="shared" si="2"/>
        <v>19003</v>
      </c>
      <c r="E85" s="215">
        <f>'[21]Пос. ср.мед.пер. (Пр.2-26) '!E85+'[21]Уточнение Пр.5-26'!E85</f>
        <v>1000</v>
      </c>
      <c r="F85" s="215">
        <v>0</v>
      </c>
      <c r="G85" s="215">
        <v>18003</v>
      </c>
      <c r="I85" s="221"/>
    </row>
    <row r="86" spans="1:9" x14ac:dyDescent="0.25">
      <c r="A86" s="218">
        <v>77</v>
      </c>
      <c r="B86" s="219" t="s">
        <v>192</v>
      </c>
      <c r="C86" s="220" t="s">
        <v>193</v>
      </c>
      <c r="D86" s="215">
        <f t="shared" si="2"/>
        <v>6181</v>
      </c>
      <c r="E86" s="215">
        <f>'[21]Пос. ср.мед.пер. (Пр.2-26) '!E86+'[21]Уточнение Пр.5-26'!E86</f>
        <v>0</v>
      </c>
      <c r="F86" s="215">
        <v>4229</v>
      </c>
      <c r="G86" s="215">
        <v>1952</v>
      </c>
      <c r="I86" s="221"/>
    </row>
    <row r="87" spans="1:9" x14ac:dyDescent="0.25">
      <c r="A87" s="218">
        <v>78</v>
      </c>
      <c r="B87" s="219" t="s">
        <v>194</v>
      </c>
      <c r="C87" s="220" t="s">
        <v>195</v>
      </c>
      <c r="D87" s="215">
        <f t="shared" si="2"/>
        <v>1771</v>
      </c>
      <c r="E87" s="215">
        <f>'[21]Пос. ср.мед.пер. (Пр.2-26) '!E87+'[21]Уточнение Пр.5-26'!E87</f>
        <v>0</v>
      </c>
      <c r="F87" s="215">
        <v>0</v>
      </c>
      <c r="G87" s="215">
        <v>1771</v>
      </c>
      <c r="I87" s="221"/>
    </row>
    <row r="88" spans="1:9" x14ac:dyDescent="0.25">
      <c r="A88" s="218">
        <v>79</v>
      </c>
      <c r="B88" s="219" t="s">
        <v>196</v>
      </c>
      <c r="C88" s="220" t="s">
        <v>197</v>
      </c>
      <c r="D88" s="215">
        <f t="shared" si="2"/>
        <v>0</v>
      </c>
      <c r="E88" s="215">
        <f>'[21]Пос. ср.мед.пер. (Пр.2-26) '!E88+'[21]Уточнение Пр.5-26'!E88</f>
        <v>0</v>
      </c>
      <c r="F88" s="215">
        <v>0</v>
      </c>
      <c r="G88" s="215">
        <v>0</v>
      </c>
      <c r="I88" s="221"/>
    </row>
    <row r="89" spans="1:9" x14ac:dyDescent="0.25">
      <c r="A89" s="218">
        <v>80</v>
      </c>
      <c r="B89" s="222" t="s">
        <v>30</v>
      </c>
      <c r="C89" s="220" t="s">
        <v>198</v>
      </c>
      <c r="D89" s="215">
        <f t="shared" si="2"/>
        <v>0</v>
      </c>
      <c r="E89" s="215">
        <f>'[21]Пос. ср.мед.пер. (Пр.2-26) '!E89+'[21]Уточнение Пр.5-26'!E89</f>
        <v>0</v>
      </c>
      <c r="F89" s="215">
        <v>0</v>
      </c>
      <c r="G89" s="215">
        <v>0</v>
      </c>
      <c r="I89" s="221"/>
    </row>
    <row r="90" spans="1:9" x14ac:dyDescent="0.25">
      <c r="A90" s="1041">
        <v>81</v>
      </c>
      <c r="B90" s="1044" t="s">
        <v>199</v>
      </c>
      <c r="C90" s="226" t="s">
        <v>200</v>
      </c>
      <c r="D90" s="215">
        <f t="shared" si="2"/>
        <v>0</v>
      </c>
      <c r="E90" s="215">
        <f>'[21]Пос. ср.мед.пер. (Пр.2-26) '!E90+'[21]Уточнение Пр.5-26'!E90</f>
        <v>0</v>
      </c>
      <c r="F90" s="215">
        <v>0</v>
      </c>
      <c r="G90" s="215">
        <v>0</v>
      </c>
      <c r="I90" s="221"/>
    </row>
    <row r="91" spans="1:9" ht="22.5" x14ac:dyDescent="0.25">
      <c r="A91" s="1042"/>
      <c r="B91" s="1045"/>
      <c r="C91" s="220" t="s">
        <v>201</v>
      </c>
      <c r="D91" s="215">
        <f t="shared" si="2"/>
        <v>0</v>
      </c>
      <c r="E91" s="215">
        <f>'[21]Пос. ср.мед.пер. (Пр.2-26) '!E91+'[21]Уточнение Пр.5-26'!E91</f>
        <v>0</v>
      </c>
      <c r="F91" s="215">
        <v>0</v>
      </c>
      <c r="G91" s="215">
        <v>0</v>
      </c>
      <c r="I91" s="221"/>
    </row>
    <row r="92" spans="1:9" x14ac:dyDescent="0.25">
      <c r="A92" s="1042"/>
      <c r="B92" s="1045"/>
      <c r="C92" s="220" t="s">
        <v>202</v>
      </c>
      <c r="D92" s="215">
        <f t="shared" si="2"/>
        <v>0</v>
      </c>
      <c r="E92" s="215">
        <f>'[21]Пос. ср.мед.пер. (Пр.2-26) '!E92+'[21]Уточнение Пр.5-26'!E92</f>
        <v>0</v>
      </c>
      <c r="F92" s="215">
        <v>0</v>
      </c>
      <c r="G92" s="215">
        <v>0</v>
      </c>
      <c r="I92" s="221"/>
    </row>
    <row r="93" spans="1:9" ht="22.5" x14ac:dyDescent="0.25">
      <c r="A93" s="1043"/>
      <c r="B93" s="1046"/>
      <c r="C93" s="227" t="s">
        <v>203</v>
      </c>
      <c r="D93" s="215">
        <f t="shared" si="2"/>
        <v>0</v>
      </c>
      <c r="E93" s="215">
        <f>'[21]Пос. ср.мед.пер. (Пр.2-26) '!E93+'[21]Уточнение Пр.5-26'!E93</f>
        <v>0</v>
      </c>
      <c r="F93" s="215">
        <v>0</v>
      </c>
      <c r="G93" s="215">
        <v>0</v>
      </c>
      <c r="I93" s="221"/>
    </row>
    <row r="94" spans="1:9" x14ac:dyDescent="0.25">
      <c r="A94" s="218">
        <v>82</v>
      </c>
      <c r="B94" s="222" t="s">
        <v>204</v>
      </c>
      <c r="C94" s="220" t="s">
        <v>205</v>
      </c>
      <c r="D94" s="215">
        <f t="shared" si="2"/>
        <v>0</v>
      </c>
      <c r="E94" s="215">
        <f>'[21]Пос. ср.мед.пер. (Пр.2-26) '!E94+'[21]Уточнение Пр.5-26'!E94</f>
        <v>0</v>
      </c>
      <c r="F94" s="215">
        <v>0</v>
      </c>
      <c r="G94" s="215">
        <v>0</v>
      </c>
      <c r="I94" s="221"/>
    </row>
    <row r="95" spans="1:9" x14ac:dyDescent="0.25">
      <c r="A95" s="218">
        <v>83</v>
      </c>
      <c r="B95" s="222" t="s">
        <v>206</v>
      </c>
      <c r="C95" s="220" t="s">
        <v>207</v>
      </c>
      <c r="D95" s="215">
        <f t="shared" si="2"/>
        <v>0</v>
      </c>
      <c r="E95" s="215">
        <f>'[21]Пос. ср.мед.пер. (Пр.2-26) '!E95+'[21]Уточнение Пр.5-26'!E95</f>
        <v>0</v>
      </c>
      <c r="F95" s="215">
        <v>0</v>
      </c>
      <c r="G95" s="215">
        <v>0</v>
      </c>
      <c r="I95" s="221"/>
    </row>
    <row r="96" spans="1:9" x14ac:dyDescent="0.25">
      <c r="A96" s="218">
        <v>84</v>
      </c>
      <c r="B96" s="223" t="s">
        <v>208</v>
      </c>
      <c r="C96" s="220" t="s">
        <v>209</v>
      </c>
      <c r="D96" s="215">
        <f t="shared" si="2"/>
        <v>5213</v>
      </c>
      <c r="E96" s="215">
        <f>'[21]Пос. ср.мед.пер. (Пр.2-26) '!E96+'[21]Уточнение Пр.5-26'!E96</f>
        <v>0</v>
      </c>
      <c r="F96" s="215">
        <v>1500</v>
      </c>
      <c r="G96" s="215">
        <v>3713</v>
      </c>
      <c r="I96" s="221"/>
    </row>
    <row r="97" spans="1:9" x14ac:dyDescent="0.25">
      <c r="A97" s="218">
        <v>85</v>
      </c>
      <c r="B97" s="222" t="s">
        <v>210</v>
      </c>
      <c r="C97" s="220" t="s">
        <v>211</v>
      </c>
      <c r="D97" s="215">
        <f t="shared" si="2"/>
        <v>870</v>
      </c>
      <c r="E97" s="215">
        <f>'[21]Пос. ср.мед.пер. (Пр.2-26) '!E97+'[21]Уточнение Пр.5-26'!E97</f>
        <v>0</v>
      </c>
      <c r="F97" s="215">
        <v>688</v>
      </c>
      <c r="G97" s="215">
        <v>182</v>
      </c>
      <c r="I97" s="221"/>
    </row>
    <row r="98" spans="1:9" x14ac:dyDescent="0.25">
      <c r="A98" s="218">
        <v>86</v>
      </c>
      <c r="B98" s="223" t="s">
        <v>212</v>
      </c>
      <c r="C98" s="220" t="s">
        <v>213</v>
      </c>
      <c r="D98" s="215">
        <f t="shared" si="2"/>
        <v>4167</v>
      </c>
      <c r="E98" s="215">
        <f>'[21]Пос. ср.мед.пер. (Пр.2-26) '!E98+'[21]Уточнение Пр.5-26'!E98</f>
        <v>0</v>
      </c>
      <c r="F98" s="215">
        <v>993</v>
      </c>
      <c r="G98" s="215">
        <v>3174</v>
      </c>
      <c r="I98" s="221"/>
    </row>
    <row r="99" spans="1:9" x14ac:dyDescent="0.25">
      <c r="A99" s="218">
        <v>87</v>
      </c>
      <c r="B99" s="223" t="s">
        <v>214</v>
      </c>
      <c r="C99" s="220" t="s">
        <v>215</v>
      </c>
      <c r="D99" s="215">
        <f t="shared" si="2"/>
        <v>9980</v>
      </c>
      <c r="E99" s="215">
        <f>'[21]Пос. ср.мед.пер. (Пр.2-26) '!E99+'[21]Уточнение Пр.5-26'!E99</f>
        <v>0</v>
      </c>
      <c r="F99" s="215">
        <v>1301</v>
      </c>
      <c r="G99" s="215">
        <v>8679</v>
      </c>
      <c r="I99" s="221"/>
    </row>
    <row r="100" spans="1:9" x14ac:dyDescent="0.25">
      <c r="A100" s="218">
        <v>88</v>
      </c>
      <c r="B100" s="222" t="s">
        <v>216</v>
      </c>
      <c r="C100" s="220" t="s">
        <v>217</v>
      </c>
      <c r="D100" s="215">
        <f t="shared" si="2"/>
        <v>8183</v>
      </c>
      <c r="E100" s="215">
        <f>'[21]Пос. ср.мед.пер. (Пр.2-26) '!E100+'[21]Уточнение Пр.5-26'!E100</f>
        <v>0</v>
      </c>
      <c r="F100" s="215">
        <v>0</v>
      </c>
      <c r="G100" s="215">
        <v>8183</v>
      </c>
      <c r="I100" s="221"/>
    </row>
    <row r="101" spans="1:9" x14ac:dyDescent="0.25">
      <c r="A101" s="218">
        <v>89</v>
      </c>
      <c r="B101" s="219" t="s">
        <v>218</v>
      </c>
      <c r="C101" s="220" t="s">
        <v>219</v>
      </c>
      <c r="D101" s="215">
        <f t="shared" si="2"/>
        <v>26781</v>
      </c>
      <c r="E101" s="215">
        <f>'[21]Пос. ср.мед.пер. (Пр.2-26) '!E101+'[21]Уточнение Пр.5-26'!E101</f>
        <v>0</v>
      </c>
      <c r="F101" s="215">
        <v>4898</v>
      </c>
      <c r="G101" s="215">
        <v>21883</v>
      </c>
      <c r="I101" s="221"/>
    </row>
    <row r="102" spans="1:9" x14ac:dyDescent="0.25">
      <c r="A102" s="218">
        <v>90</v>
      </c>
      <c r="B102" s="219" t="s">
        <v>220</v>
      </c>
      <c r="C102" s="220" t="s">
        <v>221</v>
      </c>
      <c r="D102" s="215">
        <f t="shared" si="2"/>
        <v>5060</v>
      </c>
      <c r="E102" s="215">
        <f>'[21]Пос. ср.мед.пер. (Пр.2-26) '!E102+'[21]Уточнение Пр.5-26'!E102</f>
        <v>0</v>
      </c>
      <c r="F102" s="215">
        <v>4891</v>
      </c>
      <c r="G102" s="215">
        <v>169</v>
      </c>
      <c r="I102" s="221"/>
    </row>
    <row r="103" spans="1:9" x14ac:dyDescent="0.25">
      <c r="A103" s="218">
        <v>91</v>
      </c>
      <c r="B103" s="223" t="s">
        <v>222</v>
      </c>
      <c r="C103" s="220" t="s">
        <v>223</v>
      </c>
      <c r="D103" s="215">
        <f t="shared" si="2"/>
        <v>3488</v>
      </c>
      <c r="E103" s="215">
        <f>'[21]Пос. ср.мед.пер. (Пр.2-26) '!E103+'[21]Уточнение Пр.5-26'!E103</f>
        <v>0</v>
      </c>
      <c r="F103" s="215">
        <v>2304</v>
      </c>
      <c r="G103" s="215">
        <v>1184</v>
      </c>
      <c r="I103" s="221"/>
    </row>
    <row r="104" spans="1:9" x14ac:dyDescent="0.25">
      <c r="A104" s="218">
        <v>92</v>
      </c>
      <c r="B104" s="219" t="s">
        <v>224</v>
      </c>
      <c r="C104" s="220" t="s">
        <v>225</v>
      </c>
      <c r="D104" s="215">
        <f t="shared" si="2"/>
        <v>4285</v>
      </c>
      <c r="E104" s="215">
        <f>'[21]Пос. ср.мед.пер. (Пр.2-26) '!E104+'[21]Уточнение Пр.5-26'!E104</f>
        <v>550</v>
      </c>
      <c r="F104" s="215">
        <v>0</v>
      </c>
      <c r="G104" s="215">
        <v>3735</v>
      </c>
      <c r="I104" s="221"/>
    </row>
    <row r="105" spans="1:9" x14ac:dyDescent="0.25">
      <c r="A105" s="218">
        <v>93</v>
      </c>
      <c r="B105" s="219" t="s">
        <v>226</v>
      </c>
      <c r="C105" s="220" t="s">
        <v>227</v>
      </c>
      <c r="D105" s="215">
        <f t="shared" si="2"/>
        <v>9717</v>
      </c>
      <c r="E105" s="215">
        <f>'[21]Пос. ср.мед.пер. (Пр.2-26) '!E105+'[21]Уточнение Пр.5-26'!E105</f>
        <v>0</v>
      </c>
      <c r="F105" s="215">
        <v>1264</v>
      </c>
      <c r="G105" s="215">
        <v>8453</v>
      </c>
      <c r="I105" s="221"/>
    </row>
    <row r="106" spans="1:9" x14ac:dyDescent="0.25">
      <c r="A106" s="218">
        <v>94</v>
      </c>
      <c r="B106" s="222" t="s">
        <v>32</v>
      </c>
      <c r="C106" s="220" t="s">
        <v>33</v>
      </c>
      <c r="D106" s="215">
        <f t="shared" si="2"/>
        <v>9087</v>
      </c>
      <c r="E106" s="215">
        <f>'[21]Пос. ср.мед.пер. (Пр.2-26) '!E106+'[21]Уточнение Пр.5-26'!E106</f>
        <v>0</v>
      </c>
      <c r="F106" s="215">
        <v>2595</v>
      </c>
      <c r="G106" s="215">
        <v>6492</v>
      </c>
      <c r="I106" s="221"/>
    </row>
    <row r="107" spans="1:9" x14ac:dyDescent="0.25">
      <c r="A107" s="218">
        <v>95</v>
      </c>
      <c r="B107" s="223" t="s">
        <v>228</v>
      </c>
      <c r="C107" s="220" t="s">
        <v>229</v>
      </c>
      <c r="D107" s="215">
        <f t="shared" si="2"/>
        <v>7119</v>
      </c>
      <c r="E107" s="215">
        <f>'[21]Пос. ср.мед.пер. (Пр.2-26) '!E107+'[21]Уточнение Пр.5-26'!E107</f>
        <v>466</v>
      </c>
      <c r="F107" s="215">
        <v>1338</v>
      </c>
      <c r="G107" s="215">
        <v>5315</v>
      </c>
      <c r="I107" s="221"/>
    </row>
    <row r="108" spans="1:9" x14ac:dyDescent="0.25">
      <c r="A108" s="218">
        <v>96</v>
      </c>
      <c r="B108" s="219" t="s">
        <v>230</v>
      </c>
      <c r="C108" s="220" t="s">
        <v>231</v>
      </c>
      <c r="D108" s="215">
        <f t="shared" si="2"/>
        <v>11963</v>
      </c>
      <c r="E108" s="215">
        <f>'[21]Пос. ср.мед.пер. (Пр.2-26) '!E108+'[21]Уточнение Пр.5-26'!E108</f>
        <v>1400</v>
      </c>
      <c r="F108" s="215">
        <v>2156</v>
      </c>
      <c r="G108" s="215">
        <v>8407</v>
      </c>
      <c r="I108" s="221"/>
    </row>
    <row r="109" spans="1:9" x14ac:dyDescent="0.25">
      <c r="A109" s="218">
        <v>97</v>
      </c>
      <c r="B109" s="219" t="s">
        <v>232</v>
      </c>
      <c r="C109" s="220" t="s">
        <v>233</v>
      </c>
      <c r="D109" s="215">
        <f t="shared" si="2"/>
        <v>0</v>
      </c>
      <c r="E109" s="215">
        <f>'[21]Пос. ср.мед.пер. (Пр.2-26) '!E109+'[21]Уточнение Пр.5-26'!E109</f>
        <v>0</v>
      </c>
      <c r="F109" s="215">
        <v>0</v>
      </c>
      <c r="G109" s="215">
        <v>0</v>
      </c>
      <c r="I109" s="221"/>
    </row>
    <row r="110" spans="1:9" x14ac:dyDescent="0.25">
      <c r="A110" s="218">
        <v>98</v>
      </c>
      <c r="B110" s="219" t="s">
        <v>234</v>
      </c>
      <c r="C110" s="220" t="s">
        <v>235</v>
      </c>
      <c r="D110" s="215">
        <f t="shared" si="2"/>
        <v>0</v>
      </c>
      <c r="E110" s="215">
        <f>'[21]Пос. ср.мед.пер. (Пр.2-26) '!E110+'[21]Уточнение Пр.5-26'!E110</f>
        <v>0</v>
      </c>
      <c r="F110" s="215">
        <v>0</v>
      </c>
      <c r="G110" s="215">
        <v>0</v>
      </c>
      <c r="I110" s="221"/>
    </row>
    <row r="111" spans="1:9" x14ac:dyDescent="0.25">
      <c r="A111" s="218">
        <v>99</v>
      </c>
      <c r="B111" s="223" t="s">
        <v>236</v>
      </c>
      <c r="C111" s="220" t="s">
        <v>237</v>
      </c>
      <c r="D111" s="215">
        <f t="shared" si="2"/>
        <v>0</v>
      </c>
      <c r="E111" s="215">
        <f>'[21]Пос. ср.мед.пер. (Пр.2-26) '!E111+'[21]Уточнение Пр.5-26'!E111</f>
        <v>0</v>
      </c>
      <c r="F111" s="215">
        <v>0</v>
      </c>
      <c r="G111" s="215">
        <v>0</v>
      </c>
      <c r="I111" s="221"/>
    </row>
    <row r="112" spans="1:9" x14ac:dyDescent="0.25">
      <c r="A112" s="218">
        <v>100</v>
      </c>
      <c r="B112" s="223" t="s">
        <v>238</v>
      </c>
      <c r="C112" s="220" t="s">
        <v>239</v>
      </c>
      <c r="D112" s="215">
        <f t="shared" si="2"/>
        <v>0</v>
      </c>
      <c r="E112" s="215">
        <f>'[21]Пос. ср.мед.пер. (Пр.2-26) '!E112+'[21]Уточнение Пр.5-26'!E112</f>
        <v>0</v>
      </c>
      <c r="F112" s="215">
        <v>0</v>
      </c>
      <c r="G112" s="215">
        <v>0</v>
      </c>
      <c r="I112" s="221"/>
    </row>
    <row r="113" spans="1:9" x14ac:dyDescent="0.25">
      <c r="A113" s="218">
        <v>101</v>
      </c>
      <c r="B113" s="223" t="s">
        <v>240</v>
      </c>
      <c r="C113" s="220" t="s">
        <v>241</v>
      </c>
      <c r="D113" s="215">
        <f t="shared" si="2"/>
        <v>0</v>
      </c>
      <c r="E113" s="215">
        <f>'[21]Пос. ср.мед.пер. (Пр.2-26) '!E113+'[21]Уточнение Пр.5-26'!E113</f>
        <v>0</v>
      </c>
      <c r="F113" s="215">
        <v>0</v>
      </c>
      <c r="G113" s="215">
        <v>0</v>
      </c>
      <c r="I113" s="221"/>
    </row>
    <row r="114" spans="1:9" x14ac:dyDescent="0.25">
      <c r="A114" s="218">
        <v>102</v>
      </c>
      <c r="B114" s="223" t="s">
        <v>242</v>
      </c>
      <c r="C114" s="220" t="s">
        <v>243</v>
      </c>
      <c r="D114" s="215">
        <f t="shared" si="2"/>
        <v>0</v>
      </c>
      <c r="E114" s="215">
        <f>'[21]Пос. ср.мед.пер. (Пр.2-26) '!E114+'[21]Уточнение Пр.5-26'!E114</f>
        <v>0</v>
      </c>
      <c r="F114" s="215">
        <v>0</v>
      </c>
      <c r="G114" s="215">
        <v>0</v>
      </c>
      <c r="I114" s="221"/>
    </row>
    <row r="115" spans="1:9" x14ac:dyDescent="0.25">
      <c r="A115" s="218">
        <v>103</v>
      </c>
      <c r="B115" s="223" t="s">
        <v>244</v>
      </c>
      <c r="C115" s="220" t="s">
        <v>245</v>
      </c>
      <c r="D115" s="215">
        <f t="shared" si="2"/>
        <v>0</v>
      </c>
      <c r="E115" s="215">
        <f>'[21]Пос. ср.мед.пер. (Пр.2-26) '!E115+'[21]Уточнение Пр.5-26'!E115</f>
        <v>0</v>
      </c>
      <c r="F115" s="215">
        <v>0</v>
      </c>
      <c r="G115" s="215">
        <v>0</v>
      </c>
      <c r="I115" s="221"/>
    </row>
    <row r="116" spans="1:9" x14ac:dyDescent="0.25">
      <c r="A116" s="218">
        <v>104</v>
      </c>
      <c r="B116" s="228" t="s">
        <v>246</v>
      </c>
      <c r="C116" s="225" t="s">
        <v>247</v>
      </c>
      <c r="D116" s="215">
        <f t="shared" si="2"/>
        <v>0</v>
      </c>
      <c r="E116" s="215">
        <f>'[21]Пос. ср.мед.пер. (Пр.2-26) '!E116+'[21]Уточнение Пр.5-26'!E116</f>
        <v>0</v>
      </c>
      <c r="F116" s="215">
        <v>0</v>
      </c>
      <c r="G116" s="215">
        <v>0</v>
      </c>
      <c r="I116" s="221"/>
    </row>
    <row r="117" spans="1:9" x14ac:dyDescent="0.25">
      <c r="A117" s="218">
        <v>105</v>
      </c>
      <c r="B117" s="222" t="s">
        <v>248</v>
      </c>
      <c r="C117" s="220" t="s">
        <v>249</v>
      </c>
      <c r="D117" s="215">
        <f t="shared" si="2"/>
        <v>0</v>
      </c>
      <c r="E117" s="215">
        <f>'[21]Пос. ср.мед.пер. (Пр.2-26) '!E117+'[21]Уточнение Пр.5-26'!E117</f>
        <v>0</v>
      </c>
      <c r="F117" s="215">
        <v>0</v>
      </c>
      <c r="G117" s="215">
        <v>0</v>
      </c>
      <c r="I117" s="221"/>
    </row>
    <row r="118" spans="1:9" x14ac:dyDescent="0.25">
      <c r="A118" s="218">
        <v>106</v>
      </c>
      <c r="B118" s="223" t="s">
        <v>250</v>
      </c>
      <c r="C118" s="220" t="s">
        <v>251</v>
      </c>
      <c r="D118" s="215">
        <f t="shared" si="2"/>
        <v>0</v>
      </c>
      <c r="E118" s="215">
        <f>'[21]Пос. ср.мед.пер. (Пр.2-26) '!E118+'[21]Уточнение Пр.5-26'!E118</f>
        <v>0</v>
      </c>
      <c r="F118" s="215">
        <v>0</v>
      </c>
      <c r="G118" s="215">
        <v>0</v>
      </c>
      <c r="I118" s="221"/>
    </row>
    <row r="119" spans="1:9" x14ac:dyDescent="0.25">
      <c r="A119" s="218">
        <v>107</v>
      </c>
      <c r="B119" s="219" t="s">
        <v>252</v>
      </c>
      <c r="C119" s="229" t="s">
        <v>253</v>
      </c>
      <c r="D119" s="215">
        <f t="shared" si="2"/>
        <v>0</v>
      </c>
      <c r="E119" s="215">
        <f>'[21]Пос. ср.мед.пер. (Пр.2-26) '!E119+'[21]Уточнение Пр.5-26'!E119</f>
        <v>0</v>
      </c>
      <c r="F119" s="215">
        <v>0</v>
      </c>
      <c r="G119" s="215">
        <v>0</v>
      </c>
      <c r="I119" s="221"/>
    </row>
    <row r="120" spans="1:9" x14ac:dyDescent="0.25">
      <c r="A120" s="218">
        <v>108</v>
      </c>
      <c r="B120" s="223" t="s">
        <v>254</v>
      </c>
      <c r="C120" s="220" t="s">
        <v>255</v>
      </c>
      <c r="D120" s="215">
        <f t="shared" si="2"/>
        <v>0</v>
      </c>
      <c r="E120" s="215">
        <f>'[21]Пос. ср.мед.пер. (Пр.2-26) '!E120+'[21]Уточнение Пр.5-26'!E120</f>
        <v>0</v>
      </c>
      <c r="F120" s="215">
        <v>0</v>
      </c>
      <c r="G120" s="215">
        <v>0</v>
      </c>
      <c r="I120" s="221"/>
    </row>
    <row r="121" spans="1:9" x14ac:dyDescent="0.25">
      <c r="A121" s="218">
        <v>109</v>
      </c>
      <c r="B121" s="222" t="s">
        <v>256</v>
      </c>
      <c r="C121" s="220" t="s">
        <v>257</v>
      </c>
      <c r="D121" s="215">
        <f t="shared" si="2"/>
        <v>0</v>
      </c>
      <c r="E121" s="215">
        <f>'[21]Пос. ср.мед.пер. (Пр.2-26) '!E121+'[21]Уточнение Пр.5-26'!E121</f>
        <v>0</v>
      </c>
      <c r="F121" s="215">
        <v>0</v>
      </c>
      <c r="G121" s="215">
        <v>0</v>
      </c>
      <c r="I121" s="221"/>
    </row>
    <row r="122" spans="1:9" x14ac:dyDescent="0.25">
      <c r="A122" s="218">
        <v>110</v>
      </c>
      <c r="B122" s="219" t="s">
        <v>258</v>
      </c>
      <c r="C122" s="220" t="s">
        <v>259</v>
      </c>
      <c r="D122" s="215">
        <f t="shared" si="2"/>
        <v>0</v>
      </c>
      <c r="E122" s="215">
        <f>'[21]Пос. ср.мед.пер. (Пр.2-26) '!E122+'[21]Уточнение Пр.5-26'!E122</f>
        <v>0</v>
      </c>
      <c r="F122" s="215">
        <v>0</v>
      </c>
      <c r="G122" s="215">
        <v>0</v>
      </c>
      <c r="I122" s="221"/>
    </row>
    <row r="123" spans="1:9" x14ac:dyDescent="0.25">
      <c r="A123" s="218">
        <v>111</v>
      </c>
      <c r="B123" s="262" t="s">
        <v>551</v>
      </c>
      <c r="C123" s="261" t="s">
        <v>552</v>
      </c>
      <c r="D123" s="215">
        <f t="shared" si="2"/>
        <v>0</v>
      </c>
      <c r="E123" s="215">
        <f>'[21]Пос. ср.мед.пер. (Пр.2-26) '!E123+'[21]Уточнение Пр.5-26'!E123</f>
        <v>0</v>
      </c>
      <c r="F123" s="215">
        <v>0</v>
      </c>
      <c r="G123" s="215">
        <v>0</v>
      </c>
      <c r="I123" s="221"/>
    </row>
    <row r="124" spans="1:9" x14ac:dyDescent="0.25">
      <c r="A124" s="218">
        <v>112</v>
      </c>
      <c r="B124" s="222" t="s">
        <v>260</v>
      </c>
      <c r="C124" s="220" t="s">
        <v>261</v>
      </c>
      <c r="D124" s="215">
        <f t="shared" si="2"/>
        <v>0</v>
      </c>
      <c r="E124" s="215">
        <f>'[21]Пос. ср.мед.пер. (Пр.2-26) '!E124+'[21]Уточнение Пр.5-26'!E124</f>
        <v>0</v>
      </c>
      <c r="F124" s="215">
        <v>0</v>
      </c>
      <c r="G124" s="215">
        <v>0</v>
      </c>
      <c r="I124" s="221"/>
    </row>
    <row r="125" spans="1:9" x14ac:dyDescent="0.25">
      <c r="A125" s="218">
        <v>113</v>
      </c>
      <c r="B125" s="223" t="s">
        <v>262</v>
      </c>
      <c r="C125" s="220" t="s">
        <v>263</v>
      </c>
      <c r="D125" s="215">
        <f t="shared" si="2"/>
        <v>0</v>
      </c>
      <c r="E125" s="215">
        <f>'[21]Пос. ср.мед.пер. (Пр.2-26) '!E125+'[21]Уточнение Пр.5-26'!E125</f>
        <v>0</v>
      </c>
      <c r="F125" s="215">
        <v>0</v>
      </c>
      <c r="G125" s="215">
        <v>0</v>
      </c>
      <c r="I125" s="221"/>
    </row>
    <row r="126" spans="1:9" x14ac:dyDescent="0.25">
      <c r="A126" s="218">
        <v>114</v>
      </c>
      <c r="B126" s="223" t="s">
        <v>264</v>
      </c>
      <c r="C126" s="230" t="s">
        <v>265</v>
      </c>
      <c r="D126" s="215">
        <f t="shared" si="2"/>
        <v>0</v>
      </c>
      <c r="E126" s="215">
        <f>'[21]Пос. ср.мед.пер. (Пр.2-26) '!E126+'[21]Уточнение Пр.5-26'!E126</f>
        <v>0</v>
      </c>
      <c r="F126" s="215">
        <v>0</v>
      </c>
      <c r="G126" s="215">
        <v>0</v>
      </c>
      <c r="I126" s="221"/>
    </row>
    <row r="127" spans="1:9" x14ac:dyDescent="0.25">
      <c r="A127" s="218">
        <v>115</v>
      </c>
      <c r="B127" s="223" t="s">
        <v>266</v>
      </c>
      <c r="C127" s="220" t="s">
        <v>267</v>
      </c>
      <c r="D127" s="215">
        <f t="shared" si="2"/>
        <v>0</v>
      </c>
      <c r="E127" s="215">
        <f>'[21]Пос. ср.мед.пер. (Пр.2-26) '!E127+'[21]Уточнение Пр.5-26'!E127</f>
        <v>0</v>
      </c>
      <c r="F127" s="215">
        <v>0</v>
      </c>
      <c r="G127" s="215">
        <v>0</v>
      </c>
      <c r="I127" s="221"/>
    </row>
    <row r="128" spans="1:9" x14ac:dyDescent="0.25">
      <c r="A128" s="218">
        <v>116</v>
      </c>
      <c r="B128" s="223" t="s">
        <v>268</v>
      </c>
      <c r="C128" s="220" t="s">
        <v>269</v>
      </c>
      <c r="D128" s="215">
        <f t="shared" si="2"/>
        <v>0</v>
      </c>
      <c r="E128" s="215">
        <f>'[21]Пос. ср.мед.пер. (Пр.2-26) '!E128+'[21]Уточнение Пр.5-26'!E128</f>
        <v>0</v>
      </c>
      <c r="F128" s="215">
        <v>0</v>
      </c>
      <c r="G128" s="215">
        <v>0</v>
      </c>
      <c r="I128" s="221"/>
    </row>
    <row r="129" spans="1:9" x14ac:dyDescent="0.25">
      <c r="A129" s="218">
        <v>117</v>
      </c>
      <c r="B129" s="223" t="s">
        <v>270</v>
      </c>
      <c r="C129" s="220" t="s">
        <v>271</v>
      </c>
      <c r="D129" s="215">
        <f t="shared" si="2"/>
        <v>0</v>
      </c>
      <c r="E129" s="215">
        <f>'[21]Пос. ср.мед.пер. (Пр.2-26) '!E129+'[21]Уточнение Пр.5-26'!E129</f>
        <v>0</v>
      </c>
      <c r="F129" s="215">
        <v>0</v>
      </c>
      <c r="G129" s="215">
        <v>0</v>
      </c>
      <c r="I129" s="221"/>
    </row>
    <row r="130" spans="1:9" x14ac:dyDescent="0.25">
      <c r="A130" s="218">
        <v>118</v>
      </c>
      <c r="B130" s="219" t="s">
        <v>272</v>
      </c>
      <c r="C130" s="220" t="s">
        <v>273</v>
      </c>
      <c r="D130" s="215">
        <f t="shared" si="2"/>
        <v>0</v>
      </c>
      <c r="E130" s="215">
        <f>'[21]Пос. ср.мед.пер. (Пр.2-26) '!E130+'[21]Уточнение Пр.5-26'!E130</f>
        <v>0</v>
      </c>
      <c r="F130" s="215">
        <v>0</v>
      </c>
      <c r="G130" s="215">
        <v>0</v>
      </c>
      <c r="I130" s="221"/>
    </row>
    <row r="131" spans="1:9" x14ac:dyDescent="0.25">
      <c r="A131" s="218">
        <v>119</v>
      </c>
      <c r="B131" s="219" t="s">
        <v>274</v>
      </c>
      <c r="C131" s="220" t="s">
        <v>275</v>
      </c>
      <c r="D131" s="215">
        <f t="shared" si="2"/>
        <v>0</v>
      </c>
      <c r="E131" s="215">
        <f>'[21]Пос. ср.мед.пер. (Пр.2-26) '!E131+'[21]Уточнение Пр.5-26'!E131</f>
        <v>0</v>
      </c>
      <c r="F131" s="215">
        <v>0</v>
      </c>
      <c r="G131" s="215">
        <v>0</v>
      </c>
      <c r="I131" s="221"/>
    </row>
    <row r="132" spans="1:9" x14ac:dyDescent="0.25">
      <c r="A132" s="218">
        <v>120</v>
      </c>
      <c r="B132" s="219" t="s">
        <v>276</v>
      </c>
      <c r="C132" s="220" t="s">
        <v>277</v>
      </c>
      <c r="D132" s="215">
        <f t="shared" si="2"/>
        <v>0</v>
      </c>
      <c r="E132" s="215">
        <f>'[21]Пос. ср.мед.пер. (Пр.2-26) '!E132+'[21]Уточнение Пр.5-26'!E132</f>
        <v>0</v>
      </c>
      <c r="F132" s="215">
        <v>0</v>
      </c>
      <c r="G132" s="215">
        <v>0</v>
      </c>
      <c r="I132" s="221"/>
    </row>
    <row r="133" spans="1:9" x14ac:dyDescent="0.25">
      <c r="A133" s="218">
        <v>121</v>
      </c>
      <c r="B133" s="223" t="s">
        <v>278</v>
      </c>
      <c r="C133" s="220" t="s">
        <v>279</v>
      </c>
      <c r="D133" s="215">
        <f t="shared" si="2"/>
        <v>0</v>
      </c>
      <c r="E133" s="215">
        <f>'[21]Пос. ср.мед.пер. (Пр.2-26) '!E133+'[21]Уточнение Пр.5-26'!E133</f>
        <v>0</v>
      </c>
      <c r="F133" s="215">
        <v>0</v>
      </c>
      <c r="G133" s="215">
        <v>0</v>
      </c>
      <c r="I133" s="221"/>
    </row>
    <row r="134" spans="1:9" x14ac:dyDescent="0.25">
      <c r="A134" s="218">
        <v>122</v>
      </c>
      <c r="B134" s="223" t="s">
        <v>280</v>
      </c>
      <c r="C134" s="220" t="s">
        <v>281</v>
      </c>
      <c r="D134" s="215">
        <f t="shared" si="2"/>
        <v>0</v>
      </c>
      <c r="E134" s="215">
        <f>'[21]Пос. ср.мед.пер. (Пр.2-26) '!E134+'[21]Уточнение Пр.5-26'!E134</f>
        <v>0</v>
      </c>
      <c r="F134" s="215">
        <v>0</v>
      </c>
      <c r="G134" s="215">
        <v>0</v>
      </c>
      <c r="I134" s="221"/>
    </row>
    <row r="135" spans="1:9" x14ac:dyDescent="0.25">
      <c r="A135" s="218">
        <v>123</v>
      </c>
      <c r="B135" s="223" t="s">
        <v>282</v>
      </c>
      <c r="C135" s="220" t="s">
        <v>783</v>
      </c>
      <c r="D135" s="215">
        <f t="shared" si="2"/>
        <v>0</v>
      </c>
      <c r="E135" s="215">
        <f>'[21]Пос. ср.мед.пер. (Пр.2-26) '!E135+'[21]Уточнение Пр.5-26'!E135</f>
        <v>0</v>
      </c>
      <c r="F135" s="215">
        <v>0</v>
      </c>
      <c r="G135" s="215">
        <v>0</v>
      </c>
      <c r="I135" s="221"/>
    </row>
    <row r="136" spans="1:9" x14ac:dyDescent="0.25">
      <c r="A136" s="218">
        <v>124</v>
      </c>
      <c r="B136" s="219" t="s">
        <v>283</v>
      </c>
      <c r="C136" s="220" t="s">
        <v>284</v>
      </c>
      <c r="D136" s="215">
        <f t="shared" si="2"/>
        <v>0</v>
      </c>
      <c r="E136" s="215">
        <f>'[21]Пос. ср.мед.пер. (Пр.2-26) '!E136+'[21]Уточнение Пр.5-26'!E136</f>
        <v>0</v>
      </c>
      <c r="F136" s="215">
        <v>0</v>
      </c>
      <c r="G136" s="215">
        <v>0</v>
      </c>
      <c r="I136" s="221"/>
    </row>
    <row r="137" spans="1:9" x14ac:dyDescent="0.25">
      <c r="A137" s="218">
        <v>125</v>
      </c>
      <c r="B137" s="222" t="s">
        <v>285</v>
      </c>
      <c r="C137" s="50" t="s">
        <v>737</v>
      </c>
      <c r="D137" s="215">
        <f t="shared" si="2"/>
        <v>6924</v>
      </c>
      <c r="E137" s="215">
        <f>'[21]Пос. ср.мед.пер. (Пр.2-26) '!E137+'[21]Уточнение Пр.5-26'!E137</f>
        <v>0</v>
      </c>
      <c r="F137" s="215">
        <v>1393</v>
      </c>
      <c r="G137" s="215">
        <v>5531</v>
      </c>
      <c r="I137" s="221"/>
    </row>
    <row r="138" spans="1:9" x14ac:dyDescent="0.25">
      <c r="A138" s="218">
        <v>126</v>
      </c>
      <c r="B138" s="223" t="s">
        <v>286</v>
      </c>
      <c r="C138" s="220" t="s">
        <v>287</v>
      </c>
      <c r="D138" s="215">
        <f t="shared" si="2"/>
        <v>0</v>
      </c>
      <c r="E138" s="215">
        <f>'[21]Пос. ср.мед.пер. (Пр.2-26) '!E138+'[21]Уточнение Пр.5-26'!E138</f>
        <v>0</v>
      </c>
      <c r="F138" s="215">
        <v>0</v>
      </c>
      <c r="G138" s="215">
        <v>0</v>
      </c>
      <c r="I138" s="221"/>
    </row>
    <row r="139" spans="1:9" x14ac:dyDescent="0.25">
      <c r="A139" s="218">
        <v>127</v>
      </c>
      <c r="B139" s="219" t="s">
        <v>288</v>
      </c>
      <c r="C139" s="220" t="s">
        <v>289</v>
      </c>
      <c r="D139" s="215">
        <f t="shared" si="2"/>
        <v>0</v>
      </c>
      <c r="E139" s="215">
        <f>'[21]Пос. ср.мед.пер. (Пр.2-26) '!E139+'[21]Уточнение Пр.5-26'!E139</f>
        <v>0</v>
      </c>
      <c r="F139" s="215">
        <v>0</v>
      </c>
      <c r="G139" s="215">
        <v>0</v>
      </c>
      <c r="I139" s="221"/>
    </row>
    <row r="140" spans="1:9" x14ac:dyDescent="0.25">
      <c r="A140" s="218">
        <v>128</v>
      </c>
      <c r="B140" s="223" t="s">
        <v>290</v>
      </c>
      <c r="C140" s="220" t="s">
        <v>291</v>
      </c>
      <c r="D140" s="215">
        <f t="shared" si="2"/>
        <v>0</v>
      </c>
      <c r="E140" s="215">
        <f>'[21]Пос. ср.мед.пер. (Пр.2-26) '!E140+'[21]Уточнение Пр.5-26'!E140</f>
        <v>0</v>
      </c>
      <c r="F140" s="215">
        <v>0</v>
      </c>
      <c r="G140" s="215">
        <v>0</v>
      </c>
      <c r="I140" s="221"/>
    </row>
    <row r="141" spans="1:9" x14ac:dyDescent="0.25">
      <c r="A141" s="218">
        <v>129</v>
      </c>
      <c r="B141" s="231" t="s">
        <v>292</v>
      </c>
      <c r="C141" s="232" t="s">
        <v>293</v>
      </c>
      <c r="D141" s="215">
        <f t="shared" ref="D141:D144" si="3">E141+F141+G141</f>
        <v>0</v>
      </c>
      <c r="E141" s="215">
        <f>'[21]Пос. ср.мед.пер. (Пр.2-26) '!E141+'[21]Уточнение Пр.5-26'!E141</f>
        <v>0</v>
      </c>
      <c r="F141" s="215">
        <v>0</v>
      </c>
      <c r="G141" s="215">
        <v>0</v>
      </c>
      <c r="I141" s="221"/>
    </row>
    <row r="142" spans="1:9" x14ac:dyDescent="0.25">
      <c r="A142" s="218">
        <v>130</v>
      </c>
      <c r="B142" s="233" t="s">
        <v>294</v>
      </c>
      <c r="C142" s="234" t="s">
        <v>295</v>
      </c>
      <c r="D142" s="215">
        <f t="shared" si="3"/>
        <v>0</v>
      </c>
      <c r="E142" s="215">
        <f>'[21]Пос. ср.мед.пер. (Пр.2-26) '!E142+'[21]Уточнение Пр.5-26'!E142</f>
        <v>0</v>
      </c>
      <c r="F142" s="215">
        <v>0</v>
      </c>
      <c r="G142" s="215">
        <v>0</v>
      </c>
      <c r="I142" s="221"/>
    </row>
    <row r="143" spans="1:9" x14ac:dyDescent="0.25">
      <c r="A143" s="218">
        <v>131</v>
      </c>
      <c r="B143" s="235" t="s">
        <v>296</v>
      </c>
      <c r="C143" s="236" t="s">
        <v>462</v>
      </c>
      <c r="D143" s="215">
        <f t="shared" si="3"/>
        <v>0</v>
      </c>
      <c r="E143" s="215">
        <f>'[21]Пос. ср.мед.пер. (Пр.2-26) '!E143+'[21]Уточнение Пр.5-26'!E143</f>
        <v>0</v>
      </c>
      <c r="F143" s="215">
        <v>0</v>
      </c>
      <c r="G143" s="215">
        <v>0</v>
      </c>
      <c r="I143" s="221"/>
    </row>
    <row r="144" spans="1:9" x14ac:dyDescent="0.25">
      <c r="A144" s="218">
        <v>132</v>
      </c>
      <c r="B144" s="218" t="s">
        <v>298</v>
      </c>
      <c r="C144" s="237" t="s">
        <v>299</v>
      </c>
      <c r="D144" s="215">
        <f t="shared" si="3"/>
        <v>0</v>
      </c>
      <c r="E144" s="215">
        <f>'[21]Пос. ср.мед.пер. (Пр.2-26) '!E144+'[21]Уточнение Пр.5-26'!E144</f>
        <v>0</v>
      </c>
      <c r="F144" s="215">
        <v>0</v>
      </c>
      <c r="G144" s="215">
        <v>0</v>
      </c>
      <c r="I144" s="221"/>
    </row>
    <row r="145" spans="1:9" x14ac:dyDescent="0.25">
      <c r="A145" s="218">
        <v>133</v>
      </c>
      <c r="B145" s="238" t="s">
        <v>300</v>
      </c>
      <c r="C145" s="237" t="s">
        <v>301</v>
      </c>
      <c r="D145" s="215">
        <f>E145+F145+G145</f>
        <v>0</v>
      </c>
      <c r="E145" s="239">
        <f>'[21]Пос. ср.мед.пер. (Пр.2-26) '!E145+'[21]Уточнение Пр.5-26'!E145</f>
        <v>0</v>
      </c>
      <c r="F145" s="239">
        <v>0</v>
      </c>
      <c r="G145" s="239">
        <v>0</v>
      </c>
      <c r="I145" s="221"/>
    </row>
    <row r="146" spans="1:9" x14ac:dyDescent="0.25">
      <c r="A146" s="218">
        <v>134</v>
      </c>
      <c r="B146" s="240" t="s">
        <v>302</v>
      </c>
      <c r="C146" s="241" t="s">
        <v>303</v>
      </c>
      <c r="D146" s="239">
        <f t="shared" ref="D146" si="4">E146+F146+G146</f>
        <v>0</v>
      </c>
      <c r="E146" s="239">
        <f>'[21]Пос. ср.мед.пер. (Пр.2-26) '!E146+'[21]Уточнение Пр.5-26'!E146</f>
        <v>0</v>
      </c>
      <c r="F146" s="239">
        <v>0</v>
      </c>
      <c r="G146" s="239">
        <v>0</v>
      </c>
      <c r="I146" s="221"/>
    </row>
    <row r="147" spans="1:9" x14ac:dyDescent="0.25">
      <c r="A147" s="218">
        <v>135</v>
      </c>
      <c r="B147" s="238" t="s">
        <v>304</v>
      </c>
      <c r="C147" s="237" t="s">
        <v>305</v>
      </c>
      <c r="D147" s="239">
        <v>0</v>
      </c>
      <c r="E147" s="239">
        <f>'[21]Пос. ср.мед.пер. (Пр.2-26) '!E147+'[21]Уточнение Пр.5-26'!E147</f>
        <v>0</v>
      </c>
      <c r="F147" s="239">
        <v>0</v>
      </c>
      <c r="G147" s="239">
        <v>0</v>
      </c>
      <c r="I147" s="221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workbookViewId="0">
      <pane xSplit="4" ySplit="11" topLeftCell="I135" activePane="bottomRight" state="frozen"/>
      <selection pane="topRight" activeCell="E1" sqref="E1"/>
      <selection pane="bottomLeft" activeCell="A12" sqref="A12"/>
      <selection pane="bottomRight" activeCell="C138" sqref="C138"/>
    </sheetView>
  </sheetViews>
  <sheetFormatPr defaultRowHeight="12" x14ac:dyDescent="0.2"/>
  <cols>
    <col min="1" max="1" width="5.140625" style="256" customWidth="1"/>
    <col min="2" max="2" width="7.5703125" style="256" customWidth="1"/>
    <col min="3" max="3" width="48" style="256" customWidth="1"/>
    <col min="4" max="4" width="8.85546875" style="256" customWidth="1"/>
    <col min="5" max="5" width="23.7109375" style="255" customWidth="1"/>
    <col min="6" max="6" width="11.28515625" style="255" customWidth="1"/>
    <col min="7" max="7" width="26.7109375" style="255" customWidth="1"/>
    <col min="8" max="8" width="8.28515625" style="255" customWidth="1"/>
    <col min="9" max="9" width="10.140625" style="255" customWidth="1"/>
    <col min="10" max="10" width="22.42578125" style="255" customWidth="1"/>
    <col min="11" max="16384" width="9.140625" style="255"/>
  </cols>
  <sheetData>
    <row r="1" spans="1:12" ht="33.75" customHeight="1" x14ac:dyDescent="0.2">
      <c r="A1" s="1047" t="s">
        <v>764</v>
      </c>
      <c r="B1" s="1047"/>
      <c r="C1" s="1047"/>
      <c r="D1" s="1047"/>
      <c r="E1" s="1047"/>
      <c r="F1" s="1047"/>
      <c r="G1" s="1047"/>
      <c r="H1" s="1047"/>
      <c r="I1" s="1047"/>
      <c r="J1" s="1047"/>
    </row>
    <row r="2" spans="1:12" ht="9" customHeight="1" x14ac:dyDescent="0.2"/>
    <row r="3" spans="1:12" ht="15" customHeight="1" x14ac:dyDescent="0.2">
      <c r="A3" s="1048" t="s">
        <v>308</v>
      </c>
      <c r="B3" s="1051" t="s">
        <v>1</v>
      </c>
      <c r="C3" s="1054" t="s">
        <v>309</v>
      </c>
      <c r="D3" s="1057" t="s">
        <v>765</v>
      </c>
      <c r="E3" s="1057"/>
      <c r="F3" s="1057"/>
      <c r="G3" s="1057"/>
      <c r="H3" s="1057"/>
      <c r="I3" s="1057"/>
      <c r="J3" s="1057"/>
    </row>
    <row r="4" spans="1:12" ht="14.25" customHeight="1" x14ac:dyDescent="0.2">
      <c r="A4" s="1049"/>
      <c r="B4" s="1052"/>
      <c r="C4" s="1055"/>
      <c r="D4" s="1054" t="s">
        <v>439</v>
      </c>
      <c r="E4" s="1058" t="s">
        <v>449</v>
      </c>
      <c r="F4" s="1058"/>
      <c r="G4" s="1058"/>
      <c r="H4" s="1058"/>
      <c r="I4" s="1058"/>
      <c r="J4" s="1058"/>
    </row>
    <row r="5" spans="1:12" ht="14.25" customHeight="1" x14ac:dyDescent="0.2">
      <c r="A5" s="1049"/>
      <c r="B5" s="1052"/>
      <c r="C5" s="1055"/>
      <c r="D5" s="1055"/>
      <c r="E5" s="1059" t="s">
        <v>766</v>
      </c>
      <c r="F5" s="1060"/>
      <c r="G5" s="1061"/>
      <c r="H5" s="1059" t="s">
        <v>767</v>
      </c>
      <c r="I5" s="1060"/>
      <c r="J5" s="1061"/>
    </row>
    <row r="6" spans="1:12" ht="66.75" customHeight="1" x14ac:dyDescent="0.2">
      <c r="A6" s="1049"/>
      <c r="B6" s="1052"/>
      <c r="C6" s="1055"/>
      <c r="D6" s="1055"/>
      <c r="E6" s="789" t="s">
        <v>768</v>
      </c>
      <c r="F6" s="1062" t="s">
        <v>769</v>
      </c>
      <c r="G6" s="1063"/>
      <c r="H6" s="1069" t="s">
        <v>770</v>
      </c>
      <c r="I6" s="1070"/>
      <c r="J6" s="1071"/>
    </row>
    <row r="7" spans="1:12" ht="24.75" customHeight="1" x14ac:dyDescent="0.2">
      <c r="A7" s="1049"/>
      <c r="B7" s="1052"/>
      <c r="C7" s="1055"/>
      <c r="D7" s="1055"/>
      <c r="E7" s="1048" t="s">
        <v>771</v>
      </c>
      <c r="F7" s="1048" t="s">
        <v>46</v>
      </c>
      <c r="G7" s="789" t="s">
        <v>772</v>
      </c>
      <c r="H7" s="1072" t="s">
        <v>773</v>
      </c>
      <c r="I7" s="1062" t="s">
        <v>774</v>
      </c>
      <c r="J7" s="1063"/>
    </row>
    <row r="8" spans="1:12" ht="18" customHeight="1" x14ac:dyDescent="0.2">
      <c r="A8" s="1049"/>
      <c r="B8" s="1052"/>
      <c r="C8" s="1055"/>
      <c r="D8" s="1055"/>
      <c r="E8" s="1049"/>
      <c r="F8" s="1049"/>
      <c r="G8" s="1048" t="s">
        <v>757</v>
      </c>
      <c r="H8" s="1073"/>
      <c r="I8" s="1057" t="s">
        <v>46</v>
      </c>
      <c r="J8" s="791" t="s">
        <v>775</v>
      </c>
    </row>
    <row r="9" spans="1:12" ht="66.75" customHeight="1" x14ac:dyDescent="0.2">
      <c r="A9" s="1050"/>
      <c r="B9" s="1053"/>
      <c r="C9" s="1056"/>
      <c r="D9" s="1056"/>
      <c r="E9" s="1050"/>
      <c r="F9" s="1050"/>
      <c r="G9" s="1050"/>
      <c r="H9" s="1074"/>
      <c r="I9" s="1057"/>
      <c r="J9" s="791" t="s">
        <v>758</v>
      </c>
    </row>
    <row r="10" spans="1:12" ht="12.75" customHeight="1" x14ac:dyDescent="0.2">
      <c r="A10" s="792">
        <v>1</v>
      </c>
      <c r="B10" s="792">
        <v>2</v>
      </c>
      <c r="C10" s="792">
        <v>3</v>
      </c>
      <c r="D10" s="792">
        <v>4</v>
      </c>
      <c r="E10" s="721">
        <v>5</v>
      </c>
      <c r="F10" s="721">
        <v>6</v>
      </c>
      <c r="G10" s="721">
        <v>7</v>
      </c>
      <c r="H10" s="721">
        <v>8</v>
      </c>
      <c r="I10" s="721">
        <v>9</v>
      </c>
      <c r="J10" s="721">
        <v>10</v>
      </c>
    </row>
    <row r="11" spans="1:12" ht="21" customHeight="1" x14ac:dyDescent="0.2">
      <c r="A11" s="1064" t="s">
        <v>553</v>
      </c>
      <c r="B11" s="1064"/>
      <c r="C11" s="1065"/>
      <c r="D11" s="793">
        <f>E11+F11+H11+I11</f>
        <v>125941</v>
      </c>
      <c r="E11" s="793">
        <f>SUM(E12:E149)-E92</f>
        <v>87403</v>
      </c>
      <c r="F11" s="793">
        <f t="shared" ref="F11:J11" si="0">SUM(F12:F149)-F92</f>
        <v>37698</v>
      </c>
      <c r="G11" s="793">
        <f t="shared" si="0"/>
        <v>37698</v>
      </c>
      <c r="H11" s="793">
        <f t="shared" si="0"/>
        <v>560</v>
      </c>
      <c r="I11" s="793">
        <f t="shared" si="0"/>
        <v>280</v>
      </c>
      <c r="J11" s="793">
        <f t="shared" si="0"/>
        <v>280</v>
      </c>
      <c r="L11" s="806"/>
    </row>
    <row r="12" spans="1:12" x14ac:dyDescent="0.2">
      <c r="A12" s="257">
        <v>1</v>
      </c>
      <c r="B12" s="49" t="s">
        <v>54</v>
      </c>
      <c r="C12" s="794" t="s">
        <v>55</v>
      </c>
      <c r="D12" s="795">
        <f>E12+F12+H12+I12</f>
        <v>0</v>
      </c>
      <c r="E12" s="796">
        <v>0</v>
      </c>
      <c r="F12" s="796">
        <f>G12</f>
        <v>0</v>
      </c>
      <c r="G12" s="796">
        <v>0</v>
      </c>
      <c r="H12" s="796">
        <v>0</v>
      </c>
      <c r="I12" s="796">
        <v>0</v>
      </c>
      <c r="J12" s="796">
        <v>0</v>
      </c>
    </row>
    <row r="13" spans="1:12" x14ac:dyDescent="0.2">
      <c r="A13" s="257">
        <v>2</v>
      </c>
      <c r="B13" s="52" t="s">
        <v>56</v>
      </c>
      <c r="C13" s="794" t="s">
        <v>57</v>
      </c>
      <c r="D13" s="795">
        <f t="shared" ref="D13:D76" si="1">E13+F13+H13+I13</f>
        <v>0</v>
      </c>
      <c r="E13" s="796">
        <v>0</v>
      </c>
      <c r="F13" s="796">
        <f t="shared" ref="F13:F76" si="2">G13</f>
        <v>0</v>
      </c>
      <c r="G13" s="796">
        <v>0</v>
      </c>
      <c r="H13" s="796">
        <v>0</v>
      </c>
      <c r="I13" s="796">
        <v>0</v>
      </c>
      <c r="J13" s="796">
        <v>0</v>
      </c>
    </row>
    <row r="14" spans="1:12" x14ac:dyDescent="0.2">
      <c r="A14" s="257">
        <v>3</v>
      </c>
      <c r="B14" s="264" t="s">
        <v>16</v>
      </c>
      <c r="C14" s="794" t="s">
        <v>17</v>
      </c>
      <c r="D14" s="795">
        <f t="shared" si="1"/>
        <v>4803</v>
      </c>
      <c r="E14" s="796">
        <v>3354</v>
      </c>
      <c r="F14" s="796">
        <f t="shared" si="2"/>
        <v>1449</v>
      </c>
      <c r="G14" s="796">
        <v>1449</v>
      </c>
      <c r="H14" s="796">
        <v>0</v>
      </c>
      <c r="I14" s="796">
        <v>0</v>
      </c>
      <c r="J14" s="796">
        <v>0</v>
      </c>
    </row>
    <row r="15" spans="1:12" x14ac:dyDescent="0.2">
      <c r="A15" s="257">
        <v>4</v>
      </c>
      <c r="B15" s="49" t="s">
        <v>58</v>
      </c>
      <c r="C15" s="794" t="s">
        <v>59</v>
      </c>
      <c r="D15" s="795">
        <f t="shared" si="1"/>
        <v>0</v>
      </c>
      <c r="E15" s="796">
        <v>0</v>
      </c>
      <c r="F15" s="796">
        <f t="shared" si="2"/>
        <v>0</v>
      </c>
      <c r="G15" s="796">
        <v>0</v>
      </c>
      <c r="H15" s="796">
        <v>0</v>
      </c>
      <c r="I15" s="796">
        <v>0</v>
      </c>
      <c r="J15" s="796">
        <v>0</v>
      </c>
    </row>
    <row r="16" spans="1:12" x14ac:dyDescent="0.2">
      <c r="A16" s="257">
        <v>5</v>
      </c>
      <c r="B16" s="49" t="s">
        <v>60</v>
      </c>
      <c r="C16" s="794" t="s">
        <v>61</v>
      </c>
      <c r="D16" s="795">
        <f t="shared" si="1"/>
        <v>0</v>
      </c>
      <c r="E16" s="796">
        <v>0</v>
      </c>
      <c r="F16" s="796">
        <f t="shared" si="2"/>
        <v>0</v>
      </c>
      <c r="G16" s="796">
        <v>0</v>
      </c>
      <c r="H16" s="796">
        <v>0</v>
      </c>
      <c r="I16" s="796">
        <v>0</v>
      </c>
      <c r="J16" s="796">
        <v>0</v>
      </c>
    </row>
    <row r="17" spans="1:10" x14ac:dyDescent="0.2">
      <c r="A17" s="257">
        <v>6</v>
      </c>
      <c r="B17" s="264" t="s">
        <v>18</v>
      </c>
      <c r="C17" s="794" t="s">
        <v>19</v>
      </c>
      <c r="D17" s="795">
        <f t="shared" si="1"/>
        <v>8461</v>
      </c>
      <c r="E17" s="796">
        <v>5909</v>
      </c>
      <c r="F17" s="796">
        <f t="shared" si="2"/>
        <v>2552</v>
      </c>
      <c r="G17" s="796">
        <v>2552</v>
      </c>
      <c r="H17" s="796">
        <v>0</v>
      </c>
      <c r="I17" s="796">
        <v>0</v>
      </c>
      <c r="J17" s="796">
        <v>0</v>
      </c>
    </row>
    <row r="18" spans="1:10" x14ac:dyDescent="0.2">
      <c r="A18" s="257">
        <v>7</v>
      </c>
      <c r="B18" s="49" t="s">
        <v>62</v>
      </c>
      <c r="C18" s="794" t="s">
        <v>63</v>
      </c>
      <c r="D18" s="795">
        <f t="shared" si="1"/>
        <v>4288</v>
      </c>
      <c r="E18" s="796">
        <v>2995</v>
      </c>
      <c r="F18" s="796">
        <f t="shared" si="2"/>
        <v>1293</v>
      </c>
      <c r="G18" s="796">
        <v>1293</v>
      </c>
      <c r="H18" s="796">
        <v>0</v>
      </c>
      <c r="I18" s="796">
        <v>0</v>
      </c>
      <c r="J18" s="796">
        <v>0</v>
      </c>
    </row>
    <row r="19" spans="1:10" x14ac:dyDescent="0.2">
      <c r="A19" s="257">
        <v>8</v>
      </c>
      <c r="B19" s="264" t="s">
        <v>64</v>
      </c>
      <c r="C19" s="794" t="s">
        <v>65</v>
      </c>
      <c r="D19" s="795">
        <f t="shared" si="1"/>
        <v>0</v>
      </c>
      <c r="E19" s="796">
        <v>0</v>
      </c>
      <c r="F19" s="796">
        <f t="shared" si="2"/>
        <v>0</v>
      </c>
      <c r="G19" s="796">
        <v>0</v>
      </c>
      <c r="H19" s="796">
        <v>0</v>
      </c>
      <c r="I19" s="796">
        <v>0</v>
      </c>
      <c r="J19" s="796">
        <v>0</v>
      </c>
    </row>
    <row r="20" spans="1:10" x14ac:dyDescent="0.2">
      <c r="A20" s="257">
        <v>9</v>
      </c>
      <c r="B20" s="264" t="s">
        <v>66</v>
      </c>
      <c r="C20" s="794" t="s">
        <v>67</v>
      </c>
      <c r="D20" s="795">
        <f t="shared" si="1"/>
        <v>0</v>
      </c>
      <c r="E20" s="796">
        <v>0</v>
      </c>
      <c r="F20" s="796">
        <f t="shared" si="2"/>
        <v>0</v>
      </c>
      <c r="G20" s="796">
        <v>0</v>
      </c>
      <c r="H20" s="796">
        <v>0</v>
      </c>
      <c r="I20" s="796">
        <v>0</v>
      </c>
      <c r="J20" s="796">
        <v>0</v>
      </c>
    </row>
    <row r="21" spans="1:10" x14ac:dyDescent="0.2">
      <c r="A21" s="257">
        <v>10</v>
      </c>
      <c r="B21" s="264" t="s">
        <v>68</v>
      </c>
      <c r="C21" s="794" t="s">
        <v>69</v>
      </c>
      <c r="D21" s="795">
        <f t="shared" si="1"/>
        <v>0</v>
      </c>
      <c r="E21" s="796">
        <v>0</v>
      </c>
      <c r="F21" s="796">
        <f t="shared" si="2"/>
        <v>0</v>
      </c>
      <c r="G21" s="796">
        <v>0</v>
      </c>
      <c r="H21" s="796">
        <v>0</v>
      </c>
      <c r="I21" s="796">
        <v>0</v>
      </c>
      <c r="J21" s="796">
        <v>0</v>
      </c>
    </row>
    <row r="22" spans="1:10" x14ac:dyDescent="0.2">
      <c r="A22" s="257">
        <v>11</v>
      </c>
      <c r="B22" s="264" t="s">
        <v>70</v>
      </c>
      <c r="C22" s="794" t="s">
        <v>71</v>
      </c>
      <c r="D22" s="795">
        <f t="shared" si="1"/>
        <v>0</v>
      </c>
      <c r="E22" s="796">
        <v>0</v>
      </c>
      <c r="F22" s="796">
        <f t="shared" si="2"/>
        <v>0</v>
      </c>
      <c r="G22" s="796">
        <v>0</v>
      </c>
      <c r="H22" s="796">
        <v>0</v>
      </c>
      <c r="I22" s="796">
        <v>0</v>
      </c>
      <c r="J22" s="796">
        <v>0</v>
      </c>
    </row>
    <row r="23" spans="1:10" x14ac:dyDescent="0.2">
      <c r="A23" s="257">
        <v>12</v>
      </c>
      <c r="B23" s="264" t="s">
        <v>72</v>
      </c>
      <c r="C23" s="794" t="s">
        <v>73</v>
      </c>
      <c r="D23" s="795">
        <f t="shared" si="1"/>
        <v>0</v>
      </c>
      <c r="E23" s="796">
        <v>0</v>
      </c>
      <c r="F23" s="796">
        <f t="shared" si="2"/>
        <v>0</v>
      </c>
      <c r="G23" s="796">
        <v>0</v>
      </c>
      <c r="H23" s="796">
        <v>0</v>
      </c>
      <c r="I23" s="796">
        <v>0</v>
      </c>
      <c r="J23" s="796">
        <v>0</v>
      </c>
    </row>
    <row r="24" spans="1:10" x14ac:dyDescent="0.2">
      <c r="A24" s="257">
        <v>13</v>
      </c>
      <c r="B24" s="264" t="s">
        <v>74</v>
      </c>
      <c r="C24" s="794" t="s">
        <v>75</v>
      </c>
      <c r="D24" s="795">
        <f t="shared" si="1"/>
        <v>0</v>
      </c>
      <c r="E24" s="796">
        <v>0</v>
      </c>
      <c r="F24" s="796">
        <f t="shared" si="2"/>
        <v>0</v>
      </c>
      <c r="G24" s="796">
        <v>0</v>
      </c>
      <c r="H24" s="796">
        <v>0</v>
      </c>
      <c r="I24" s="796">
        <v>0</v>
      </c>
      <c r="J24" s="796">
        <v>0</v>
      </c>
    </row>
    <row r="25" spans="1:10" x14ac:dyDescent="0.2">
      <c r="A25" s="257">
        <v>14</v>
      </c>
      <c r="B25" s="264" t="s">
        <v>76</v>
      </c>
      <c r="C25" s="794" t="s">
        <v>77</v>
      </c>
      <c r="D25" s="795">
        <f t="shared" si="1"/>
        <v>0</v>
      </c>
      <c r="E25" s="796">
        <v>0</v>
      </c>
      <c r="F25" s="796">
        <f t="shared" si="2"/>
        <v>0</v>
      </c>
      <c r="G25" s="796">
        <v>0</v>
      </c>
      <c r="H25" s="796">
        <v>0</v>
      </c>
      <c r="I25" s="796">
        <v>0</v>
      </c>
      <c r="J25" s="796">
        <v>0</v>
      </c>
    </row>
    <row r="26" spans="1:10" x14ac:dyDescent="0.2">
      <c r="A26" s="257">
        <v>15</v>
      </c>
      <c r="B26" s="264" t="s">
        <v>78</v>
      </c>
      <c r="C26" s="794" t="s">
        <v>79</v>
      </c>
      <c r="D26" s="795">
        <f t="shared" si="1"/>
        <v>0</v>
      </c>
      <c r="E26" s="796">
        <v>0</v>
      </c>
      <c r="F26" s="796">
        <f t="shared" si="2"/>
        <v>0</v>
      </c>
      <c r="G26" s="796">
        <v>0</v>
      </c>
      <c r="H26" s="796">
        <v>0</v>
      </c>
      <c r="I26" s="796">
        <v>0</v>
      </c>
      <c r="J26" s="796">
        <v>0</v>
      </c>
    </row>
    <row r="27" spans="1:10" x14ac:dyDescent="0.2">
      <c r="A27" s="257">
        <v>16</v>
      </c>
      <c r="B27" s="264" t="s">
        <v>80</v>
      </c>
      <c r="C27" s="794" t="s">
        <v>81</v>
      </c>
      <c r="D27" s="795">
        <f t="shared" si="1"/>
        <v>0</v>
      </c>
      <c r="E27" s="796">
        <v>0</v>
      </c>
      <c r="F27" s="796">
        <f t="shared" si="2"/>
        <v>0</v>
      </c>
      <c r="G27" s="796">
        <v>0</v>
      </c>
      <c r="H27" s="796">
        <v>0</v>
      </c>
      <c r="I27" s="796">
        <v>0</v>
      </c>
      <c r="J27" s="796">
        <v>0</v>
      </c>
    </row>
    <row r="28" spans="1:10" x14ac:dyDescent="0.2">
      <c r="A28" s="257">
        <v>17</v>
      </c>
      <c r="B28" s="264" t="s">
        <v>20</v>
      </c>
      <c r="C28" s="794" t="s">
        <v>21</v>
      </c>
      <c r="D28" s="795">
        <f t="shared" si="1"/>
        <v>7173</v>
      </c>
      <c r="E28" s="796">
        <v>5010</v>
      </c>
      <c r="F28" s="796">
        <f t="shared" si="2"/>
        <v>2163</v>
      </c>
      <c r="G28" s="796">
        <v>2163</v>
      </c>
      <c r="H28" s="796">
        <v>0</v>
      </c>
      <c r="I28" s="796">
        <v>0</v>
      </c>
      <c r="J28" s="796">
        <v>0</v>
      </c>
    </row>
    <row r="29" spans="1:10" x14ac:dyDescent="0.2">
      <c r="A29" s="257">
        <v>18</v>
      </c>
      <c r="B29" s="49" t="s">
        <v>82</v>
      </c>
      <c r="C29" s="794" t="s">
        <v>83</v>
      </c>
      <c r="D29" s="795">
        <f t="shared" si="1"/>
        <v>0</v>
      </c>
      <c r="E29" s="796">
        <v>0</v>
      </c>
      <c r="F29" s="796">
        <f t="shared" si="2"/>
        <v>0</v>
      </c>
      <c r="G29" s="796">
        <v>0</v>
      </c>
      <c r="H29" s="796">
        <v>0</v>
      </c>
      <c r="I29" s="796">
        <v>0</v>
      </c>
      <c r="J29" s="796">
        <v>0</v>
      </c>
    </row>
    <row r="30" spans="1:10" x14ac:dyDescent="0.2">
      <c r="A30" s="257">
        <v>19</v>
      </c>
      <c r="B30" s="49" t="s">
        <v>84</v>
      </c>
      <c r="C30" s="794" t="s">
        <v>85</v>
      </c>
      <c r="D30" s="795">
        <f t="shared" si="1"/>
        <v>0</v>
      </c>
      <c r="E30" s="796">
        <v>0</v>
      </c>
      <c r="F30" s="796">
        <f t="shared" si="2"/>
        <v>0</v>
      </c>
      <c r="G30" s="796">
        <v>0</v>
      </c>
      <c r="H30" s="796">
        <v>0</v>
      </c>
      <c r="I30" s="796">
        <v>0</v>
      </c>
      <c r="J30" s="796">
        <v>0</v>
      </c>
    </row>
    <row r="31" spans="1:10" x14ac:dyDescent="0.2">
      <c r="A31" s="257">
        <v>20</v>
      </c>
      <c r="B31" s="49" t="s">
        <v>86</v>
      </c>
      <c r="C31" s="794" t="s">
        <v>87</v>
      </c>
      <c r="D31" s="795">
        <f t="shared" si="1"/>
        <v>0</v>
      </c>
      <c r="E31" s="796">
        <v>0</v>
      </c>
      <c r="F31" s="796">
        <f t="shared" si="2"/>
        <v>0</v>
      </c>
      <c r="G31" s="796">
        <v>0</v>
      </c>
      <c r="H31" s="796">
        <v>0</v>
      </c>
      <c r="I31" s="796">
        <v>0</v>
      </c>
      <c r="J31" s="796">
        <v>0</v>
      </c>
    </row>
    <row r="32" spans="1:10" x14ac:dyDescent="0.2">
      <c r="A32" s="257">
        <v>21</v>
      </c>
      <c r="B32" s="49" t="s">
        <v>22</v>
      </c>
      <c r="C32" s="794" t="s">
        <v>23</v>
      </c>
      <c r="D32" s="795">
        <f t="shared" si="1"/>
        <v>4547</v>
      </c>
      <c r="E32" s="796">
        <v>3176</v>
      </c>
      <c r="F32" s="796">
        <f t="shared" si="2"/>
        <v>1371</v>
      </c>
      <c r="G32" s="796">
        <v>1371</v>
      </c>
      <c r="H32" s="796">
        <v>0</v>
      </c>
      <c r="I32" s="796">
        <v>0</v>
      </c>
      <c r="J32" s="796">
        <v>0</v>
      </c>
    </row>
    <row r="33" spans="1:10" x14ac:dyDescent="0.2">
      <c r="A33" s="257">
        <v>22</v>
      </c>
      <c r="B33" s="264" t="s">
        <v>24</v>
      </c>
      <c r="C33" s="794" t="s">
        <v>25</v>
      </c>
      <c r="D33" s="795">
        <f t="shared" si="1"/>
        <v>0</v>
      </c>
      <c r="E33" s="796">
        <v>0</v>
      </c>
      <c r="F33" s="796">
        <f t="shared" si="2"/>
        <v>0</v>
      </c>
      <c r="G33" s="796">
        <v>0</v>
      </c>
      <c r="H33" s="796">
        <v>0</v>
      </c>
      <c r="I33" s="796">
        <v>0</v>
      </c>
      <c r="J33" s="796">
        <v>0</v>
      </c>
    </row>
    <row r="34" spans="1:10" x14ac:dyDescent="0.2">
      <c r="A34" s="257">
        <v>23</v>
      </c>
      <c r="B34" s="264" t="s">
        <v>88</v>
      </c>
      <c r="C34" s="794" t="s">
        <v>89</v>
      </c>
      <c r="D34" s="795">
        <f t="shared" si="1"/>
        <v>0</v>
      </c>
      <c r="E34" s="796">
        <v>0</v>
      </c>
      <c r="F34" s="796">
        <f t="shared" si="2"/>
        <v>0</v>
      </c>
      <c r="G34" s="796">
        <v>0</v>
      </c>
      <c r="H34" s="796">
        <v>0</v>
      </c>
      <c r="I34" s="796">
        <v>0</v>
      </c>
      <c r="J34" s="796">
        <v>0</v>
      </c>
    </row>
    <row r="35" spans="1:10" x14ac:dyDescent="0.2">
      <c r="A35" s="257">
        <v>24</v>
      </c>
      <c r="B35" s="264" t="s">
        <v>90</v>
      </c>
      <c r="C35" s="794" t="s">
        <v>91</v>
      </c>
      <c r="D35" s="795">
        <f t="shared" si="1"/>
        <v>0</v>
      </c>
      <c r="E35" s="796">
        <v>0</v>
      </c>
      <c r="F35" s="796">
        <f t="shared" si="2"/>
        <v>0</v>
      </c>
      <c r="G35" s="796">
        <v>0</v>
      </c>
      <c r="H35" s="796">
        <v>0</v>
      </c>
      <c r="I35" s="796">
        <v>0</v>
      </c>
      <c r="J35" s="796">
        <v>0</v>
      </c>
    </row>
    <row r="36" spans="1:10" x14ac:dyDescent="0.2">
      <c r="A36" s="257">
        <v>25</v>
      </c>
      <c r="B36" s="49" t="s">
        <v>92</v>
      </c>
      <c r="C36" s="794" t="s">
        <v>93</v>
      </c>
      <c r="D36" s="795">
        <f t="shared" si="1"/>
        <v>12415</v>
      </c>
      <c r="E36" s="796">
        <v>8671</v>
      </c>
      <c r="F36" s="796">
        <f t="shared" si="2"/>
        <v>3744</v>
      </c>
      <c r="G36" s="796">
        <v>3744</v>
      </c>
      <c r="H36" s="796">
        <v>0</v>
      </c>
      <c r="I36" s="796">
        <v>0</v>
      </c>
      <c r="J36" s="796">
        <v>0</v>
      </c>
    </row>
    <row r="37" spans="1:10" x14ac:dyDescent="0.2">
      <c r="A37" s="257">
        <v>26</v>
      </c>
      <c r="B37" s="264" t="s">
        <v>94</v>
      </c>
      <c r="C37" s="794" t="s">
        <v>95</v>
      </c>
      <c r="D37" s="795">
        <f t="shared" si="1"/>
        <v>0</v>
      </c>
      <c r="E37" s="796">
        <v>0</v>
      </c>
      <c r="F37" s="796">
        <f t="shared" si="2"/>
        <v>0</v>
      </c>
      <c r="G37" s="796">
        <v>0</v>
      </c>
      <c r="H37" s="796">
        <v>0</v>
      </c>
      <c r="I37" s="796">
        <v>0</v>
      </c>
      <c r="J37" s="796">
        <v>0</v>
      </c>
    </row>
    <row r="38" spans="1:10" x14ac:dyDescent="0.2">
      <c r="A38" s="257">
        <v>27</v>
      </c>
      <c r="B38" s="52" t="s">
        <v>96</v>
      </c>
      <c r="C38" s="794" t="s">
        <v>97</v>
      </c>
      <c r="D38" s="795">
        <f t="shared" si="1"/>
        <v>0</v>
      </c>
      <c r="E38" s="796">
        <v>0</v>
      </c>
      <c r="F38" s="796">
        <f t="shared" si="2"/>
        <v>0</v>
      </c>
      <c r="G38" s="796">
        <v>0</v>
      </c>
      <c r="H38" s="796">
        <v>0</v>
      </c>
      <c r="I38" s="796">
        <v>0</v>
      </c>
      <c r="J38" s="796">
        <v>0</v>
      </c>
    </row>
    <row r="39" spans="1:10" x14ac:dyDescent="0.2">
      <c r="A39" s="257">
        <v>28</v>
      </c>
      <c r="B39" s="52" t="s">
        <v>26</v>
      </c>
      <c r="C39" s="794" t="s">
        <v>27</v>
      </c>
      <c r="D39" s="795">
        <f t="shared" si="1"/>
        <v>4125</v>
      </c>
      <c r="E39" s="796">
        <v>2881</v>
      </c>
      <c r="F39" s="796">
        <f t="shared" si="2"/>
        <v>1244</v>
      </c>
      <c r="G39" s="796">
        <v>1244</v>
      </c>
      <c r="H39" s="796">
        <v>0</v>
      </c>
      <c r="I39" s="796">
        <v>0</v>
      </c>
      <c r="J39" s="796">
        <v>0</v>
      </c>
    </row>
    <row r="40" spans="1:10" x14ac:dyDescent="0.2">
      <c r="A40" s="257">
        <v>29</v>
      </c>
      <c r="B40" s="49" t="s">
        <v>98</v>
      </c>
      <c r="C40" s="794" t="s">
        <v>99</v>
      </c>
      <c r="D40" s="795">
        <f t="shared" si="1"/>
        <v>7340</v>
      </c>
      <c r="E40" s="796">
        <v>5127</v>
      </c>
      <c r="F40" s="796">
        <f t="shared" si="2"/>
        <v>2213</v>
      </c>
      <c r="G40" s="796">
        <v>2213</v>
      </c>
      <c r="H40" s="796">
        <v>0</v>
      </c>
      <c r="I40" s="796">
        <v>0</v>
      </c>
      <c r="J40" s="796">
        <v>0</v>
      </c>
    </row>
    <row r="41" spans="1:10" x14ac:dyDescent="0.2">
      <c r="A41" s="257">
        <v>30</v>
      </c>
      <c r="B41" s="52" t="s">
        <v>100</v>
      </c>
      <c r="C41" s="794" t="s">
        <v>101</v>
      </c>
      <c r="D41" s="795">
        <f t="shared" si="1"/>
        <v>0</v>
      </c>
      <c r="E41" s="796">
        <v>0</v>
      </c>
      <c r="F41" s="796">
        <f t="shared" si="2"/>
        <v>0</v>
      </c>
      <c r="G41" s="796">
        <v>0</v>
      </c>
      <c r="H41" s="796">
        <v>0</v>
      </c>
      <c r="I41" s="796">
        <v>0</v>
      </c>
      <c r="J41" s="796">
        <v>0</v>
      </c>
    </row>
    <row r="42" spans="1:10" x14ac:dyDescent="0.2">
      <c r="A42" s="257">
        <v>31</v>
      </c>
      <c r="B42" s="264" t="s">
        <v>102</v>
      </c>
      <c r="C42" s="794" t="s">
        <v>103</v>
      </c>
      <c r="D42" s="795">
        <f t="shared" si="1"/>
        <v>4098</v>
      </c>
      <c r="E42" s="796">
        <v>2862</v>
      </c>
      <c r="F42" s="796">
        <f t="shared" si="2"/>
        <v>1236</v>
      </c>
      <c r="G42" s="796">
        <v>1236</v>
      </c>
      <c r="H42" s="796">
        <v>0</v>
      </c>
      <c r="I42" s="796">
        <v>0</v>
      </c>
      <c r="J42" s="796">
        <v>0</v>
      </c>
    </row>
    <row r="43" spans="1:10" x14ac:dyDescent="0.2">
      <c r="A43" s="257">
        <v>32</v>
      </c>
      <c r="B43" s="52" t="s">
        <v>104</v>
      </c>
      <c r="C43" s="794" t="s">
        <v>105</v>
      </c>
      <c r="D43" s="795">
        <f t="shared" si="1"/>
        <v>0</v>
      </c>
      <c r="E43" s="796">
        <v>0</v>
      </c>
      <c r="F43" s="796">
        <f t="shared" si="2"/>
        <v>0</v>
      </c>
      <c r="G43" s="796">
        <v>0</v>
      </c>
      <c r="H43" s="796">
        <v>0</v>
      </c>
      <c r="I43" s="796">
        <v>0</v>
      </c>
      <c r="J43" s="796">
        <v>0</v>
      </c>
    </row>
    <row r="44" spans="1:10" x14ac:dyDescent="0.2">
      <c r="A44" s="257">
        <v>33</v>
      </c>
      <c r="B44" s="49" t="s">
        <v>106</v>
      </c>
      <c r="C44" s="794" t="s">
        <v>107</v>
      </c>
      <c r="D44" s="795">
        <f t="shared" si="1"/>
        <v>0</v>
      </c>
      <c r="E44" s="796">
        <v>0</v>
      </c>
      <c r="F44" s="796">
        <f t="shared" si="2"/>
        <v>0</v>
      </c>
      <c r="G44" s="796">
        <v>0</v>
      </c>
      <c r="H44" s="796">
        <v>0</v>
      </c>
      <c r="I44" s="796">
        <v>0</v>
      </c>
      <c r="J44" s="796">
        <v>0</v>
      </c>
    </row>
    <row r="45" spans="1:10" x14ac:dyDescent="0.2">
      <c r="A45" s="257">
        <v>34</v>
      </c>
      <c r="B45" s="258" t="s">
        <v>108</v>
      </c>
      <c r="C45" s="797" t="s">
        <v>109</v>
      </c>
      <c r="D45" s="795">
        <f t="shared" si="1"/>
        <v>0</v>
      </c>
      <c r="E45" s="796">
        <v>0</v>
      </c>
      <c r="F45" s="796">
        <f t="shared" si="2"/>
        <v>0</v>
      </c>
      <c r="G45" s="796">
        <v>0</v>
      </c>
      <c r="H45" s="796">
        <v>0</v>
      </c>
      <c r="I45" s="796">
        <v>0</v>
      </c>
      <c r="J45" s="796">
        <v>0</v>
      </c>
    </row>
    <row r="46" spans="1:10" x14ac:dyDescent="0.2">
      <c r="A46" s="257">
        <v>35</v>
      </c>
      <c r="B46" s="49" t="s">
        <v>110</v>
      </c>
      <c r="C46" s="794" t="s">
        <v>111</v>
      </c>
      <c r="D46" s="795">
        <f t="shared" si="1"/>
        <v>0</v>
      </c>
      <c r="E46" s="796">
        <v>0</v>
      </c>
      <c r="F46" s="796">
        <f t="shared" si="2"/>
        <v>0</v>
      </c>
      <c r="G46" s="796">
        <v>0</v>
      </c>
      <c r="H46" s="796">
        <v>0</v>
      </c>
      <c r="I46" s="796">
        <v>0</v>
      </c>
      <c r="J46" s="796">
        <v>0</v>
      </c>
    </row>
    <row r="47" spans="1:10" x14ac:dyDescent="0.2">
      <c r="A47" s="257">
        <v>36</v>
      </c>
      <c r="B47" s="49" t="s">
        <v>112</v>
      </c>
      <c r="C47" s="794" t="s">
        <v>113</v>
      </c>
      <c r="D47" s="795">
        <f t="shared" si="1"/>
        <v>0</v>
      </c>
      <c r="E47" s="796">
        <v>0</v>
      </c>
      <c r="F47" s="796">
        <f t="shared" si="2"/>
        <v>0</v>
      </c>
      <c r="G47" s="796">
        <v>0</v>
      </c>
      <c r="H47" s="796">
        <v>0</v>
      </c>
      <c r="I47" s="796">
        <v>0</v>
      </c>
      <c r="J47" s="796">
        <v>0</v>
      </c>
    </row>
    <row r="48" spans="1:10" x14ac:dyDescent="0.2">
      <c r="A48" s="257">
        <v>37</v>
      </c>
      <c r="B48" s="264" t="s">
        <v>114</v>
      </c>
      <c r="C48" s="794" t="s">
        <v>115</v>
      </c>
      <c r="D48" s="795">
        <f t="shared" si="1"/>
        <v>0</v>
      </c>
      <c r="E48" s="796">
        <v>0</v>
      </c>
      <c r="F48" s="796">
        <f t="shared" si="2"/>
        <v>0</v>
      </c>
      <c r="G48" s="796">
        <v>0</v>
      </c>
      <c r="H48" s="796">
        <v>0</v>
      </c>
      <c r="I48" s="796">
        <v>0</v>
      </c>
      <c r="J48" s="796">
        <v>0</v>
      </c>
    </row>
    <row r="49" spans="1:10" x14ac:dyDescent="0.2">
      <c r="A49" s="257">
        <v>38</v>
      </c>
      <c r="B49" s="52" t="s">
        <v>116</v>
      </c>
      <c r="C49" s="794" t="s">
        <v>117</v>
      </c>
      <c r="D49" s="795">
        <f t="shared" si="1"/>
        <v>0</v>
      </c>
      <c r="E49" s="796">
        <v>0</v>
      </c>
      <c r="F49" s="796">
        <f t="shared" si="2"/>
        <v>0</v>
      </c>
      <c r="G49" s="796">
        <v>0</v>
      </c>
      <c r="H49" s="796">
        <v>0</v>
      </c>
      <c r="I49" s="796">
        <v>0</v>
      </c>
      <c r="J49" s="796">
        <v>0</v>
      </c>
    </row>
    <row r="50" spans="1:10" x14ac:dyDescent="0.2">
      <c r="A50" s="257">
        <v>39</v>
      </c>
      <c r="B50" s="264" t="s">
        <v>28</v>
      </c>
      <c r="C50" s="794" t="s">
        <v>29</v>
      </c>
      <c r="D50" s="795">
        <f t="shared" si="1"/>
        <v>13159</v>
      </c>
      <c r="E50" s="796">
        <v>9191</v>
      </c>
      <c r="F50" s="796">
        <f t="shared" si="2"/>
        <v>3968</v>
      </c>
      <c r="G50" s="796">
        <v>3968</v>
      </c>
      <c r="H50" s="796">
        <v>0</v>
      </c>
      <c r="I50" s="796">
        <v>0</v>
      </c>
      <c r="J50" s="796">
        <v>0</v>
      </c>
    </row>
    <row r="51" spans="1:10" x14ac:dyDescent="0.2">
      <c r="A51" s="257">
        <v>40</v>
      </c>
      <c r="B51" s="49" t="s">
        <v>118</v>
      </c>
      <c r="C51" s="794" t="s">
        <v>119</v>
      </c>
      <c r="D51" s="795">
        <f t="shared" si="1"/>
        <v>0</v>
      </c>
      <c r="E51" s="796">
        <v>0</v>
      </c>
      <c r="F51" s="796">
        <f t="shared" si="2"/>
        <v>0</v>
      </c>
      <c r="G51" s="796">
        <v>0</v>
      </c>
      <c r="H51" s="796">
        <v>0</v>
      </c>
      <c r="I51" s="796">
        <v>0</v>
      </c>
      <c r="J51" s="796">
        <v>0</v>
      </c>
    </row>
    <row r="52" spans="1:10" x14ac:dyDescent="0.2">
      <c r="A52" s="257">
        <v>41</v>
      </c>
      <c r="B52" s="49" t="s">
        <v>120</v>
      </c>
      <c r="C52" s="794" t="s">
        <v>121</v>
      </c>
      <c r="D52" s="795">
        <f t="shared" si="1"/>
        <v>0</v>
      </c>
      <c r="E52" s="796">
        <v>0</v>
      </c>
      <c r="F52" s="796">
        <f t="shared" si="2"/>
        <v>0</v>
      </c>
      <c r="G52" s="796">
        <v>0</v>
      </c>
      <c r="H52" s="796">
        <v>0</v>
      </c>
      <c r="I52" s="796">
        <v>0</v>
      </c>
      <c r="J52" s="796">
        <v>0</v>
      </c>
    </row>
    <row r="53" spans="1:10" x14ac:dyDescent="0.2">
      <c r="A53" s="257">
        <v>42</v>
      </c>
      <c r="B53" s="264" t="s">
        <v>122</v>
      </c>
      <c r="C53" s="794" t="s">
        <v>123</v>
      </c>
      <c r="D53" s="795">
        <f t="shared" si="1"/>
        <v>0</v>
      </c>
      <c r="E53" s="796">
        <v>0</v>
      </c>
      <c r="F53" s="796">
        <f t="shared" si="2"/>
        <v>0</v>
      </c>
      <c r="G53" s="796">
        <v>0</v>
      </c>
      <c r="H53" s="796">
        <v>0</v>
      </c>
      <c r="I53" s="796">
        <v>0</v>
      </c>
      <c r="J53" s="796">
        <v>0</v>
      </c>
    </row>
    <row r="54" spans="1:10" x14ac:dyDescent="0.2">
      <c r="A54" s="257">
        <v>43</v>
      </c>
      <c r="B54" s="52" t="s">
        <v>124</v>
      </c>
      <c r="C54" s="794" t="s">
        <v>125</v>
      </c>
      <c r="D54" s="795">
        <f t="shared" si="1"/>
        <v>0</v>
      </c>
      <c r="E54" s="796">
        <v>0</v>
      </c>
      <c r="F54" s="796">
        <f t="shared" si="2"/>
        <v>0</v>
      </c>
      <c r="G54" s="796">
        <v>0</v>
      </c>
      <c r="H54" s="796">
        <v>0</v>
      </c>
      <c r="I54" s="796">
        <v>0</v>
      </c>
      <c r="J54" s="796">
        <v>0</v>
      </c>
    </row>
    <row r="55" spans="1:10" x14ac:dyDescent="0.2">
      <c r="A55" s="257">
        <v>44</v>
      </c>
      <c r="B55" s="264" t="s">
        <v>126</v>
      </c>
      <c r="C55" s="794" t="s">
        <v>127</v>
      </c>
      <c r="D55" s="795">
        <f t="shared" si="1"/>
        <v>0</v>
      </c>
      <c r="E55" s="796">
        <v>0</v>
      </c>
      <c r="F55" s="796">
        <f t="shared" si="2"/>
        <v>0</v>
      </c>
      <c r="G55" s="796">
        <v>0</v>
      </c>
      <c r="H55" s="796">
        <v>0</v>
      </c>
      <c r="I55" s="796">
        <v>0</v>
      </c>
      <c r="J55" s="796">
        <v>0</v>
      </c>
    </row>
    <row r="56" spans="1:10" x14ac:dyDescent="0.2">
      <c r="A56" s="257">
        <v>45</v>
      </c>
      <c r="B56" s="52" t="s">
        <v>128</v>
      </c>
      <c r="C56" s="794" t="s">
        <v>129</v>
      </c>
      <c r="D56" s="795">
        <f t="shared" si="1"/>
        <v>0</v>
      </c>
      <c r="E56" s="796">
        <v>0</v>
      </c>
      <c r="F56" s="796">
        <f t="shared" si="2"/>
        <v>0</v>
      </c>
      <c r="G56" s="796">
        <v>0</v>
      </c>
      <c r="H56" s="796">
        <v>0</v>
      </c>
      <c r="I56" s="796">
        <v>0</v>
      </c>
      <c r="J56" s="796">
        <v>0</v>
      </c>
    </row>
    <row r="57" spans="1:10" x14ac:dyDescent="0.2">
      <c r="A57" s="257">
        <v>46</v>
      </c>
      <c r="B57" s="264" t="s">
        <v>130</v>
      </c>
      <c r="C57" s="794" t="s">
        <v>131</v>
      </c>
      <c r="D57" s="795">
        <f t="shared" si="1"/>
        <v>0</v>
      </c>
      <c r="E57" s="796">
        <v>0</v>
      </c>
      <c r="F57" s="796">
        <f t="shared" si="2"/>
        <v>0</v>
      </c>
      <c r="G57" s="796">
        <v>0</v>
      </c>
      <c r="H57" s="796">
        <v>0</v>
      </c>
      <c r="I57" s="796">
        <v>0</v>
      </c>
      <c r="J57" s="796">
        <v>0</v>
      </c>
    </row>
    <row r="58" spans="1:10" x14ac:dyDescent="0.2">
      <c r="A58" s="257">
        <v>47</v>
      </c>
      <c r="B58" s="52" t="s">
        <v>132</v>
      </c>
      <c r="C58" s="794" t="s">
        <v>133</v>
      </c>
      <c r="D58" s="795">
        <f t="shared" si="1"/>
        <v>0</v>
      </c>
      <c r="E58" s="796">
        <v>0</v>
      </c>
      <c r="F58" s="796">
        <f t="shared" si="2"/>
        <v>0</v>
      </c>
      <c r="G58" s="796">
        <v>0</v>
      </c>
      <c r="H58" s="796">
        <v>0</v>
      </c>
      <c r="I58" s="796">
        <v>0</v>
      </c>
      <c r="J58" s="796">
        <v>0</v>
      </c>
    </row>
    <row r="59" spans="1:10" x14ac:dyDescent="0.2">
      <c r="A59" s="257">
        <v>48</v>
      </c>
      <c r="B59" s="264" t="s">
        <v>134</v>
      </c>
      <c r="C59" s="794" t="s">
        <v>135</v>
      </c>
      <c r="D59" s="795">
        <f t="shared" si="1"/>
        <v>0</v>
      </c>
      <c r="E59" s="796">
        <v>0</v>
      </c>
      <c r="F59" s="796">
        <f t="shared" si="2"/>
        <v>0</v>
      </c>
      <c r="G59" s="796">
        <v>0</v>
      </c>
      <c r="H59" s="796">
        <v>0</v>
      </c>
      <c r="I59" s="796">
        <v>0</v>
      </c>
      <c r="J59" s="796">
        <v>0</v>
      </c>
    </row>
    <row r="60" spans="1:10" x14ac:dyDescent="0.2">
      <c r="A60" s="257">
        <v>49</v>
      </c>
      <c r="B60" s="264" t="s">
        <v>136</v>
      </c>
      <c r="C60" s="794" t="s">
        <v>137</v>
      </c>
      <c r="D60" s="795">
        <f t="shared" si="1"/>
        <v>0</v>
      </c>
      <c r="E60" s="796">
        <v>0</v>
      </c>
      <c r="F60" s="796">
        <f t="shared" si="2"/>
        <v>0</v>
      </c>
      <c r="G60" s="796">
        <v>0</v>
      </c>
      <c r="H60" s="796">
        <v>0</v>
      </c>
      <c r="I60" s="796">
        <v>0</v>
      </c>
      <c r="J60" s="796">
        <v>0</v>
      </c>
    </row>
    <row r="61" spans="1:10" x14ac:dyDescent="0.2">
      <c r="A61" s="257">
        <v>50</v>
      </c>
      <c r="B61" s="264" t="s">
        <v>138</v>
      </c>
      <c r="C61" s="794" t="s">
        <v>139</v>
      </c>
      <c r="D61" s="795">
        <f t="shared" si="1"/>
        <v>0</v>
      </c>
      <c r="E61" s="796">
        <v>0</v>
      </c>
      <c r="F61" s="796">
        <f t="shared" si="2"/>
        <v>0</v>
      </c>
      <c r="G61" s="796">
        <v>0</v>
      </c>
      <c r="H61" s="796">
        <v>0</v>
      </c>
      <c r="I61" s="796">
        <v>0</v>
      </c>
      <c r="J61" s="796">
        <v>0</v>
      </c>
    </row>
    <row r="62" spans="1:10" x14ac:dyDescent="0.2">
      <c r="A62" s="257">
        <v>51</v>
      </c>
      <c r="B62" s="264" t="s">
        <v>140</v>
      </c>
      <c r="C62" s="794" t="s">
        <v>141</v>
      </c>
      <c r="D62" s="795">
        <f t="shared" si="1"/>
        <v>0</v>
      </c>
      <c r="E62" s="796">
        <v>0</v>
      </c>
      <c r="F62" s="796">
        <f t="shared" si="2"/>
        <v>0</v>
      </c>
      <c r="G62" s="796">
        <v>0</v>
      </c>
      <c r="H62" s="796">
        <v>0</v>
      </c>
      <c r="I62" s="796">
        <v>0</v>
      </c>
      <c r="J62" s="796">
        <v>0</v>
      </c>
    </row>
    <row r="63" spans="1:10" x14ac:dyDescent="0.2">
      <c r="A63" s="257">
        <v>52</v>
      </c>
      <c r="B63" s="52" t="s">
        <v>142</v>
      </c>
      <c r="C63" s="794" t="s">
        <v>143</v>
      </c>
      <c r="D63" s="795">
        <f t="shared" si="1"/>
        <v>0</v>
      </c>
      <c r="E63" s="796">
        <v>0</v>
      </c>
      <c r="F63" s="796">
        <f t="shared" si="2"/>
        <v>0</v>
      </c>
      <c r="G63" s="796">
        <v>0</v>
      </c>
      <c r="H63" s="796">
        <v>0</v>
      </c>
      <c r="I63" s="796">
        <v>0</v>
      </c>
      <c r="J63" s="796">
        <v>0</v>
      </c>
    </row>
    <row r="64" spans="1:10" x14ac:dyDescent="0.2">
      <c r="A64" s="257">
        <v>53</v>
      </c>
      <c r="B64" s="264" t="s">
        <v>144</v>
      </c>
      <c r="C64" s="794" t="s">
        <v>145</v>
      </c>
      <c r="D64" s="795">
        <f t="shared" si="1"/>
        <v>0</v>
      </c>
      <c r="E64" s="796">
        <v>0</v>
      </c>
      <c r="F64" s="796">
        <f t="shared" si="2"/>
        <v>0</v>
      </c>
      <c r="G64" s="796">
        <v>0</v>
      </c>
      <c r="H64" s="796">
        <v>0</v>
      </c>
      <c r="I64" s="796">
        <v>0</v>
      </c>
      <c r="J64" s="796">
        <v>0</v>
      </c>
    </row>
    <row r="65" spans="1:10" x14ac:dyDescent="0.2">
      <c r="A65" s="257">
        <v>54</v>
      </c>
      <c r="B65" s="264" t="s">
        <v>146</v>
      </c>
      <c r="C65" s="794" t="s">
        <v>147</v>
      </c>
      <c r="D65" s="795">
        <f t="shared" si="1"/>
        <v>0</v>
      </c>
      <c r="E65" s="796">
        <v>0</v>
      </c>
      <c r="F65" s="796">
        <f t="shared" si="2"/>
        <v>0</v>
      </c>
      <c r="G65" s="796">
        <v>0</v>
      </c>
      <c r="H65" s="796">
        <v>0</v>
      </c>
      <c r="I65" s="796">
        <v>0</v>
      </c>
      <c r="J65" s="796">
        <v>0</v>
      </c>
    </row>
    <row r="66" spans="1:10" x14ac:dyDescent="0.2">
      <c r="A66" s="257">
        <v>55</v>
      </c>
      <c r="B66" s="264" t="s">
        <v>148</v>
      </c>
      <c r="C66" s="794" t="s">
        <v>149</v>
      </c>
      <c r="D66" s="795">
        <f t="shared" si="1"/>
        <v>0</v>
      </c>
      <c r="E66" s="796">
        <v>0</v>
      </c>
      <c r="F66" s="796">
        <f t="shared" si="2"/>
        <v>0</v>
      </c>
      <c r="G66" s="796">
        <v>0</v>
      </c>
      <c r="H66" s="796">
        <v>0</v>
      </c>
      <c r="I66" s="796">
        <v>0</v>
      </c>
      <c r="J66" s="796">
        <v>0</v>
      </c>
    </row>
    <row r="67" spans="1:10" x14ac:dyDescent="0.2">
      <c r="A67" s="257">
        <v>56</v>
      </c>
      <c r="B67" s="52" t="s">
        <v>150</v>
      </c>
      <c r="C67" s="794" t="s">
        <v>151</v>
      </c>
      <c r="D67" s="795">
        <f t="shared" si="1"/>
        <v>0</v>
      </c>
      <c r="E67" s="796">
        <v>0</v>
      </c>
      <c r="F67" s="796">
        <f t="shared" si="2"/>
        <v>0</v>
      </c>
      <c r="G67" s="796">
        <v>0</v>
      </c>
      <c r="H67" s="796">
        <v>0</v>
      </c>
      <c r="I67" s="796">
        <v>0</v>
      </c>
      <c r="J67" s="796">
        <v>0</v>
      </c>
    </row>
    <row r="68" spans="1:10" x14ac:dyDescent="0.2">
      <c r="A68" s="257">
        <v>57</v>
      </c>
      <c r="B68" s="49" t="s">
        <v>152</v>
      </c>
      <c r="C68" s="794" t="s">
        <v>153</v>
      </c>
      <c r="D68" s="795">
        <f t="shared" si="1"/>
        <v>0</v>
      </c>
      <c r="E68" s="796">
        <v>0</v>
      </c>
      <c r="F68" s="796">
        <f t="shared" si="2"/>
        <v>0</v>
      </c>
      <c r="G68" s="796">
        <v>0</v>
      </c>
      <c r="H68" s="796">
        <v>0</v>
      </c>
      <c r="I68" s="796">
        <v>0</v>
      </c>
      <c r="J68" s="796">
        <v>0</v>
      </c>
    </row>
    <row r="69" spans="1:10" x14ac:dyDescent="0.2">
      <c r="A69" s="257">
        <v>58</v>
      </c>
      <c r="B69" s="52" t="s">
        <v>154</v>
      </c>
      <c r="C69" s="794" t="s">
        <v>155</v>
      </c>
      <c r="D69" s="795">
        <f t="shared" si="1"/>
        <v>0</v>
      </c>
      <c r="E69" s="796">
        <v>0</v>
      </c>
      <c r="F69" s="796">
        <f t="shared" si="2"/>
        <v>0</v>
      </c>
      <c r="G69" s="796">
        <v>0</v>
      </c>
      <c r="H69" s="796">
        <v>0</v>
      </c>
      <c r="I69" s="796">
        <v>0</v>
      </c>
      <c r="J69" s="796">
        <v>0</v>
      </c>
    </row>
    <row r="70" spans="1:10" x14ac:dyDescent="0.2">
      <c r="A70" s="257">
        <v>59</v>
      </c>
      <c r="B70" s="264" t="s">
        <v>156</v>
      </c>
      <c r="C70" s="794" t="s">
        <v>157</v>
      </c>
      <c r="D70" s="795">
        <f t="shared" si="1"/>
        <v>0</v>
      </c>
      <c r="E70" s="796">
        <v>0</v>
      </c>
      <c r="F70" s="796">
        <f t="shared" si="2"/>
        <v>0</v>
      </c>
      <c r="G70" s="796">
        <v>0</v>
      </c>
      <c r="H70" s="796">
        <v>0</v>
      </c>
      <c r="I70" s="796">
        <v>0</v>
      </c>
      <c r="J70" s="796">
        <v>0</v>
      </c>
    </row>
    <row r="71" spans="1:10" x14ac:dyDescent="0.2">
      <c r="A71" s="257">
        <v>60</v>
      </c>
      <c r="B71" s="49" t="s">
        <v>158</v>
      </c>
      <c r="C71" s="794" t="s">
        <v>159</v>
      </c>
      <c r="D71" s="795">
        <f t="shared" si="1"/>
        <v>0</v>
      </c>
      <c r="E71" s="796">
        <v>0</v>
      </c>
      <c r="F71" s="796">
        <f t="shared" si="2"/>
        <v>0</v>
      </c>
      <c r="G71" s="796">
        <v>0</v>
      </c>
      <c r="H71" s="796">
        <v>0</v>
      </c>
      <c r="I71" s="796">
        <v>0</v>
      </c>
      <c r="J71" s="796">
        <v>0</v>
      </c>
    </row>
    <row r="72" spans="1:10" x14ac:dyDescent="0.2">
      <c r="A72" s="257">
        <v>61</v>
      </c>
      <c r="B72" s="49" t="s">
        <v>160</v>
      </c>
      <c r="C72" s="794" t="s">
        <v>161</v>
      </c>
      <c r="D72" s="795">
        <f t="shared" si="1"/>
        <v>0</v>
      </c>
      <c r="E72" s="796">
        <v>0</v>
      </c>
      <c r="F72" s="796">
        <f t="shared" si="2"/>
        <v>0</v>
      </c>
      <c r="G72" s="796">
        <v>0</v>
      </c>
      <c r="H72" s="796">
        <v>0</v>
      </c>
      <c r="I72" s="796">
        <v>0</v>
      </c>
      <c r="J72" s="796">
        <v>0</v>
      </c>
    </row>
    <row r="73" spans="1:10" x14ac:dyDescent="0.2">
      <c r="A73" s="257">
        <v>62</v>
      </c>
      <c r="B73" s="52" t="s">
        <v>162</v>
      </c>
      <c r="C73" s="794" t="s">
        <v>163</v>
      </c>
      <c r="D73" s="795">
        <f t="shared" si="1"/>
        <v>0</v>
      </c>
      <c r="E73" s="796">
        <v>0</v>
      </c>
      <c r="F73" s="796">
        <f t="shared" si="2"/>
        <v>0</v>
      </c>
      <c r="G73" s="796">
        <v>0</v>
      </c>
      <c r="H73" s="796">
        <v>0</v>
      </c>
      <c r="I73" s="796">
        <v>0</v>
      </c>
      <c r="J73" s="796">
        <v>0</v>
      </c>
    </row>
    <row r="74" spans="1:10" x14ac:dyDescent="0.2">
      <c r="A74" s="257">
        <v>63</v>
      </c>
      <c r="B74" s="52" t="s">
        <v>164</v>
      </c>
      <c r="C74" s="794" t="s">
        <v>165</v>
      </c>
      <c r="D74" s="795">
        <f t="shared" si="1"/>
        <v>3301</v>
      </c>
      <c r="E74" s="796">
        <v>2306</v>
      </c>
      <c r="F74" s="796">
        <f t="shared" si="2"/>
        <v>995</v>
      </c>
      <c r="G74" s="796">
        <v>995</v>
      </c>
      <c r="H74" s="796">
        <v>0</v>
      </c>
      <c r="I74" s="796">
        <v>0</v>
      </c>
      <c r="J74" s="796">
        <v>0</v>
      </c>
    </row>
    <row r="75" spans="1:10" x14ac:dyDescent="0.2">
      <c r="A75" s="257">
        <v>64</v>
      </c>
      <c r="B75" s="52" t="s">
        <v>166</v>
      </c>
      <c r="C75" s="794" t="s">
        <v>167</v>
      </c>
      <c r="D75" s="795">
        <f t="shared" si="1"/>
        <v>0</v>
      </c>
      <c r="E75" s="796">
        <v>0</v>
      </c>
      <c r="F75" s="796">
        <f t="shared" si="2"/>
        <v>0</v>
      </c>
      <c r="G75" s="796">
        <v>0</v>
      </c>
      <c r="H75" s="796">
        <v>0</v>
      </c>
      <c r="I75" s="796">
        <v>0</v>
      </c>
      <c r="J75" s="796">
        <v>0</v>
      </c>
    </row>
    <row r="76" spans="1:10" x14ac:dyDescent="0.2">
      <c r="A76" s="257">
        <v>65</v>
      </c>
      <c r="B76" s="52" t="s">
        <v>168</v>
      </c>
      <c r="C76" s="794" t="s">
        <v>169</v>
      </c>
      <c r="D76" s="795">
        <f t="shared" si="1"/>
        <v>0</v>
      </c>
      <c r="E76" s="796">
        <v>0</v>
      </c>
      <c r="F76" s="796">
        <f t="shared" si="2"/>
        <v>0</v>
      </c>
      <c r="G76" s="796">
        <v>0</v>
      </c>
      <c r="H76" s="796">
        <v>0</v>
      </c>
      <c r="I76" s="796">
        <v>0</v>
      </c>
      <c r="J76" s="796">
        <v>0</v>
      </c>
    </row>
    <row r="77" spans="1:10" x14ac:dyDescent="0.2">
      <c r="A77" s="257">
        <v>66</v>
      </c>
      <c r="B77" s="49" t="s">
        <v>170</v>
      </c>
      <c r="C77" s="794" t="s">
        <v>171</v>
      </c>
      <c r="D77" s="795">
        <f t="shared" ref="D77:D140" si="3">E77+F77+H77+I77</f>
        <v>0</v>
      </c>
      <c r="E77" s="796">
        <v>0</v>
      </c>
      <c r="F77" s="796">
        <f t="shared" ref="F77:F140" si="4">G77</f>
        <v>0</v>
      </c>
      <c r="G77" s="796">
        <v>0</v>
      </c>
      <c r="H77" s="796">
        <v>0</v>
      </c>
      <c r="I77" s="796">
        <v>0</v>
      </c>
      <c r="J77" s="796">
        <v>0</v>
      </c>
    </row>
    <row r="78" spans="1:10" x14ac:dyDescent="0.2">
      <c r="A78" s="257">
        <v>67</v>
      </c>
      <c r="B78" s="52" t="s">
        <v>172</v>
      </c>
      <c r="C78" s="794" t="s">
        <v>173</v>
      </c>
      <c r="D78" s="795">
        <f t="shared" si="3"/>
        <v>0</v>
      </c>
      <c r="E78" s="796">
        <v>0</v>
      </c>
      <c r="F78" s="796">
        <f t="shared" si="4"/>
        <v>0</v>
      </c>
      <c r="G78" s="796">
        <v>0</v>
      </c>
      <c r="H78" s="796">
        <v>0</v>
      </c>
      <c r="I78" s="796">
        <v>0</v>
      </c>
      <c r="J78" s="796">
        <v>0</v>
      </c>
    </row>
    <row r="79" spans="1:10" x14ac:dyDescent="0.2">
      <c r="A79" s="257">
        <v>68</v>
      </c>
      <c r="B79" s="52" t="s">
        <v>174</v>
      </c>
      <c r="C79" s="794" t="s">
        <v>175</v>
      </c>
      <c r="D79" s="795">
        <f t="shared" si="3"/>
        <v>0</v>
      </c>
      <c r="E79" s="796">
        <v>0</v>
      </c>
      <c r="F79" s="796">
        <f t="shared" si="4"/>
        <v>0</v>
      </c>
      <c r="G79" s="796">
        <v>0</v>
      </c>
      <c r="H79" s="796">
        <v>0</v>
      </c>
      <c r="I79" s="796">
        <v>0</v>
      </c>
      <c r="J79" s="796">
        <v>0</v>
      </c>
    </row>
    <row r="80" spans="1:10" x14ac:dyDescent="0.2">
      <c r="A80" s="257">
        <v>69</v>
      </c>
      <c r="B80" s="49" t="s">
        <v>176</v>
      </c>
      <c r="C80" s="794" t="s">
        <v>177</v>
      </c>
      <c r="D80" s="795">
        <f t="shared" si="3"/>
        <v>0</v>
      </c>
      <c r="E80" s="796">
        <v>0</v>
      </c>
      <c r="F80" s="796">
        <f t="shared" si="4"/>
        <v>0</v>
      </c>
      <c r="G80" s="796">
        <v>0</v>
      </c>
      <c r="H80" s="796">
        <v>0</v>
      </c>
      <c r="I80" s="796">
        <v>0</v>
      </c>
      <c r="J80" s="796">
        <v>0</v>
      </c>
    </row>
    <row r="81" spans="1:10" x14ac:dyDescent="0.2">
      <c r="A81" s="257">
        <v>70</v>
      </c>
      <c r="B81" s="49" t="s">
        <v>178</v>
      </c>
      <c r="C81" s="794" t="s">
        <v>179</v>
      </c>
      <c r="D81" s="795">
        <f t="shared" si="3"/>
        <v>0</v>
      </c>
      <c r="E81" s="796">
        <v>0</v>
      </c>
      <c r="F81" s="796">
        <f t="shared" si="4"/>
        <v>0</v>
      </c>
      <c r="G81" s="796">
        <v>0</v>
      </c>
      <c r="H81" s="796">
        <v>0</v>
      </c>
      <c r="I81" s="796">
        <v>0</v>
      </c>
      <c r="J81" s="796">
        <v>0</v>
      </c>
    </row>
    <row r="82" spans="1:10" x14ac:dyDescent="0.2">
      <c r="A82" s="257">
        <v>71</v>
      </c>
      <c r="B82" s="49" t="s">
        <v>180</v>
      </c>
      <c r="C82" s="794" t="s">
        <v>181</v>
      </c>
      <c r="D82" s="795">
        <f t="shared" si="3"/>
        <v>0</v>
      </c>
      <c r="E82" s="796">
        <v>0</v>
      </c>
      <c r="F82" s="796">
        <f t="shared" si="4"/>
        <v>0</v>
      </c>
      <c r="G82" s="796">
        <v>0</v>
      </c>
      <c r="H82" s="796">
        <v>0</v>
      </c>
      <c r="I82" s="796">
        <v>0</v>
      </c>
      <c r="J82" s="796">
        <v>0</v>
      </c>
    </row>
    <row r="83" spans="1:10" x14ac:dyDescent="0.2">
      <c r="A83" s="257">
        <v>72</v>
      </c>
      <c r="B83" s="264" t="s">
        <v>182</v>
      </c>
      <c r="C83" s="794" t="s">
        <v>183</v>
      </c>
      <c r="D83" s="795">
        <f t="shared" si="3"/>
        <v>5913</v>
      </c>
      <c r="E83" s="796">
        <v>4130</v>
      </c>
      <c r="F83" s="796">
        <f t="shared" si="4"/>
        <v>1783</v>
      </c>
      <c r="G83" s="796">
        <v>1783</v>
      </c>
      <c r="H83" s="796">
        <v>0</v>
      </c>
      <c r="I83" s="796">
        <v>0</v>
      </c>
      <c r="J83" s="796">
        <v>0</v>
      </c>
    </row>
    <row r="84" spans="1:10" x14ac:dyDescent="0.2">
      <c r="A84" s="257">
        <v>73</v>
      </c>
      <c r="B84" s="49" t="s">
        <v>184</v>
      </c>
      <c r="C84" s="794" t="s">
        <v>185</v>
      </c>
      <c r="D84" s="795">
        <f t="shared" si="3"/>
        <v>6649</v>
      </c>
      <c r="E84" s="796">
        <v>4644</v>
      </c>
      <c r="F84" s="796">
        <f t="shared" si="4"/>
        <v>2005</v>
      </c>
      <c r="G84" s="796">
        <v>2005</v>
      </c>
      <c r="H84" s="796">
        <v>0</v>
      </c>
      <c r="I84" s="796">
        <v>0</v>
      </c>
      <c r="J84" s="796">
        <v>0</v>
      </c>
    </row>
    <row r="85" spans="1:10" x14ac:dyDescent="0.2">
      <c r="A85" s="257">
        <v>74</v>
      </c>
      <c r="B85" s="264" t="s">
        <v>186</v>
      </c>
      <c r="C85" s="794" t="s">
        <v>187</v>
      </c>
      <c r="D85" s="795">
        <f t="shared" si="3"/>
        <v>6053</v>
      </c>
      <c r="E85" s="796">
        <v>4228</v>
      </c>
      <c r="F85" s="796">
        <f t="shared" si="4"/>
        <v>1825</v>
      </c>
      <c r="G85" s="796">
        <v>1825</v>
      </c>
      <c r="H85" s="796">
        <v>0</v>
      </c>
      <c r="I85" s="796">
        <v>0</v>
      </c>
      <c r="J85" s="796">
        <v>0</v>
      </c>
    </row>
    <row r="86" spans="1:10" x14ac:dyDescent="0.2">
      <c r="A86" s="257">
        <v>75</v>
      </c>
      <c r="B86" s="49" t="s">
        <v>188</v>
      </c>
      <c r="C86" s="794" t="s">
        <v>461</v>
      </c>
      <c r="D86" s="795">
        <f t="shared" si="3"/>
        <v>0</v>
      </c>
      <c r="E86" s="796">
        <v>0</v>
      </c>
      <c r="F86" s="796">
        <f t="shared" si="4"/>
        <v>0</v>
      </c>
      <c r="G86" s="796">
        <v>0</v>
      </c>
      <c r="H86" s="796">
        <v>0</v>
      </c>
      <c r="I86" s="796">
        <v>0</v>
      </c>
      <c r="J86" s="796">
        <v>0</v>
      </c>
    </row>
    <row r="87" spans="1:10" x14ac:dyDescent="0.2">
      <c r="A87" s="257">
        <v>76</v>
      </c>
      <c r="B87" s="49" t="s">
        <v>190</v>
      </c>
      <c r="C87" s="794" t="s">
        <v>191</v>
      </c>
      <c r="D87" s="795">
        <f t="shared" si="3"/>
        <v>7790</v>
      </c>
      <c r="E87" s="796">
        <v>5441</v>
      </c>
      <c r="F87" s="796">
        <f t="shared" si="4"/>
        <v>2349</v>
      </c>
      <c r="G87" s="796">
        <v>2349</v>
      </c>
      <c r="H87" s="796">
        <v>0</v>
      </c>
      <c r="I87" s="796">
        <v>0</v>
      </c>
      <c r="J87" s="796">
        <v>0</v>
      </c>
    </row>
    <row r="88" spans="1:10" x14ac:dyDescent="0.2">
      <c r="A88" s="257">
        <v>77</v>
      </c>
      <c r="B88" s="49" t="s">
        <v>192</v>
      </c>
      <c r="C88" s="794" t="s">
        <v>193</v>
      </c>
      <c r="D88" s="795">
        <f t="shared" si="3"/>
        <v>0</v>
      </c>
      <c r="E88" s="796">
        <v>0</v>
      </c>
      <c r="F88" s="796">
        <f t="shared" si="4"/>
        <v>0</v>
      </c>
      <c r="G88" s="796">
        <v>0</v>
      </c>
      <c r="H88" s="796">
        <v>0</v>
      </c>
      <c r="I88" s="796">
        <v>0</v>
      </c>
      <c r="J88" s="796">
        <v>0</v>
      </c>
    </row>
    <row r="89" spans="1:10" x14ac:dyDescent="0.2">
      <c r="A89" s="257">
        <v>78</v>
      </c>
      <c r="B89" s="49" t="s">
        <v>194</v>
      </c>
      <c r="C89" s="794" t="s">
        <v>195</v>
      </c>
      <c r="D89" s="795">
        <f t="shared" si="3"/>
        <v>22650</v>
      </c>
      <c r="E89" s="796">
        <v>15260</v>
      </c>
      <c r="F89" s="796">
        <f t="shared" si="4"/>
        <v>6550</v>
      </c>
      <c r="G89" s="796">
        <v>6550</v>
      </c>
      <c r="H89" s="796">
        <v>560</v>
      </c>
      <c r="I89" s="796">
        <v>280</v>
      </c>
      <c r="J89" s="796">
        <v>280</v>
      </c>
    </row>
    <row r="90" spans="1:10" x14ac:dyDescent="0.2">
      <c r="A90" s="257">
        <v>79</v>
      </c>
      <c r="B90" s="49" t="s">
        <v>196</v>
      </c>
      <c r="C90" s="794" t="s">
        <v>197</v>
      </c>
      <c r="D90" s="795">
        <f t="shared" si="3"/>
        <v>0</v>
      </c>
      <c r="E90" s="796">
        <v>0</v>
      </c>
      <c r="F90" s="796">
        <f t="shared" si="4"/>
        <v>0</v>
      </c>
      <c r="G90" s="796">
        <v>0</v>
      </c>
      <c r="H90" s="796">
        <v>0</v>
      </c>
      <c r="I90" s="796">
        <v>0</v>
      </c>
      <c r="J90" s="796">
        <v>0</v>
      </c>
    </row>
    <row r="91" spans="1:10" x14ac:dyDescent="0.2">
      <c r="A91" s="257">
        <v>80</v>
      </c>
      <c r="B91" s="52" t="s">
        <v>30</v>
      </c>
      <c r="C91" s="794" t="s">
        <v>198</v>
      </c>
      <c r="D91" s="795">
        <f t="shared" si="3"/>
        <v>0</v>
      </c>
      <c r="E91" s="796">
        <v>0</v>
      </c>
      <c r="F91" s="796">
        <f t="shared" si="4"/>
        <v>0</v>
      </c>
      <c r="G91" s="796">
        <v>0</v>
      </c>
      <c r="H91" s="796">
        <v>0</v>
      </c>
      <c r="I91" s="796">
        <v>0</v>
      </c>
      <c r="J91" s="796">
        <v>0</v>
      </c>
    </row>
    <row r="92" spans="1:10" x14ac:dyDescent="0.2">
      <c r="A92" s="1066">
        <v>81</v>
      </c>
      <c r="B92" s="907" t="s">
        <v>199</v>
      </c>
      <c r="C92" s="798" t="s">
        <v>200</v>
      </c>
      <c r="D92" s="795">
        <f t="shared" si="3"/>
        <v>0</v>
      </c>
      <c r="E92" s="796">
        <v>0</v>
      </c>
      <c r="F92" s="796">
        <f t="shared" si="4"/>
        <v>0</v>
      </c>
      <c r="G92" s="796">
        <v>0</v>
      </c>
      <c r="H92" s="796">
        <v>0</v>
      </c>
      <c r="I92" s="796">
        <v>0</v>
      </c>
      <c r="J92" s="796">
        <v>0</v>
      </c>
    </row>
    <row r="93" spans="1:10" ht="24" x14ac:dyDescent="0.2">
      <c r="A93" s="1067"/>
      <c r="B93" s="908"/>
      <c r="C93" s="794" t="s">
        <v>201</v>
      </c>
      <c r="D93" s="795">
        <f t="shared" si="3"/>
        <v>0</v>
      </c>
      <c r="E93" s="796">
        <v>0</v>
      </c>
      <c r="F93" s="796">
        <f t="shared" si="4"/>
        <v>0</v>
      </c>
      <c r="G93" s="796">
        <v>0</v>
      </c>
      <c r="H93" s="796">
        <v>0</v>
      </c>
      <c r="I93" s="796">
        <v>0</v>
      </c>
      <c r="J93" s="796">
        <v>0</v>
      </c>
    </row>
    <row r="94" spans="1:10" x14ac:dyDescent="0.2">
      <c r="A94" s="1067"/>
      <c r="B94" s="908"/>
      <c r="C94" s="794" t="s">
        <v>202</v>
      </c>
      <c r="D94" s="795">
        <f t="shared" si="3"/>
        <v>0</v>
      </c>
      <c r="E94" s="796">
        <v>0</v>
      </c>
      <c r="F94" s="796">
        <f t="shared" si="4"/>
        <v>0</v>
      </c>
      <c r="G94" s="796">
        <v>0</v>
      </c>
      <c r="H94" s="796">
        <v>0</v>
      </c>
      <c r="I94" s="796">
        <v>0</v>
      </c>
      <c r="J94" s="796">
        <v>0</v>
      </c>
    </row>
    <row r="95" spans="1:10" ht="24" x14ac:dyDescent="0.2">
      <c r="A95" s="1068"/>
      <c r="B95" s="909"/>
      <c r="C95" s="799" t="s">
        <v>203</v>
      </c>
      <c r="D95" s="795">
        <f t="shared" si="3"/>
        <v>0</v>
      </c>
      <c r="E95" s="796">
        <v>0</v>
      </c>
      <c r="F95" s="796">
        <f t="shared" si="4"/>
        <v>0</v>
      </c>
      <c r="G95" s="796">
        <v>0</v>
      </c>
      <c r="H95" s="796">
        <v>0</v>
      </c>
      <c r="I95" s="796">
        <v>0</v>
      </c>
      <c r="J95" s="796">
        <v>0</v>
      </c>
    </row>
    <row r="96" spans="1:10" x14ac:dyDescent="0.2">
      <c r="A96" s="257">
        <v>82</v>
      </c>
      <c r="B96" s="52" t="s">
        <v>204</v>
      </c>
      <c r="C96" s="794" t="s">
        <v>205</v>
      </c>
      <c r="D96" s="795">
        <f t="shared" si="3"/>
        <v>0</v>
      </c>
      <c r="E96" s="796">
        <v>0</v>
      </c>
      <c r="F96" s="796">
        <f t="shared" si="4"/>
        <v>0</v>
      </c>
      <c r="G96" s="796">
        <v>0</v>
      </c>
      <c r="H96" s="796">
        <v>0</v>
      </c>
      <c r="I96" s="796">
        <v>0</v>
      </c>
      <c r="J96" s="796">
        <v>0</v>
      </c>
    </row>
    <row r="97" spans="1:10" x14ac:dyDescent="0.2">
      <c r="A97" s="257">
        <v>83</v>
      </c>
      <c r="B97" s="52" t="s">
        <v>206</v>
      </c>
      <c r="C97" s="794" t="s">
        <v>207</v>
      </c>
      <c r="D97" s="795">
        <f t="shared" si="3"/>
        <v>0</v>
      </c>
      <c r="E97" s="796">
        <v>0</v>
      </c>
      <c r="F97" s="796">
        <f t="shared" si="4"/>
        <v>0</v>
      </c>
      <c r="G97" s="796">
        <v>0</v>
      </c>
      <c r="H97" s="796">
        <v>0</v>
      </c>
      <c r="I97" s="796">
        <v>0</v>
      </c>
      <c r="J97" s="796">
        <v>0</v>
      </c>
    </row>
    <row r="98" spans="1:10" x14ac:dyDescent="0.2">
      <c r="A98" s="257">
        <v>84</v>
      </c>
      <c r="B98" s="264" t="s">
        <v>208</v>
      </c>
      <c r="C98" s="794" t="s">
        <v>209</v>
      </c>
      <c r="D98" s="795">
        <f t="shared" si="3"/>
        <v>0</v>
      </c>
      <c r="E98" s="796">
        <v>0</v>
      </c>
      <c r="F98" s="796">
        <f t="shared" si="4"/>
        <v>0</v>
      </c>
      <c r="G98" s="796">
        <v>0</v>
      </c>
      <c r="H98" s="796">
        <v>0</v>
      </c>
      <c r="I98" s="796">
        <v>0</v>
      </c>
      <c r="J98" s="796">
        <v>0</v>
      </c>
    </row>
    <row r="99" spans="1:10" x14ac:dyDescent="0.2">
      <c r="A99" s="257">
        <v>85</v>
      </c>
      <c r="B99" s="52" t="s">
        <v>210</v>
      </c>
      <c r="C99" s="794" t="s">
        <v>211</v>
      </c>
      <c r="D99" s="795">
        <f t="shared" si="3"/>
        <v>0</v>
      </c>
      <c r="E99" s="796">
        <v>0</v>
      </c>
      <c r="F99" s="796">
        <f t="shared" si="4"/>
        <v>0</v>
      </c>
      <c r="G99" s="796">
        <v>0</v>
      </c>
      <c r="H99" s="796">
        <v>0</v>
      </c>
      <c r="I99" s="796">
        <v>0</v>
      </c>
      <c r="J99" s="796">
        <v>0</v>
      </c>
    </row>
    <row r="100" spans="1:10" x14ac:dyDescent="0.2">
      <c r="A100" s="257">
        <v>86</v>
      </c>
      <c r="B100" s="264" t="s">
        <v>212</v>
      </c>
      <c r="C100" s="794" t="s">
        <v>213</v>
      </c>
      <c r="D100" s="795">
        <f t="shared" si="3"/>
        <v>0</v>
      </c>
      <c r="E100" s="796">
        <v>0</v>
      </c>
      <c r="F100" s="796">
        <f t="shared" si="4"/>
        <v>0</v>
      </c>
      <c r="G100" s="796">
        <v>0</v>
      </c>
      <c r="H100" s="796">
        <v>0</v>
      </c>
      <c r="I100" s="796">
        <v>0</v>
      </c>
      <c r="J100" s="796">
        <v>0</v>
      </c>
    </row>
    <row r="101" spans="1:10" x14ac:dyDescent="0.2">
      <c r="A101" s="257">
        <v>87</v>
      </c>
      <c r="B101" s="264" t="s">
        <v>214</v>
      </c>
      <c r="C101" s="794" t="s">
        <v>215</v>
      </c>
      <c r="D101" s="795">
        <f t="shared" si="3"/>
        <v>0</v>
      </c>
      <c r="E101" s="796">
        <v>0</v>
      </c>
      <c r="F101" s="796">
        <f t="shared" si="4"/>
        <v>0</v>
      </c>
      <c r="G101" s="796">
        <v>0</v>
      </c>
      <c r="H101" s="796">
        <v>0</v>
      </c>
      <c r="I101" s="796">
        <v>0</v>
      </c>
      <c r="J101" s="796">
        <v>0</v>
      </c>
    </row>
    <row r="102" spans="1:10" x14ac:dyDescent="0.2">
      <c r="A102" s="257">
        <v>88</v>
      </c>
      <c r="B102" s="52" t="s">
        <v>216</v>
      </c>
      <c r="C102" s="794" t="s">
        <v>217</v>
      </c>
      <c r="D102" s="795">
        <f t="shared" si="3"/>
        <v>0</v>
      </c>
      <c r="E102" s="796">
        <v>0</v>
      </c>
      <c r="F102" s="796">
        <f t="shared" si="4"/>
        <v>0</v>
      </c>
      <c r="G102" s="796">
        <v>0</v>
      </c>
      <c r="H102" s="796">
        <v>0</v>
      </c>
      <c r="I102" s="796">
        <v>0</v>
      </c>
      <c r="J102" s="796">
        <v>0</v>
      </c>
    </row>
    <row r="103" spans="1:10" x14ac:dyDescent="0.2">
      <c r="A103" s="257">
        <v>89</v>
      </c>
      <c r="B103" s="49" t="s">
        <v>218</v>
      </c>
      <c r="C103" s="794" t="s">
        <v>219</v>
      </c>
      <c r="D103" s="795">
        <f t="shared" si="3"/>
        <v>0</v>
      </c>
      <c r="E103" s="796">
        <v>0</v>
      </c>
      <c r="F103" s="796">
        <f t="shared" si="4"/>
        <v>0</v>
      </c>
      <c r="G103" s="796">
        <v>0</v>
      </c>
      <c r="H103" s="796">
        <v>0</v>
      </c>
      <c r="I103" s="796">
        <v>0</v>
      </c>
      <c r="J103" s="796">
        <v>0</v>
      </c>
    </row>
    <row r="104" spans="1:10" x14ac:dyDescent="0.2">
      <c r="A104" s="257">
        <v>90</v>
      </c>
      <c r="B104" s="49" t="s">
        <v>220</v>
      </c>
      <c r="C104" s="794" t="s">
        <v>221</v>
      </c>
      <c r="D104" s="795">
        <f t="shared" si="3"/>
        <v>0</v>
      </c>
      <c r="E104" s="796">
        <v>0</v>
      </c>
      <c r="F104" s="796">
        <f t="shared" si="4"/>
        <v>0</v>
      </c>
      <c r="G104" s="796">
        <v>0</v>
      </c>
      <c r="H104" s="796">
        <v>0</v>
      </c>
      <c r="I104" s="796">
        <v>0</v>
      </c>
      <c r="J104" s="796">
        <v>0</v>
      </c>
    </row>
    <row r="105" spans="1:10" x14ac:dyDescent="0.2">
      <c r="A105" s="257">
        <v>91</v>
      </c>
      <c r="B105" s="264" t="s">
        <v>222</v>
      </c>
      <c r="C105" s="794" t="s">
        <v>223</v>
      </c>
      <c r="D105" s="795">
        <f t="shared" si="3"/>
        <v>0</v>
      </c>
      <c r="E105" s="796">
        <v>0</v>
      </c>
      <c r="F105" s="796">
        <f t="shared" si="4"/>
        <v>0</v>
      </c>
      <c r="G105" s="796">
        <v>0</v>
      </c>
      <c r="H105" s="796">
        <v>0</v>
      </c>
      <c r="I105" s="796">
        <v>0</v>
      </c>
      <c r="J105" s="796">
        <v>0</v>
      </c>
    </row>
    <row r="106" spans="1:10" x14ac:dyDescent="0.2">
      <c r="A106" s="257">
        <v>92</v>
      </c>
      <c r="B106" s="49" t="s">
        <v>224</v>
      </c>
      <c r="C106" s="794" t="s">
        <v>225</v>
      </c>
      <c r="D106" s="795">
        <f t="shared" si="3"/>
        <v>0</v>
      </c>
      <c r="E106" s="796">
        <v>0</v>
      </c>
      <c r="F106" s="796">
        <f t="shared" si="4"/>
        <v>0</v>
      </c>
      <c r="G106" s="796">
        <v>0</v>
      </c>
      <c r="H106" s="796">
        <v>0</v>
      </c>
      <c r="I106" s="796">
        <v>0</v>
      </c>
      <c r="J106" s="796">
        <v>0</v>
      </c>
    </row>
    <row r="107" spans="1:10" x14ac:dyDescent="0.2">
      <c r="A107" s="257">
        <v>93</v>
      </c>
      <c r="B107" s="49" t="s">
        <v>226</v>
      </c>
      <c r="C107" s="794" t="s">
        <v>227</v>
      </c>
      <c r="D107" s="795">
        <f t="shared" si="3"/>
        <v>0</v>
      </c>
      <c r="E107" s="796">
        <v>0</v>
      </c>
      <c r="F107" s="796">
        <f t="shared" si="4"/>
        <v>0</v>
      </c>
      <c r="G107" s="796">
        <v>0</v>
      </c>
      <c r="H107" s="796">
        <v>0</v>
      </c>
      <c r="I107" s="796">
        <v>0</v>
      </c>
      <c r="J107" s="796">
        <v>0</v>
      </c>
    </row>
    <row r="108" spans="1:10" x14ac:dyDescent="0.2">
      <c r="A108" s="257">
        <v>94</v>
      </c>
      <c r="B108" s="52" t="s">
        <v>32</v>
      </c>
      <c r="C108" s="794" t="s">
        <v>33</v>
      </c>
      <c r="D108" s="795">
        <f t="shared" si="3"/>
        <v>3176</v>
      </c>
      <c r="E108" s="796">
        <v>2218</v>
      </c>
      <c r="F108" s="796">
        <f t="shared" si="4"/>
        <v>958</v>
      </c>
      <c r="G108" s="796">
        <v>958</v>
      </c>
      <c r="H108" s="796">
        <v>0</v>
      </c>
      <c r="I108" s="796">
        <v>0</v>
      </c>
      <c r="J108" s="796">
        <v>0</v>
      </c>
    </row>
    <row r="109" spans="1:10" x14ac:dyDescent="0.2">
      <c r="A109" s="257">
        <v>95</v>
      </c>
      <c r="B109" s="264" t="s">
        <v>228</v>
      </c>
      <c r="C109" s="794" t="s">
        <v>229</v>
      </c>
      <c r="D109" s="795">
        <f t="shared" si="3"/>
        <v>0</v>
      </c>
      <c r="E109" s="796">
        <v>0</v>
      </c>
      <c r="F109" s="796">
        <f t="shared" si="4"/>
        <v>0</v>
      </c>
      <c r="G109" s="796">
        <v>0</v>
      </c>
      <c r="H109" s="796">
        <v>0</v>
      </c>
      <c r="I109" s="796">
        <v>0</v>
      </c>
      <c r="J109" s="796">
        <v>0</v>
      </c>
    </row>
    <row r="110" spans="1:10" x14ac:dyDescent="0.2">
      <c r="A110" s="257">
        <v>96</v>
      </c>
      <c r="B110" s="49" t="s">
        <v>230</v>
      </c>
      <c r="C110" s="794" t="s">
        <v>231</v>
      </c>
      <c r="D110" s="795">
        <f t="shared" si="3"/>
        <v>0</v>
      </c>
      <c r="E110" s="796">
        <v>0</v>
      </c>
      <c r="F110" s="796">
        <f t="shared" si="4"/>
        <v>0</v>
      </c>
      <c r="G110" s="796">
        <v>0</v>
      </c>
      <c r="H110" s="796">
        <v>0</v>
      </c>
      <c r="I110" s="796">
        <v>0</v>
      </c>
      <c r="J110" s="796">
        <v>0</v>
      </c>
    </row>
    <row r="111" spans="1:10" x14ac:dyDescent="0.2">
      <c r="A111" s="257">
        <v>97</v>
      </c>
      <c r="B111" s="49" t="s">
        <v>232</v>
      </c>
      <c r="C111" s="794" t="s">
        <v>233</v>
      </c>
      <c r="D111" s="795">
        <f t="shared" si="3"/>
        <v>0</v>
      </c>
      <c r="E111" s="796">
        <v>0</v>
      </c>
      <c r="F111" s="796">
        <f t="shared" si="4"/>
        <v>0</v>
      </c>
      <c r="G111" s="796">
        <v>0</v>
      </c>
      <c r="H111" s="796">
        <v>0</v>
      </c>
      <c r="I111" s="796">
        <v>0</v>
      </c>
      <c r="J111" s="796">
        <v>0</v>
      </c>
    </row>
    <row r="112" spans="1:10" x14ac:dyDescent="0.2">
      <c r="A112" s="257">
        <v>98</v>
      </c>
      <c r="B112" s="49" t="s">
        <v>234</v>
      </c>
      <c r="C112" s="794" t="s">
        <v>235</v>
      </c>
      <c r="D112" s="795">
        <f t="shared" si="3"/>
        <v>0</v>
      </c>
      <c r="E112" s="796">
        <v>0</v>
      </c>
      <c r="F112" s="796">
        <f t="shared" si="4"/>
        <v>0</v>
      </c>
      <c r="G112" s="796">
        <v>0</v>
      </c>
      <c r="H112" s="796">
        <v>0</v>
      </c>
      <c r="I112" s="796">
        <v>0</v>
      </c>
      <c r="J112" s="796">
        <v>0</v>
      </c>
    </row>
    <row r="113" spans="1:10" x14ac:dyDescent="0.2">
      <c r="A113" s="257">
        <v>99</v>
      </c>
      <c r="B113" s="264" t="s">
        <v>236</v>
      </c>
      <c r="C113" s="794" t="s">
        <v>237</v>
      </c>
      <c r="D113" s="795">
        <f t="shared" si="3"/>
        <v>0</v>
      </c>
      <c r="E113" s="796">
        <v>0</v>
      </c>
      <c r="F113" s="796">
        <f t="shared" si="4"/>
        <v>0</v>
      </c>
      <c r="G113" s="796">
        <v>0</v>
      </c>
      <c r="H113" s="796">
        <v>0</v>
      </c>
      <c r="I113" s="796">
        <v>0</v>
      </c>
      <c r="J113" s="796">
        <v>0</v>
      </c>
    </row>
    <row r="114" spans="1:10" x14ac:dyDescent="0.2">
      <c r="A114" s="257">
        <v>100</v>
      </c>
      <c r="B114" s="264" t="s">
        <v>238</v>
      </c>
      <c r="C114" s="794" t="s">
        <v>239</v>
      </c>
      <c r="D114" s="795">
        <f t="shared" si="3"/>
        <v>0</v>
      </c>
      <c r="E114" s="796">
        <v>0</v>
      </c>
      <c r="F114" s="796">
        <f t="shared" si="4"/>
        <v>0</v>
      </c>
      <c r="G114" s="796">
        <v>0</v>
      </c>
      <c r="H114" s="796">
        <v>0</v>
      </c>
      <c r="I114" s="796">
        <v>0</v>
      </c>
      <c r="J114" s="796">
        <v>0</v>
      </c>
    </row>
    <row r="115" spans="1:10" x14ac:dyDescent="0.2">
      <c r="A115" s="257">
        <v>101</v>
      </c>
      <c r="B115" s="264" t="s">
        <v>240</v>
      </c>
      <c r="C115" s="794" t="s">
        <v>241</v>
      </c>
      <c r="D115" s="795">
        <f t="shared" si="3"/>
        <v>0</v>
      </c>
      <c r="E115" s="796">
        <v>0</v>
      </c>
      <c r="F115" s="796">
        <f t="shared" si="4"/>
        <v>0</v>
      </c>
      <c r="G115" s="796">
        <v>0</v>
      </c>
      <c r="H115" s="796">
        <v>0</v>
      </c>
      <c r="I115" s="796">
        <v>0</v>
      </c>
      <c r="J115" s="796">
        <v>0</v>
      </c>
    </row>
    <row r="116" spans="1:10" x14ac:dyDescent="0.2">
      <c r="A116" s="257">
        <v>102</v>
      </c>
      <c r="B116" s="264" t="s">
        <v>242</v>
      </c>
      <c r="C116" s="794" t="s">
        <v>243</v>
      </c>
      <c r="D116" s="795">
        <f t="shared" si="3"/>
        <v>0</v>
      </c>
      <c r="E116" s="796">
        <v>0</v>
      </c>
      <c r="F116" s="796">
        <f t="shared" si="4"/>
        <v>0</v>
      </c>
      <c r="G116" s="796">
        <v>0</v>
      </c>
      <c r="H116" s="796">
        <v>0</v>
      </c>
      <c r="I116" s="796">
        <v>0</v>
      </c>
      <c r="J116" s="796">
        <v>0</v>
      </c>
    </row>
    <row r="117" spans="1:10" x14ac:dyDescent="0.2">
      <c r="A117" s="257">
        <v>103</v>
      </c>
      <c r="B117" s="264" t="s">
        <v>244</v>
      </c>
      <c r="C117" s="794" t="s">
        <v>245</v>
      </c>
      <c r="D117" s="795">
        <f t="shared" si="3"/>
        <v>0</v>
      </c>
      <c r="E117" s="796">
        <v>0</v>
      </c>
      <c r="F117" s="796">
        <f t="shared" si="4"/>
        <v>0</v>
      </c>
      <c r="G117" s="796">
        <v>0</v>
      </c>
      <c r="H117" s="796">
        <v>0</v>
      </c>
      <c r="I117" s="796">
        <v>0</v>
      </c>
      <c r="J117" s="796">
        <v>0</v>
      </c>
    </row>
    <row r="118" spans="1:10" x14ac:dyDescent="0.2">
      <c r="A118" s="257">
        <v>104</v>
      </c>
      <c r="B118" s="259" t="s">
        <v>246</v>
      </c>
      <c r="C118" s="797" t="s">
        <v>247</v>
      </c>
      <c r="D118" s="795">
        <f t="shared" si="3"/>
        <v>0</v>
      </c>
      <c r="E118" s="796">
        <v>0</v>
      </c>
      <c r="F118" s="796">
        <f t="shared" si="4"/>
        <v>0</v>
      </c>
      <c r="G118" s="796">
        <v>0</v>
      </c>
      <c r="H118" s="796">
        <v>0</v>
      </c>
      <c r="I118" s="796">
        <v>0</v>
      </c>
      <c r="J118" s="796">
        <v>0</v>
      </c>
    </row>
    <row r="119" spans="1:10" x14ac:dyDescent="0.2">
      <c r="A119" s="257">
        <v>105</v>
      </c>
      <c r="B119" s="52" t="s">
        <v>248</v>
      </c>
      <c r="C119" s="794" t="s">
        <v>249</v>
      </c>
      <c r="D119" s="795">
        <f t="shared" si="3"/>
        <v>0</v>
      </c>
      <c r="E119" s="796">
        <v>0</v>
      </c>
      <c r="F119" s="796">
        <f t="shared" si="4"/>
        <v>0</v>
      </c>
      <c r="G119" s="796">
        <v>0</v>
      </c>
      <c r="H119" s="796">
        <v>0</v>
      </c>
      <c r="I119" s="796">
        <v>0</v>
      </c>
      <c r="J119" s="796">
        <v>0</v>
      </c>
    </row>
    <row r="120" spans="1:10" x14ac:dyDescent="0.2">
      <c r="A120" s="257">
        <v>106</v>
      </c>
      <c r="B120" s="264" t="s">
        <v>250</v>
      </c>
      <c r="C120" s="794" t="s">
        <v>251</v>
      </c>
      <c r="D120" s="795">
        <f t="shared" si="3"/>
        <v>0</v>
      </c>
      <c r="E120" s="796">
        <v>0</v>
      </c>
      <c r="F120" s="796">
        <f t="shared" si="4"/>
        <v>0</v>
      </c>
      <c r="G120" s="796">
        <v>0</v>
      </c>
      <c r="H120" s="796">
        <v>0</v>
      </c>
      <c r="I120" s="796">
        <v>0</v>
      </c>
      <c r="J120" s="796">
        <v>0</v>
      </c>
    </row>
    <row r="121" spans="1:10" x14ac:dyDescent="0.2">
      <c r="A121" s="257">
        <v>107</v>
      </c>
      <c r="B121" s="49" t="s">
        <v>252</v>
      </c>
      <c r="C121" s="800" t="s">
        <v>253</v>
      </c>
      <c r="D121" s="795">
        <f t="shared" si="3"/>
        <v>0</v>
      </c>
      <c r="E121" s="796">
        <v>0</v>
      </c>
      <c r="F121" s="796">
        <f t="shared" si="4"/>
        <v>0</v>
      </c>
      <c r="G121" s="796">
        <v>0</v>
      </c>
      <c r="H121" s="796">
        <v>0</v>
      </c>
      <c r="I121" s="796">
        <v>0</v>
      </c>
      <c r="J121" s="796">
        <v>0</v>
      </c>
    </row>
    <row r="122" spans="1:10" x14ac:dyDescent="0.2">
      <c r="A122" s="257">
        <v>108</v>
      </c>
      <c r="B122" s="264" t="s">
        <v>254</v>
      </c>
      <c r="C122" s="794" t="s">
        <v>255</v>
      </c>
      <c r="D122" s="795">
        <f t="shared" si="3"/>
        <v>0</v>
      </c>
      <c r="E122" s="796">
        <v>0</v>
      </c>
      <c r="F122" s="796">
        <f t="shared" si="4"/>
        <v>0</v>
      </c>
      <c r="G122" s="796">
        <v>0</v>
      </c>
      <c r="H122" s="796">
        <v>0</v>
      </c>
      <c r="I122" s="796">
        <v>0</v>
      </c>
      <c r="J122" s="796">
        <v>0</v>
      </c>
    </row>
    <row r="123" spans="1:10" x14ac:dyDescent="0.2">
      <c r="A123" s="257">
        <v>109</v>
      </c>
      <c r="B123" s="52" t="s">
        <v>256</v>
      </c>
      <c r="C123" s="794" t="s">
        <v>257</v>
      </c>
      <c r="D123" s="795">
        <f t="shared" si="3"/>
        <v>0</v>
      </c>
      <c r="E123" s="796">
        <v>0</v>
      </c>
      <c r="F123" s="796">
        <f t="shared" si="4"/>
        <v>0</v>
      </c>
      <c r="G123" s="796">
        <v>0</v>
      </c>
      <c r="H123" s="796">
        <v>0</v>
      </c>
      <c r="I123" s="796">
        <v>0</v>
      </c>
      <c r="J123" s="796">
        <v>0</v>
      </c>
    </row>
    <row r="124" spans="1:10" x14ac:dyDescent="0.2">
      <c r="A124" s="257">
        <v>110</v>
      </c>
      <c r="B124" s="49" t="s">
        <v>258</v>
      </c>
      <c r="C124" s="794" t="s">
        <v>259</v>
      </c>
      <c r="D124" s="795">
        <f t="shared" si="3"/>
        <v>0</v>
      </c>
      <c r="E124" s="796">
        <v>0</v>
      </c>
      <c r="F124" s="796">
        <f t="shared" si="4"/>
        <v>0</v>
      </c>
      <c r="G124" s="796">
        <v>0</v>
      </c>
      <c r="H124" s="796">
        <v>0</v>
      </c>
      <c r="I124" s="796">
        <v>0</v>
      </c>
      <c r="J124" s="796">
        <v>0</v>
      </c>
    </row>
    <row r="125" spans="1:10" x14ac:dyDescent="0.2">
      <c r="A125" s="257">
        <v>111</v>
      </c>
      <c r="B125" s="52" t="s">
        <v>551</v>
      </c>
      <c r="C125" s="801" t="s">
        <v>552</v>
      </c>
      <c r="D125" s="795">
        <f t="shared" si="3"/>
        <v>0</v>
      </c>
      <c r="E125" s="796">
        <v>0</v>
      </c>
      <c r="F125" s="796">
        <f t="shared" si="4"/>
        <v>0</v>
      </c>
      <c r="G125" s="796">
        <v>0</v>
      </c>
      <c r="H125" s="796">
        <v>0</v>
      </c>
      <c r="I125" s="796">
        <v>0</v>
      </c>
      <c r="J125" s="796">
        <v>0</v>
      </c>
    </row>
    <row r="126" spans="1:10" x14ac:dyDescent="0.2">
      <c r="A126" s="257">
        <v>112</v>
      </c>
      <c r="B126" s="52" t="s">
        <v>260</v>
      </c>
      <c r="C126" s="794" t="s">
        <v>261</v>
      </c>
      <c r="D126" s="795">
        <f t="shared" si="3"/>
        <v>0</v>
      </c>
      <c r="E126" s="796">
        <v>0</v>
      </c>
      <c r="F126" s="796">
        <f t="shared" si="4"/>
        <v>0</v>
      </c>
      <c r="G126" s="796">
        <v>0</v>
      </c>
      <c r="H126" s="796">
        <v>0</v>
      </c>
      <c r="I126" s="796">
        <v>0</v>
      </c>
      <c r="J126" s="796">
        <v>0</v>
      </c>
    </row>
    <row r="127" spans="1:10" x14ac:dyDescent="0.2">
      <c r="A127" s="257">
        <v>113</v>
      </c>
      <c r="B127" s="264" t="s">
        <v>262</v>
      </c>
      <c r="C127" s="794" t="s">
        <v>263</v>
      </c>
      <c r="D127" s="795">
        <f t="shared" si="3"/>
        <v>0</v>
      </c>
      <c r="E127" s="796">
        <v>0</v>
      </c>
      <c r="F127" s="796">
        <f t="shared" si="4"/>
        <v>0</v>
      </c>
      <c r="G127" s="796">
        <v>0</v>
      </c>
      <c r="H127" s="796">
        <v>0</v>
      </c>
      <c r="I127" s="796">
        <v>0</v>
      </c>
      <c r="J127" s="796">
        <v>0</v>
      </c>
    </row>
    <row r="128" spans="1:10" x14ac:dyDescent="0.2">
      <c r="A128" s="257">
        <v>114</v>
      </c>
      <c r="B128" s="264" t="s">
        <v>264</v>
      </c>
      <c r="C128" s="802" t="s">
        <v>265</v>
      </c>
      <c r="D128" s="795">
        <f t="shared" si="3"/>
        <v>0</v>
      </c>
      <c r="E128" s="796">
        <v>0</v>
      </c>
      <c r="F128" s="796">
        <f t="shared" si="4"/>
        <v>0</v>
      </c>
      <c r="G128" s="796">
        <v>0</v>
      </c>
      <c r="H128" s="796">
        <v>0</v>
      </c>
      <c r="I128" s="796">
        <v>0</v>
      </c>
      <c r="J128" s="796">
        <v>0</v>
      </c>
    </row>
    <row r="129" spans="1:10" x14ac:dyDescent="0.2">
      <c r="A129" s="257">
        <v>115</v>
      </c>
      <c r="B129" s="264" t="s">
        <v>266</v>
      </c>
      <c r="C129" s="794" t="s">
        <v>267</v>
      </c>
      <c r="D129" s="795">
        <f t="shared" si="3"/>
        <v>0</v>
      </c>
      <c r="E129" s="796">
        <v>0</v>
      </c>
      <c r="F129" s="796">
        <f t="shared" si="4"/>
        <v>0</v>
      </c>
      <c r="G129" s="796">
        <v>0</v>
      </c>
      <c r="H129" s="796">
        <v>0</v>
      </c>
      <c r="I129" s="796">
        <v>0</v>
      </c>
      <c r="J129" s="796">
        <v>0</v>
      </c>
    </row>
    <row r="130" spans="1:10" x14ac:dyDescent="0.2">
      <c r="A130" s="257">
        <v>116</v>
      </c>
      <c r="B130" s="264" t="s">
        <v>268</v>
      </c>
      <c r="C130" s="794" t="s">
        <v>269</v>
      </c>
      <c r="D130" s="795">
        <f t="shared" si="3"/>
        <v>0</v>
      </c>
      <c r="E130" s="796">
        <v>0</v>
      </c>
      <c r="F130" s="796">
        <f t="shared" si="4"/>
        <v>0</v>
      </c>
      <c r="G130" s="796">
        <v>0</v>
      </c>
      <c r="H130" s="796">
        <v>0</v>
      </c>
      <c r="I130" s="796">
        <v>0</v>
      </c>
      <c r="J130" s="796">
        <v>0</v>
      </c>
    </row>
    <row r="131" spans="1:10" x14ac:dyDescent="0.2">
      <c r="A131" s="257">
        <v>117</v>
      </c>
      <c r="B131" s="264" t="s">
        <v>270</v>
      </c>
      <c r="C131" s="794" t="s">
        <v>271</v>
      </c>
      <c r="D131" s="795">
        <f t="shared" si="3"/>
        <v>0</v>
      </c>
      <c r="E131" s="796">
        <v>0</v>
      </c>
      <c r="F131" s="796">
        <f t="shared" si="4"/>
        <v>0</v>
      </c>
      <c r="G131" s="796">
        <v>0</v>
      </c>
      <c r="H131" s="796">
        <v>0</v>
      </c>
      <c r="I131" s="796">
        <v>0</v>
      </c>
      <c r="J131" s="796">
        <v>0</v>
      </c>
    </row>
    <row r="132" spans="1:10" x14ac:dyDescent="0.2">
      <c r="A132" s="257">
        <v>118</v>
      </c>
      <c r="B132" s="49" t="s">
        <v>272</v>
      </c>
      <c r="C132" s="794" t="s">
        <v>273</v>
      </c>
      <c r="D132" s="795">
        <f t="shared" si="3"/>
        <v>0</v>
      </c>
      <c r="E132" s="796">
        <v>0</v>
      </c>
      <c r="F132" s="796">
        <f t="shared" si="4"/>
        <v>0</v>
      </c>
      <c r="G132" s="796">
        <v>0</v>
      </c>
      <c r="H132" s="796">
        <v>0</v>
      </c>
      <c r="I132" s="796">
        <v>0</v>
      </c>
      <c r="J132" s="796">
        <v>0</v>
      </c>
    </row>
    <row r="133" spans="1:10" x14ac:dyDescent="0.2">
      <c r="A133" s="257">
        <v>119</v>
      </c>
      <c r="B133" s="49" t="s">
        <v>274</v>
      </c>
      <c r="C133" s="794" t="s">
        <v>275</v>
      </c>
      <c r="D133" s="795">
        <f t="shared" si="3"/>
        <v>0</v>
      </c>
      <c r="E133" s="796">
        <v>0</v>
      </c>
      <c r="F133" s="796">
        <f t="shared" si="4"/>
        <v>0</v>
      </c>
      <c r="G133" s="796">
        <v>0</v>
      </c>
      <c r="H133" s="796">
        <v>0</v>
      </c>
      <c r="I133" s="796">
        <v>0</v>
      </c>
      <c r="J133" s="796">
        <v>0</v>
      </c>
    </row>
    <row r="134" spans="1:10" x14ac:dyDescent="0.2">
      <c r="A134" s="257">
        <v>120</v>
      </c>
      <c r="B134" s="49" t="s">
        <v>276</v>
      </c>
      <c r="C134" s="794" t="s">
        <v>277</v>
      </c>
      <c r="D134" s="795">
        <f t="shared" si="3"/>
        <v>0</v>
      </c>
      <c r="E134" s="796">
        <v>0</v>
      </c>
      <c r="F134" s="796">
        <f t="shared" si="4"/>
        <v>0</v>
      </c>
      <c r="G134" s="796">
        <v>0</v>
      </c>
      <c r="H134" s="796">
        <v>0</v>
      </c>
      <c r="I134" s="796">
        <v>0</v>
      </c>
      <c r="J134" s="796">
        <v>0</v>
      </c>
    </row>
    <row r="135" spans="1:10" x14ac:dyDescent="0.2">
      <c r="A135" s="257">
        <v>121</v>
      </c>
      <c r="B135" s="264" t="s">
        <v>278</v>
      </c>
      <c r="C135" s="794" t="s">
        <v>279</v>
      </c>
      <c r="D135" s="795">
        <f t="shared" si="3"/>
        <v>0</v>
      </c>
      <c r="E135" s="796">
        <v>0</v>
      </c>
      <c r="F135" s="796">
        <f t="shared" si="4"/>
        <v>0</v>
      </c>
      <c r="G135" s="796">
        <v>0</v>
      </c>
      <c r="H135" s="796">
        <v>0</v>
      </c>
      <c r="I135" s="796">
        <v>0</v>
      </c>
      <c r="J135" s="796">
        <v>0</v>
      </c>
    </row>
    <row r="136" spans="1:10" x14ac:dyDescent="0.2">
      <c r="A136" s="257">
        <v>122</v>
      </c>
      <c r="B136" s="264" t="s">
        <v>280</v>
      </c>
      <c r="C136" s="794" t="s">
        <v>281</v>
      </c>
      <c r="D136" s="795">
        <f t="shared" si="3"/>
        <v>0</v>
      </c>
      <c r="E136" s="796">
        <v>0</v>
      </c>
      <c r="F136" s="796">
        <f t="shared" si="4"/>
        <v>0</v>
      </c>
      <c r="G136" s="796">
        <v>0</v>
      </c>
      <c r="H136" s="796">
        <v>0</v>
      </c>
      <c r="I136" s="796">
        <v>0</v>
      </c>
      <c r="J136" s="796">
        <v>0</v>
      </c>
    </row>
    <row r="137" spans="1:10" x14ac:dyDescent="0.2">
      <c r="A137" s="257">
        <v>123</v>
      </c>
      <c r="B137" s="264" t="s">
        <v>282</v>
      </c>
      <c r="C137" s="794" t="s">
        <v>783</v>
      </c>
      <c r="D137" s="795">
        <f t="shared" si="3"/>
        <v>0</v>
      </c>
      <c r="E137" s="796">
        <v>0</v>
      </c>
      <c r="F137" s="796">
        <f t="shared" si="4"/>
        <v>0</v>
      </c>
      <c r="G137" s="796">
        <v>0</v>
      </c>
      <c r="H137" s="796">
        <v>0</v>
      </c>
      <c r="I137" s="796">
        <v>0</v>
      </c>
      <c r="J137" s="796">
        <v>0</v>
      </c>
    </row>
    <row r="138" spans="1:10" x14ac:dyDescent="0.2">
      <c r="A138" s="257">
        <v>124</v>
      </c>
      <c r="B138" s="49" t="s">
        <v>283</v>
      </c>
      <c r="C138" s="794" t="s">
        <v>284</v>
      </c>
      <c r="D138" s="795">
        <f t="shared" si="3"/>
        <v>0</v>
      </c>
      <c r="E138" s="796">
        <v>0</v>
      </c>
      <c r="F138" s="796">
        <f t="shared" si="4"/>
        <v>0</v>
      </c>
      <c r="G138" s="796">
        <v>0</v>
      </c>
      <c r="H138" s="796">
        <v>0</v>
      </c>
      <c r="I138" s="796">
        <v>0</v>
      </c>
      <c r="J138" s="796">
        <v>0</v>
      </c>
    </row>
    <row r="139" spans="1:10" x14ac:dyDescent="0.2">
      <c r="A139" s="257">
        <v>125</v>
      </c>
      <c r="B139" s="52" t="s">
        <v>285</v>
      </c>
      <c r="C139" s="794" t="s">
        <v>737</v>
      </c>
      <c r="D139" s="795">
        <f t="shared" si="3"/>
        <v>0</v>
      </c>
      <c r="E139" s="796">
        <v>0</v>
      </c>
      <c r="F139" s="796">
        <f t="shared" si="4"/>
        <v>0</v>
      </c>
      <c r="G139" s="796">
        <v>0</v>
      </c>
      <c r="H139" s="796">
        <v>0</v>
      </c>
      <c r="I139" s="796">
        <v>0</v>
      </c>
      <c r="J139" s="796">
        <v>0</v>
      </c>
    </row>
    <row r="140" spans="1:10" x14ac:dyDescent="0.2">
      <c r="A140" s="257">
        <v>126</v>
      </c>
      <c r="B140" s="264" t="s">
        <v>286</v>
      </c>
      <c r="C140" s="794" t="s">
        <v>287</v>
      </c>
      <c r="D140" s="795">
        <f t="shared" si="3"/>
        <v>0</v>
      </c>
      <c r="E140" s="796">
        <v>0</v>
      </c>
      <c r="F140" s="796">
        <f t="shared" si="4"/>
        <v>0</v>
      </c>
      <c r="G140" s="796">
        <v>0</v>
      </c>
      <c r="H140" s="796">
        <v>0</v>
      </c>
      <c r="I140" s="796">
        <v>0</v>
      </c>
      <c r="J140" s="796">
        <v>0</v>
      </c>
    </row>
    <row r="141" spans="1:10" x14ac:dyDescent="0.2">
      <c r="A141" s="257">
        <v>127</v>
      </c>
      <c r="B141" s="49" t="s">
        <v>288</v>
      </c>
      <c r="C141" s="794" t="s">
        <v>289</v>
      </c>
      <c r="D141" s="795">
        <f t="shared" ref="D141:D149" si="5">E141+F141+H141+I141</f>
        <v>0</v>
      </c>
      <c r="E141" s="796">
        <v>0</v>
      </c>
      <c r="F141" s="796">
        <f t="shared" ref="F141:F149" si="6">G141</f>
        <v>0</v>
      </c>
      <c r="G141" s="796">
        <v>0</v>
      </c>
      <c r="H141" s="796">
        <v>0</v>
      </c>
      <c r="I141" s="796">
        <v>0</v>
      </c>
      <c r="J141" s="796">
        <v>0</v>
      </c>
    </row>
    <row r="142" spans="1:10" x14ac:dyDescent="0.2">
      <c r="A142" s="257">
        <v>128</v>
      </c>
      <c r="B142" s="264" t="s">
        <v>290</v>
      </c>
      <c r="C142" s="794" t="s">
        <v>291</v>
      </c>
      <c r="D142" s="795">
        <f t="shared" si="5"/>
        <v>0</v>
      </c>
      <c r="E142" s="796">
        <v>0</v>
      </c>
      <c r="F142" s="796">
        <f t="shared" si="6"/>
        <v>0</v>
      </c>
      <c r="G142" s="796">
        <v>0</v>
      </c>
      <c r="H142" s="796">
        <v>0</v>
      </c>
      <c r="I142" s="796">
        <v>0</v>
      </c>
      <c r="J142" s="796">
        <v>0</v>
      </c>
    </row>
    <row r="143" spans="1:10" x14ac:dyDescent="0.2">
      <c r="A143" s="257">
        <v>129</v>
      </c>
      <c r="B143" s="61" t="s">
        <v>292</v>
      </c>
      <c r="C143" s="803" t="s">
        <v>293</v>
      </c>
      <c r="D143" s="795">
        <f t="shared" si="5"/>
        <v>0</v>
      </c>
      <c r="E143" s="796">
        <v>0</v>
      </c>
      <c r="F143" s="796">
        <f t="shared" si="6"/>
        <v>0</v>
      </c>
      <c r="G143" s="796">
        <v>0</v>
      </c>
      <c r="H143" s="796">
        <v>0</v>
      </c>
      <c r="I143" s="796">
        <v>0</v>
      </c>
      <c r="J143" s="796">
        <v>0</v>
      </c>
    </row>
    <row r="144" spans="1:10" x14ac:dyDescent="0.2">
      <c r="A144" s="257">
        <v>130</v>
      </c>
      <c r="B144" s="63" t="s">
        <v>294</v>
      </c>
      <c r="C144" s="804" t="s">
        <v>295</v>
      </c>
      <c r="D144" s="795">
        <f t="shared" si="5"/>
        <v>0</v>
      </c>
      <c r="E144" s="796">
        <v>0</v>
      </c>
      <c r="F144" s="796">
        <f t="shared" si="6"/>
        <v>0</v>
      </c>
      <c r="G144" s="796">
        <v>0</v>
      </c>
      <c r="H144" s="796">
        <v>0</v>
      </c>
      <c r="I144" s="796">
        <v>0</v>
      </c>
      <c r="J144" s="796">
        <v>0</v>
      </c>
    </row>
    <row r="145" spans="1:10" ht="12.75" x14ac:dyDescent="0.2">
      <c r="A145" s="257">
        <v>131</v>
      </c>
      <c r="B145" s="64" t="s">
        <v>296</v>
      </c>
      <c r="C145" s="260" t="s">
        <v>462</v>
      </c>
      <c r="D145" s="795">
        <f t="shared" si="5"/>
        <v>0</v>
      </c>
      <c r="E145" s="796">
        <v>0</v>
      </c>
      <c r="F145" s="796">
        <f t="shared" si="6"/>
        <v>0</v>
      </c>
      <c r="G145" s="796">
        <v>0</v>
      </c>
      <c r="H145" s="796">
        <v>0</v>
      </c>
      <c r="I145" s="796">
        <v>0</v>
      </c>
      <c r="J145" s="796">
        <v>0</v>
      </c>
    </row>
    <row r="146" spans="1:10" x14ac:dyDescent="0.2">
      <c r="A146" s="257">
        <v>132</v>
      </c>
      <c r="B146" s="257" t="s">
        <v>298</v>
      </c>
      <c r="C146" s="805" t="s">
        <v>299</v>
      </c>
      <c r="D146" s="795">
        <f t="shared" si="5"/>
        <v>0</v>
      </c>
      <c r="E146" s="796">
        <v>0</v>
      </c>
      <c r="F146" s="796">
        <f t="shared" si="6"/>
        <v>0</v>
      </c>
      <c r="G146" s="796">
        <v>0</v>
      </c>
      <c r="H146" s="796">
        <v>0</v>
      </c>
      <c r="I146" s="796">
        <v>0</v>
      </c>
      <c r="J146" s="796">
        <v>0</v>
      </c>
    </row>
    <row r="147" spans="1:10" x14ac:dyDescent="0.2">
      <c r="A147" s="257">
        <v>133</v>
      </c>
      <c r="B147" s="75" t="s">
        <v>300</v>
      </c>
      <c r="C147" s="805" t="s">
        <v>301</v>
      </c>
      <c r="D147" s="795">
        <f t="shared" si="5"/>
        <v>0</v>
      </c>
      <c r="E147" s="796">
        <v>0</v>
      </c>
      <c r="F147" s="796">
        <f t="shared" si="6"/>
        <v>0</v>
      </c>
      <c r="G147" s="796">
        <v>0</v>
      </c>
      <c r="H147" s="796">
        <v>0</v>
      </c>
      <c r="I147" s="796">
        <v>0</v>
      </c>
      <c r="J147" s="796">
        <v>0</v>
      </c>
    </row>
    <row r="148" spans="1:10" x14ac:dyDescent="0.2">
      <c r="A148" s="257">
        <v>134</v>
      </c>
      <c r="B148" s="75" t="s">
        <v>302</v>
      </c>
      <c r="C148" s="805" t="s">
        <v>303</v>
      </c>
      <c r="D148" s="795">
        <f t="shared" si="5"/>
        <v>0</v>
      </c>
      <c r="E148" s="796">
        <v>0</v>
      </c>
      <c r="F148" s="796">
        <f t="shared" si="6"/>
        <v>0</v>
      </c>
      <c r="G148" s="796">
        <v>0</v>
      </c>
      <c r="H148" s="796">
        <v>0</v>
      </c>
      <c r="I148" s="796">
        <v>0</v>
      </c>
      <c r="J148" s="796">
        <v>0</v>
      </c>
    </row>
    <row r="149" spans="1:10" x14ac:dyDescent="0.2">
      <c r="A149" s="257">
        <v>135</v>
      </c>
      <c r="B149" s="75" t="s">
        <v>304</v>
      </c>
      <c r="C149" s="797" t="s">
        <v>305</v>
      </c>
      <c r="D149" s="795">
        <f t="shared" si="5"/>
        <v>0</v>
      </c>
      <c r="E149" s="796">
        <v>0</v>
      </c>
      <c r="F149" s="796">
        <f t="shared" si="6"/>
        <v>0</v>
      </c>
      <c r="G149" s="796">
        <v>0</v>
      </c>
      <c r="H149" s="796">
        <v>0</v>
      </c>
      <c r="I149" s="796">
        <v>0</v>
      </c>
      <c r="J149" s="796">
        <v>0</v>
      </c>
    </row>
  </sheetData>
  <mergeCells count="20">
    <mergeCell ref="A11:C11"/>
    <mergeCell ref="A92:A95"/>
    <mergeCell ref="B92:B95"/>
    <mergeCell ref="H6:J6"/>
    <mergeCell ref="E7:E9"/>
    <mergeCell ref="F7:F9"/>
    <mergeCell ref="H7:H9"/>
    <mergeCell ref="I7:J7"/>
    <mergeCell ref="G8:G9"/>
    <mergeCell ref="I8:I9"/>
    <mergeCell ref="A1:J1"/>
    <mergeCell ref="A3:A9"/>
    <mergeCell ref="B3:B9"/>
    <mergeCell ref="C3:C9"/>
    <mergeCell ref="D3:J3"/>
    <mergeCell ref="D4:D9"/>
    <mergeCell ref="E4:J4"/>
    <mergeCell ref="E5:G5"/>
    <mergeCell ref="H5:J5"/>
    <mergeCell ref="F6:G6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="90" zoomScaleNormal="90" workbookViewId="0">
      <pane xSplit="3" ySplit="11" topLeftCell="D128" activePane="bottomRight" state="frozen"/>
      <selection pane="topRight" activeCell="D1" sqref="D1"/>
      <selection pane="bottomLeft" activeCell="A12" sqref="A12"/>
      <selection pane="bottomRight" activeCell="R141" sqref="R141"/>
    </sheetView>
  </sheetViews>
  <sheetFormatPr defaultRowHeight="12.75" x14ac:dyDescent="0.2"/>
  <cols>
    <col min="1" max="1" width="5.85546875" style="435" customWidth="1"/>
    <col min="2" max="2" width="9.7109375" style="435" customWidth="1"/>
    <col min="3" max="3" width="35" style="435" customWidth="1"/>
    <col min="4" max="4" width="12.42578125" style="435" customWidth="1"/>
    <col min="5" max="5" width="11.7109375" style="435" customWidth="1"/>
    <col min="6" max="6" width="12.28515625" style="435" customWidth="1"/>
    <col min="7" max="7" width="11.85546875" style="435" customWidth="1"/>
    <col min="8" max="8" width="10.85546875" style="435" customWidth="1"/>
    <col min="9" max="9" width="11.140625" style="435" customWidth="1"/>
    <col min="10" max="10" width="10.85546875" style="435" customWidth="1"/>
    <col min="11" max="11" width="11.28515625" style="435" customWidth="1"/>
    <col min="12" max="12" width="10" style="435" customWidth="1"/>
    <col min="13" max="13" width="11" style="435" customWidth="1"/>
    <col min="14" max="14" width="11.7109375" style="435" customWidth="1"/>
    <col min="15" max="15" width="11.28515625" style="435" customWidth="1"/>
    <col min="16" max="16384" width="9.140625" style="435"/>
  </cols>
  <sheetData>
    <row r="1" spans="1:15" s="738" customFormat="1" ht="21.75" customHeight="1" x14ac:dyDescent="0.2">
      <c r="A1" s="1075" t="s">
        <v>760</v>
      </c>
      <c r="B1" s="1075"/>
      <c r="C1" s="1075"/>
      <c r="D1" s="1075"/>
      <c r="E1" s="1075"/>
      <c r="F1" s="1075"/>
      <c r="G1" s="1075"/>
      <c r="H1" s="1075"/>
      <c r="I1" s="1075"/>
      <c r="J1" s="1075"/>
      <c r="K1" s="1075"/>
      <c r="L1" s="1075"/>
      <c r="M1" s="1075"/>
      <c r="N1" s="1075"/>
      <c r="O1" s="1075"/>
    </row>
    <row r="2" spans="1:15" ht="13.5" thickBot="1" x14ac:dyDescent="0.25"/>
    <row r="3" spans="1:15" s="739" customFormat="1" ht="27.75" customHeight="1" thickBot="1" x14ac:dyDescent="0.25">
      <c r="A3" s="1076" t="s">
        <v>0</v>
      </c>
      <c r="B3" s="1079" t="s">
        <v>326</v>
      </c>
      <c r="C3" s="1082" t="s">
        <v>309</v>
      </c>
      <c r="D3" s="1085" t="s">
        <v>731</v>
      </c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7"/>
    </row>
    <row r="4" spans="1:15" s="739" customFormat="1" ht="15" customHeight="1" thickBot="1" x14ac:dyDescent="0.25">
      <c r="A4" s="1077"/>
      <c r="B4" s="1080"/>
      <c r="C4" s="1083"/>
      <c r="D4" s="1088" t="s">
        <v>44</v>
      </c>
      <c r="E4" s="1081" t="s">
        <v>449</v>
      </c>
      <c r="F4" s="1090"/>
      <c r="G4" s="1091"/>
      <c r="H4" s="1092" t="s">
        <v>684</v>
      </c>
      <c r="I4" s="1093"/>
      <c r="J4" s="1093"/>
      <c r="K4" s="1093"/>
      <c r="L4" s="1093"/>
      <c r="M4" s="1093"/>
      <c r="N4" s="1093"/>
      <c r="O4" s="1094"/>
    </row>
    <row r="5" spans="1:15" s="741" customFormat="1" ht="21" customHeight="1" x14ac:dyDescent="0.25">
      <c r="A5" s="1077"/>
      <c r="B5" s="1080"/>
      <c r="C5" s="1083"/>
      <c r="D5" s="1088"/>
      <c r="E5" s="1095" t="s">
        <v>426</v>
      </c>
      <c r="F5" s="740" t="s">
        <v>685</v>
      </c>
      <c r="G5" s="1096" t="s">
        <v>686</v>
      </c>
      <c r="H5" s="1078" t="s">
        <v>687</v>
      </c>
      <c r="I5" s="1098"/>
      <c r="J5" s="1099" t="s">
        <v>688</v>
      </c>
      <c r="K5" s="1100"/>
      <c r="L5" s="1099" t="s">
        <v>689</v>
      </c>
      <c r="M5" s="1100"/>
      <c r="N5" s="1099" t="s">
        <v>690</v>
      </c>
      <c r="O5" s="1100"/>
    </row>
    <row r="6" spans="1:15" s="741" customFormat="1" ht="15" customHeight="1" x14ac:dyDescent="0.25">
      <c r="A6" s="1077"/>
      <c r="B6" s="1080"/>
      <c r="C6" s="1083"/>
      <c r="D6" s="1088"/>
      <c r="E6" s="1080"/>
      <c r="F6" s="1095" t="s">
        <v>691</v>
      </c>
      <c r="G6" s="1096"/>
      <c r="H6" s="1102" t="s">
        <v>692</v>
      </c>
      <c r="I6" s="1117" t="s">
        <v>686</v>
      </c>
      <c r="J6" s="1102" t="s">
        <v>692</v>
      </c>
      <c r="K6" s="1104" t="s">
        <v>686</v>
      </c>
      <c r="L6" s="1102" t="s">
        <v>692</v>
      </c>
      <c r="M6" s="1095" t="s">
        <v>686</v>
      </c>
      <c r="N6" s="1102" t="s">
        <v>692</v>
      </c>
      <c r="O6" s="1104" t="s">
        <v>686</v>
      </c>
    </row>
    <row r="7" spans="1:15" s="741" customFormat="1" ht="66.75" customHeight="1" x14ac:dyDescent="0.25">
      <c r="A7" s="1078"/>
      <c r="B7" s="1081"/>
      <c r="C7" s="1084"/>
      <c r="D7" s="1089"/>
      <c r="E7" s="1090"/>
      <c r="F7" s="1101"/>
      <c r="G7" s="1097"/>
      <c r="H7" s="1103"/>
      <c r="I7" s="1118"/>
      <c r="J7" s="1103"/>
      <c r="K7" s="1105"/>
      <c r="L7" s="1103"/>
      <c r="M7" s="1101"/>
      <c r="N7" s="1103"/>
      <c r="O7" s="1105"/>
    </row>
    <row r="8" spans="1:15" s="739" customFormat="1" ht="12" thickBot="1" x14ac:dyDescent="0.25">
      <c r="A8" s="742">
        <v>1</v>
      </c>
      <c r="B8" s="743">
        <v>2</v>
      </c>
      <c r="C8" s="744">
        <v>3</v>
      </c>
      <c r="D8" s="745">
        <v>4</v>
      </c>
      <c r="E8" s="743">
        <v>5</v>
      </c>
      <c r="F8" s="746">
        <v>6</v>
      </c>
      <c r="G8" s="747">
        <v>7</v>
      </c>
      <c r="H8" s="748">
        <v>8</v>
      </c>
      <c r="I8" s="747">
        <v>9</v>
      </c>
      <c r="J8" s="748">
        <v>10</v>
      </c>
      <c r="K8" s="744">
        <v>11</v>
      </c>
      <c r="L8" s="748">
        <v>12</v>
      </c>
      <c r="M8" s="749">
        <v>13</v>
      </c>
      <c r="N8" s="748">
        <v>14</v>
      </c>
      <c r="O8" s="749">
        <v>15</v>
      </c>
    </row>
    <row r="9" spans="1:15" s="755" customFormat="1" x14ac:dyDescent="0.2">
      <c r="A9" s="1114" t="s">
        <v>471</v>
      </c>
      <c r="B9" s="1115"/>
      <c r="C9" s="1116"/>
      <c r="D9" s="750">
        <f>D10+D11</f>
        <v>1056860</v>
      </c>
      <c r="E9" s="751">
        <f>E10+E11</f>
        <v>1053516</v>
      </c>
      <c r="F9" s="751">
        <f t="shared" ref="F9:O9" si="0">F10+F11</f>
        <v>58994</v>
      </c>
      <c r="G9" s="752">
        <f t="shared" si="0"/>
        <v>3344</v>
      </c>
      <c r="H9" s="753">
        <f t="shared" si="0"/>
        <v>101787</v>
      </c>
      <c r="I9" s="752">
        <f t="shared" si="0"/>
        <v>4</v>
      </c>
      <c r="J9" s="753">
        <f t="shared" si="0"/>
        <v>209972</v>
      </c>
      <c r="K9" s="754">
        <f t="shared" si="0"/>
        <v>4</v>
      </c>
      <c r="L9" s="753">
        <f t="shared" si="0"/>
        <v>623516</v>
      </c>
      <c r="M9" s="754">
        <f t="shared" si="0"/>
        <v>67</v>
      </c>
      <c r="N9" s="750">
        <f t="shared" si="0"/>
        <v>118241</v>
      </c>
      <c r="O9" s="754">
        <f t="shared" si="0"/>
        <v>3269</v>
      </c>
    </row>
    <row r="10" spans="1:15" x14ac:dyDescent="0.2">
      <c r="A10" s="1111" t="s">
        <v>626</v>
      </c>
      <c r="B10" s="1112"/>
      <c r="C10" s="1113"/>
      <c r="D10" s="433"/>
      <c r="E10" s="434"/>
      <c r="F10" s="434"/>
      <c r="G10" s="431"/>
      <c r="H10" s="430"/>
      <c r="I10" s="431"/>
      <c r="J10" s="430"/>
      <c r="K10" s="432"/>
      <c r="L10" s="430"/>
      <c r="M10" s="432"/>
      <c r="N10" s="433"/>
      <c r="O10" s="432"/>
    </row>
    <row r="11" spans="1:15" s="755" customFormat="1" x14ac:dyDescent="0.2">
      <c r="A11" s="1111" t="s">
        <v>15</v>
      </c>
      <c r="B11" s="1112"/>
      <c r="C11" s="1113"/>
      <c r="D11" s="756">
        <f t="shared" ref="D11:O11" si="1">SUM(D12:D149)-D92</f>
        <v>1056860</v>
      </c>
      <c r="E11" s="757">
        <f t="shared" si="1"/>
        <v>1053516</v>
      </c>
      <c r="F11" s="757">
        <f t="shared" si="1"/>
        <v>58994</v>
      </c>
      <c r="G11" s="758">
        <f t="shared" si="1"/>
        <v>3344</v>
      </c>
      <c r="H11" s="756">
        <f t="shared" si="1"/>
        <v>101787</v>
      </c>
      <c r="I11" s="758">
        <f t="shared" si="1"/>
        <v>4</v>
      </c>
      <c r="J11" s="756">
        <f t="shared" si="1"/>
        <v>209972</v>
      </c>
      <c r="K11" s="759">
        <f t="shared" si="1"/>
        <v>4</v>
      </c>
      <c r="L11" s="757">
        <f t="shared" si="1"/>
        <v>623516</v>
      </c>
      <c r="M11" s="759">
        <f t="shared" si="1"/>
        <v>67</v>
      </c>
      <c r="N11" s="757">
        <f t="shared" si="1"/>
        <v>118241</v>
      </c>
      <c r="O11" s="759">
        <f t="shared" si="1"/>
        <v>3269</v>
      </c>
    </row>
    <row r="12" spans="1:15" x14ac:dyDescent="0.2">
      <c r="A12" s="429">
        <v>1</v>
      </c>
      <c r="B12" s="416" t="s">
        <v>54</v>
      </c>
      <c r="C12" s="423" t="s">
        <v>55</v>
      </c>
      <c r="D12" s="433">
        <f>H12+I12+J12+K12+L12+M12+N12+O12</f>
        <v>5912</v>
      </c>
      <c r="E12" s="434">
        <f>H12+J12+L12+N12</f>
        <v>5912</v>
      </c>
      <c r="F12" s="434">
        <v>152</v>
      </c>
      <c r="G12" s="431"/>
      <c r="H12" s="430">
        <v>446</v>
      </c>
      <c r="I12" s="431"/>
      <c r="J12" s="430">
        <f>665+421</f>
        <v>1086</v>
      </c>
      <c r="K12" s="432"/>
      <c r="L12" s="430">
        <f>2755+467</f>
        <v>3222</v>
      </c>
      <c r="M12" s="432"/>
      <c r="N12" s="433">
        <v>1158</v>
      </c>
      <c r="O12" s="432"/>
    </row>
    <row r="13" spans="1:15" x14ac:dyDescent="0.2">
      <c r="A13" s="429">
        <v>2</v>
      </c>
      <c r="B13" s="418" t="s">
        <v>56</v>
      </c>
      <c r="C13" s="423" t="s">
        <v>57</v>
      </c>
      <c r="D13" s="433">
        <f t="shared" ref="D13:D75" si="2">H13+I13+J13+K13+L13+M13+N13+O13</f>
        <v>5336</v>
      </c>
      <c r="E13" s="434">
        <f t="shared" ref="E13:E75" si="3">H13+J13+L13+N13</f>
        <v>5326</v>
      </c>
      <c r="F13" s="434">
        <v>110</v>
      </c>
      <c r="G13" s="431">
        <f t="shared" ref="G13:G70" si="4">I13+K13+M13+O13</f>
        <v>10</v>
      </c>
      <c r="H13" s="430">
        <v>548</v>
      </c>
      <c r="I13" s="431"/>
      <c r="J13" s="430">
        <f>585+284</f>
        <v>869</v>
      </c>
      <c r="K13" s="432"/>
      <c r="L13" s="430">
        <f>2753+467</f>
        <v>3220</v>
      </c>
      <c r="M13" s="432"/>
      <c r="N13" s="433">
        <v>689</v>
      </c>
      <c r="O13" s="432">
        <v>10</v>
      </c>
    </row>
    <row r="14" spans="1:15" x14ac:dyDescent="0.2">
      <c r="A14" s="429">
        <v>3</v>
      </c>
      <c r="B14" s="818" t="s">
        <v>16</v>
      </c>
      <c r="C14" s="423" t="s">
        <v>17</v>
      </c>
      <c r="D14" s="433">
        <f t="shared" si="2"/>
        <v>15093</v>
      </c>
      <c r="E14" s="434">
        <f t="shared" si="3"/>
        <v>14748</v>
      </c>
      <c r="F14" s="434">
        <v>1575</v>
      </c>
      <c r="G14" s="431">
        <f t="shared" si="4"/>
        <v>345</v>
      </c>
      <c r="H14" s="430"/>
      <c r="I14" s="431">
        <v>1</v>
      </c>
      <c r="J14" s="430">
        <f>1726+415</f>
        <v>2141</v>
      </c>
      <c r="K14" s="432">
        <v>2</v>
      </c>
      <c r="L14" s="430">
        <f>7080+1201</f>
        <v>8281</v>
      </c>
      <c r="M14" s="432">
        <v>51</v>
      </c>
      <c r="N14" s="433">
        <v>4326</v>
      </c>
      <c r="O14" s="432">
        <v>291</v>
      </c>
    </row>
    <row r="15" spans="1:15" x14ac:dyDescent="0.2">
      <c r="A15" s="429">
        <v>4</v>
      </c>
      <c r="B15" s="416" t="s">
        <v>58</v>
      </c>
      <c r="C15" s="423" t="s">
        <v>59</v>
      </c>
      <c r="D15" s="433">
        <f t="shared" si="2"/>
        <v>6652</v>
      </c>
      <c r="E15" s="434">
        <f t="shared" si="3"/>
        <v>6636</v>
      </c>
      <c r="F15" s="434">
        <v>140</v>
      </c>
      <c r="G15" s="431">
        <f t="shared" si="4"/>
        <v>16</v>
      </c>
      <c r="H15" s="430">
        <v>609</v>
      </c>
      <c r="I15" s="431"/>
      <c r="J15" s="430">
        <f>826+429</f>
        <v>1255</v>
      </c>
      <c r="K15" s="432"/>
      <c r="L15" s="430">
        <f>3309+561</f>
        <v>3870</v>
      </c>
      <c r="M15" s="432"/>
      <c r="N15" s="433">
        <v>902</v>
      </c>
      <c r="O15" s="432">
        <v>16</v>
      </c>
    </row>
    <row r="16" spans="1:15" ht="15" customHeight="1" x14ac:dyDescent="0.2">
      <c r="A16" s="429">
        <v>5</v>
      </c>
      <c r="B16" s="416" t="s">
        <v>60</v>
      </c>
      <c r="C16" s="423" t="s">
        <v>61</v>
      </c>
      <c r="D16" s="433">
        <f t="shared" si="2"/>
        <v>6334</v>
      </c>
      <c r="E16" s="434">
        <f t="shared" si="3"/>
        <v>6326</v>
      </c>
      <c r="F16" s="434">
        <v>504</v>
      </c>
      <c r="G16" s="431">
        <f t="shared" si="4"/>
        <v>8</v>
      </c>
      <c r="H16" s="430">
        <v>530</v>
      </c>
      <c r="I16" s="431"/>
      <c r="J16" s="430">
        <f>626+525</f>
        <v>1151</v>
      </c>
      <c r="K16" s="432"/>
      <c r="L16" s="430">
        <f>3319+563</f>
        <v>3882</v>
      </c>
      <c r="M16" s="432"/>
      <c r="N16" s="433">
        <v>763</v>
      </c>
      <c r="O16" s="432">
        <v>8</v>
      </c>
    </row>
    <row r="17" spans="1:15" x14ac:dyDescent="0.2">
      <c r="A17" s="429">
        <v>6</v>
      </c>
      <c r="B17" s="818" t="s">
        <v>18</v>
      </c>
      <c r="C17" s="423" t="s">
        <v>19</v>
      </c>
      <c r="D17" s="433">
        <f t="shared" si="2"/>
        <v>37753</v>
      </c>
      <c r="E17" s="434">
        <f t="shared" si="3"/>
        <v>37693</v>
      </c>
      <c r="F17" s="434">
        <v>1949</v>
      </c>
      <c r="G17" s="431">
        <f t="shared" si="4"/>
        <v>60</v>
      </c>
      <c r="H17" s="430">
        <v>3622</v>
      </c>
      <c r="I17" s="431"/>
      <c r="J17" s="430">
        <f>4806+1974</f>
        <v>6780</v>
      </c>
      <c r="K17" s="432"/>
      <c r="L17" s="430">
        <f>19893+3375</f>
        <v>23268</v>
      </c>
      <c r="M17" s="432"/>
      <c r="N17" s="433">
        <v>4023</v>
      </c>
      <c r="O17" s="432">
        <v>60</v>
      </c>
    </row>
    <row r="18" spans="1:15" x14ac:dyDescent="0.2">
      <c r="A18" s="429">
        <v>7</v>
      </c>
      <c r="B18" s="416" t="s">
        <v>62</v>
      </c>
      <c r="C18" s="423" t="s">
        <v>63</v>
      </c>
      <c r="D18" s="433">
        <f t="shared" si="2"/>
        <v>17047</v>
      </c>
      <c r="E18" s="434">
        <f t="shared" si="3"/>
        <v>17041</v>
      </c>
      <c r="F18" s="434">
        <v>460</v>
      </c>
      <c r="G18" s="431">
        <f t="shared" si="4"/>
        <v>6</v>
      </c>
      <c r="H18" s="430">
        <v>1401</v>
      </c>
      <c r="I18" s="431"/>
      <c r="J18" s="430">
        <f>1882+2181</f>
        <v>4063</v>
      </c>
      <c r="K18" s="432"/>
      <c r="L18" s="430">
        <f>8134+1380</f>
        <v>9514</v>
      </c>
      <c r="M18" s="432"/>
      <c r="N18" s="433">
        <v>2063</v>
      </c>
      <c r="O18" s="432">
        <v>6</v>
      </c>
    </row>
    <row r="19" spans="1:15" x14ac:dyDescent="0.2">
      <c r="A19" s="429">
        <v>8</v>
      </c>
      <c r="B19" s="818" t="s">
        <v>64</v>
      </c>
      <c r="C19" s="423" t="s">
        <v>65</v>
      </c>
      <c r="D19" s="433">
        <f>H19+I19+J19+K19+L19+M19+N19+O19</f>
        <v>5663</v>
      </c>
      <c r="E19" s="434">
        <f t="shared" si="3"/>
        <v>5633</v>
      </c>
      <c r="F19" s="434">
        <v>472</v>
      </c>
      <c r="G19" s="431">
        <f>I19+K19+M19+O19</f>
        <v>30</v>
      </c>
      <c r="H19" s="430">
        <v>541</v>
      </c>
      <c r="I19" s="431"/>
      <c r="J19" s="430">
        <f>792+394</f>
        <v>1186</v>
      </c>
      <c r="K19" s="432"/>
      <c r="L19" s="430">
        <f>2746+466</f>
        <v>3212</v>
      </c>
      <c r="M19" s="432"/>
      <c r="N19" s="433">
        <v>694</v>
      </c>
      <c r="O19" s="432">
        <v>30</v>
      </c>
    </row>
    <row r="20" spans="1:15" x14ac:dyDescent="0.2">
      <c r="A20" s="429">
        <v>9</v>
      </c>
      <c r="B20" s="818" t="s">
        <v>66</v>
      </c>
      <c r="C20" s="423" t="s">
        <v>67</v>
      </c>
      <c r="D20" s="433">
        <f t="shared" si="2"/>
        <v>7125</v>
      </c>
      <c r="E20" s="434">
        <f t="shared" si="3"/>
        <v>7125</v>
      </c>
      <c r="F20" s="434">
        <v>64</v>
      </c>
      <c r="G20" s="431"/>
      <c r="H20" s="430">
        <v>546</v>
      </c>
      <c r="I20" s="431"/>
      <c r="J20" s="430">
        <f>746+553</f>
        <v>1299</v>
      </c>
      <c r="K20" s="432"/>
      <c r="L20" s="430">
        <f>3612+613</f>
        <v>4225</v>
      </c>
      <c r="M20" s="432"/>
      <c r="N20" s="433">
        <v>1055</v>
      </c>
      <c r="O20" s="432"/>
    </row>
    <row r="21" spans="1:15" x14ac:dyDescent="0.2">
      <c r="A21" s="429">
        <v>10</v>
      </c>
      <c r="B21" s="818" t="s">
        <v>68</v>
      </c>
      <c r="C21" s="423" t="s">
        <v>69</v>
      </c>
      <c r="D21" s="433">
        <f t="shared" si="2"/>
        <v>9662</v>
      </c>
      <c r="E21" s="434">
        <f t="shared" si="3"/>
        <v>9662</v>
      </c>
      <c r="F21" s="434">
        <v>902</v>
      </c>
      <c r="G21" s="431"/>
      <c r="H21" s="430">
        <v>688</v>
      </c>
      <c r="I21" s="431"/>
      <c r="J21" s="430">
        <f>998+1142</f>
        <v>2140</v>
      </c>
      <c r="K21" s="432"/>
      <c r="L21" s="430">
        <f>4705+798</f>
        <v>5503</v>
      </c>
      <c r="M21" s="432"/>
      <c r="N21" s="433">
        <v>1331</v>
      </c>
      <c r="O21" s="432"/>
    </row>
    <row r="22" spans="1:15" x14ac:dyDescent="0.2">
      <c r="A22" s="429">
        <v>11</v>
      </c>
      <c r="B22" s="818" t="s">
        <v>70</v>
      </c>
      <c r="C22" s="423" t="s">
        <v>71</v>
      </c>
      <c r="D22" s="433">
        <f t="shared" si="2"/>
        <v>5940</v>
      </c>
      <c r="E22" s="434">
        <f t="shared" si="3"/>
        <v>5940</v>
      </c>
      <c r="F22" s="434">
        <v>652</v>
      </c>
      <c r="G22" s="431"/>
      <c r="H22" s="430">
        <v>423</v>
      </c>
      <c r="I22" s="431"/>
      <c r="J22" s="430">
        <f>526+341</f>
        <v>867</v>
      </c>
      <c r="K22" s="432"/>
      <c r="L22" s="430">
        <f>3187+541</f>
        <v>3728</v>
      </c>
      <c r="M22" s="432"/>
      <c r="N22" s="433">
        <v>922</v>
      </c>
      <c r="O22" s="432"/>
    </row>
    <row r="23" spans="1:15" x14ac:dyDescent="0.2">
      <c r="A23" s="429">
        <v>12</v>
      </c>
      <c r="B23" s="818" t="s">
        <v>72</v>
      </c>
      <c r="C23" s="423" t="s">
        <v>73</v>
      </c>
      <c r="D23" s="433">
        <f t="shared" si="2"/>
        <v>11519</v>
      </c>
      <c r="E23" s="434">
        <f t="shared" si="3"/>
        <v>11429</v>
      </c>
      <c r="F23" s="434">
        <v>412</v>
      </c>
      <c r="G23" s="431">
        <f t="shared" si="4"/>
        <v>90</v>
      </c>
      <c r="H23" s="430">
        <v>1130</v>
      </c>
      <c r="I23" s="431"/>
      <c r="J23" s="430">
        <f>1132+882</f>
        <v>2014</v>
      </c>
      <c r="K23" s="432"/>
      <c r="L23" s="430">
        <f>6270+1064</f>
        <v>7334</v>
      </c>
      <c r="M23" s="432"/>
      <c r="N23" s="433">
        <v>951</v>
      </c>
      <c r="O23" s="432">
        <v>90</v>
      </c>
    </row>
    <row r="24" spans="1:15" x14ac:dyDescent="0.2">
      <c r="A24" s="429">
        <v>13</v>
      </c>
      <c r="B24" s="818" t="s">
        <v>74</v>
      </c>
      <c r="C24" s="423" t="s">
        <v>75</v>
      </c>
      <c r="D24" s="433"/>
      <c r="E24" s="434"/>
      <c r="F24" s="434"/>
      <c r="G24" s="431"/>
      <c r="H24" s="430"/>
      <c r="I24" s="431"/>
      <c r="J24" s="430"/>
      <c r="K24" s="432"/>
      <c r="L24" s="430"/>
      <c r="M24" s="432"/>
      <c r="N24" s="433"/>
      <c r="O24" s="432"/>
    </row>
    <row r="25" spans="1:15" x14ac:dyDescent="0.2">
      <c r="A25" s="429">
        <v>14</v>
      </c>
      <c r="B25" s="818" t="s">
        <v>76</v>
      </c>
      <c r="C25" s="423" t="s">
        <v>77</v>
      </c>
      <c r="D25" s="433">
        <f t="shared" si="2"/>
        <v>7227</v>
      </c>
      <c r="E25" s="434">
        <f t="shared" si="3"/>
        <v>7227</v>
      </c>
      <c r="F25" s="434">
        <v>1607</v>
      </c>
      <c r="G25" s="431"/>
      <c r="H25" s="430">
        <v>482</v>
      </c>
      <c r="I25" s="431"/>
      <c r="J25" s="430">
        <f>700+602</f>
        <v>1302</v>
      </c>
      <c r="K25" s="432"/>
      <c r="L25" s="430">
        <f>3669+623</f>
        <v>4292</v>
      </c>
      <c r="M25" s="432"/>
      <c r="N25" s="433">
        <v>1151</v>
      </c>
      <c r="O25" s="432"/>
    </row>
    <row r="26" spans="1:15" x14ac:dyDescent="0.2">
      <c r="A26" s="429">
        <v>15</v>
      </c>
      <c r="B26" s="818" t="s">
        <v>78</v>
      </c>
      <c r="C26" s="423" t="s">
        <v>79</v>
      </c>
      <c r="D26" s="433">
        <f t="shared" si="2"/>
        <v>7446</v>
      </c>
      <c r="E26" s="434">
        <f t="shared" si="3"/>
        <v>7441</v>
      </c>
      <c r="F26" s="434">
        <v>895</v>
      </c>
      <c r="G26" s="431">
        <f t="shared" si="4"/>
        <v>5</v>
      </c>
      <c r="H26" s="430">
        <v>595</v>
      </c>
      <c r="I26" s="431"/>
      <c r="J26" s="430">
        <f>894+704</f>
        <v>1598</v>
      </c>
      <c r="K26" s="432"/>
      <c r="L26" s="430">
        <f>4247+720</f>
        <v>4967</v>
      </c>
      <c r="M26" s="432"/>
      <c r="N26" s="433">
        <v>281</v>
      </c>
      <c r="O26" s="432">
        <v>5</v>
      </c>
    </row>
    <row r="27" spans="1:15" x14ac:dyDescent="0.2">
      <c r="A27" s="429">
        <v>16</v>
      </c>
      <c r="B27" s="818" t="s">
        <v>80</v>
      </c>
      <c r="C27" s="423" t="s">
        <v>81</v>
      </c>
      <c r="D27" s="433">
        <f t="shared" si="2"/>
        <v>10932</v>
      </c>
      <c r="E27" s="434">
        <f t="shared" si="3"/>
        <v>10926</v>
      </c>
      <c r="F27" s="434">
        <v>724</v>
      </c>
      <c r="G27" s="431">
        <f t="shared" si="4"/>
        <v>6</v>
      </c>
      <c r="H27" s="430">
        <v>741</v>
      </c>
      <c r="I27" s="431"/>
      <c r="J27" s="430">
        <f>1132+1384</f>
        <v>2516</v>
      </c>
      <c r="K27" s="432"/>
      <c r="L27" s="430">
        <f>5402+916</f>
        <v>6318</v>
      </c>
      <c r="M27" s="432"/>
      <c r="N27" s="433">
        <v>1351</v>
      </c>
      <c r="O27" s="432">
        <v>6</v>
      </c>
    </row>
    <row r="28" spans="1:15" x14ac:dyDescent="0.2">
      <c r="A28" s="429">
        <v>17</v>
      </c>
      <c r="B28" s="818" t="s">
        <v>20</v>
      </c>
      <c r="C28" s="423" t="s">
        <v>21</v>
      </c>
      <c r="D28" s="433">
        <f t="shared" si="2"/>
        <v>20348</v>
      </c>
      <c r="E28" s="434">
        <f t="shared" si="3"/>
        <v>19988</v>
      </c>
      <c r="F28" s="434">
        <v>4250</v>
      </c>
      <c r="G28" s="431">
        <f t="shared" si="4"/>
        <v>360</v>
      </c>
      <c r="H28" s="430"/>
      <c r="I28" s="431"/>
      <c r="J28" s="430">
        <f>2159+1128</f>
        <v>3287</v>
      </c>
      <c r="K28" s="432"/>
      <c r="L28" s="430">
        <f>12413+2106</f>
        <v>14519</v>
      </c>
      <c r="M28" s="432">
        <v>1</v>
      </c>
      <c r="N28" s="433">
        <v>2182</v>
      </c>
      <c r="O28" s="432">
        <v>359</v>
      </c>
    </row>
    <row r="29" spans="1:15" x14ac:dyDescent="0.2">
      <c r="A29" s="429">
        <v>18</v>
      </c>
      <c r="B29" s="416" t="s">
        <v>82</v>
      </c>
      <c r="C29" s="423" t="s">
        <v>83</v>
      </c>
      <c r="D29" s="433">
        <f t="shared" si="2"/>
        <v>3275</v>
      </c>
      <c r="E29" s="434">
        <f t="shared" si="3"/>
        <v>3275</v>
      </c>
      <c r="F29" s="434">
        <v>693</v>
      </c>
      <c r="G29" s="431"/>
      <c r="H29" s="430">
        <v>256</v>
      </c>
      <c r="I29" s="431"/>
      <c r="J29" s="430">
        <f>278+106</f>
        <v>384</v>
      </c>
      <c r="K29" s="432"/>
      <c r="L29" s="430">
        <f>1808+307</f>
        <v>2115</v>
      </c>
      <c r="M29" s="432"/>
      <c r="N29" s="433">
        <v>520</v>
      </c>
      <c r="O29" s="432"/>
    </row>
    <row r="30" spans="1:15" x14ac:dyDescent="0.2">
      <c r="A30" s="429">
        <v>19</v>
      </c>
      <c r="B30" s="416" t="s">
        <v>84</v>
      </c>
      <c r="C30" s="423" t="s">
        <v>85</v>
      </c>
      <c r="D30" s="433">
        <f t="shared" si="2"/>
        <v>4485</v>
      </c>
      <c r="E30" s="434">
        <f t="shared" si="3"/>
        <v>4390</v>
      </c>
      <c r="F30" s="434">
        <v>787</v>
      </c>
      <c r="G30" s="431">
        <f t="shared" si="4"/>
        <v>95</v>
      </c>
      <c r="H30" s="430">
        <v>283</v>
      </c>
      <c r="I30" s="431"/>
      <c r="J30" s="430">
        <f>392+640</f>
        <v>1032</v>
      </c>
      <c r="K30" s="432"/>
      <c r="L30" s="430">
        <f>2037+346</f>
        <v>2383</v>
      </c>
      <c r="M30" s="432"/>
      <c r="N30" s="433">
        <v>692</v>
      </c>
      <c r="O30" s="432">
        <v>95</v>
      </c>
    </row>
    <row r="31" spans="1:15" x14ac:dyDescent="0.2">
      <c r="A31" s="429">
        <v>20</v>
      </c>
      <c r="B31" s="416" t="s">
        <v>86</v>
      </c>
      <c r="C31" s="423" t="s">
        <v>87</v>
      </c>
      <c r="D31" s="433">
        <f t="shared" si="2"/>
        <v>18836</v>
      </c>
      <c r="E31" s="434">
        <f t="shared" si="3"/>
        <v>18798</v>
      </c>
      <c r="F31" s="434">
        <v>389</v>
      </c>
      <c r="G31" s="431">
        <f t="shared" si="4"/>
        <v>38</v>
      </c>
      <c r="H31" s="430">
        <v>1439</v>
      </c>
      <c r="I31" s="431"/>
      <c r="J31" s="430">
        <f>2221+1910</f>
        <v>4131</v>
      </c>
      <c r="K31" s="432"/>
      <c r="L31" s="430">
        <f>10006+1698</f>
        <v>11704</v>
      </c>
      <c r="M31" s="432">
        <v>1</v>
      </c>
      <c r="N31" s="433">
        <v>1524</v>
      </c>
      <c r="O31" s="432">
        <v>37</v>
      </c>
    </row>
    <row r="32" spans="1:15" x14ac:dyDescent="0.2">
      <c r="A32" s="429">
        <v>21</v>
      </c>
      <c r="B32" s="416" t="s">
        <v>22</v>
      </c>
      <c r="C32" s="423" t="s">
        <v>23</v>
      </c>
      <c r="D32" s="433">
        <f t="shared" si="2"/>
        <v>11472</v>
      </c>
      <c r="E32" s="434">
        <f t="shared" si="3"/>
        <v>11439</v>
      </c>
      <c r="F32" s="434">
        <v>435</v>
      </c>
      <c r="G32" s="431">
        <f t="shared" si="4"/>
        <v>33</v>
      </c>
      <c r="H32" s="430"/>
      <c r="I32" s="431"/>
      <c r="J32" s="430">
        <f>1667+445</f>
        <v>2112</v>
      </c>
      <c r="K32" s="432"/>
      <c r="L32" s="430">
        <f>6381+1083</f>
        <v>7464</v>
      </c>
      <c r="M32" s="432"/>
      <c r="N32" s="433">
        <v>1863</v>
      </c>
      <c r="O32" s="432">
        <v>33</v>
      </c>
    </row>
    <row r="33" spans="1:15" x14ac:dyDescent="0.2">
      <c r="A33" s="429">
        <v>22</v>
      </c>
      <c r="B33" s="818" t="s">
        <v>24</v>
      </c>
      <c r="C33" s="423" t="s">
        <v>25</v>
      </c>
      <c r="D33" s="433">
        <f t="shared" si="2"/>
        <v>2991</v>
      </c>
      <c r="E33" s="434">
        <f t="shared" si="3"/>
        <v>2991</v>
      </c>
      <c r="F33" s="434">
        <v>213</v>
      </c>
      <c r="G33" s="431"/>
      <c r="H33" s="430">
        <v>397</v>
      </c>
      <c r="I33" s="431"/>
      <c r="J33" s="430">
        <f>583+229</f>
        <v>812</v>
      </c>
      <c r="K33" s="432"/>
      <c r="L33" s="430">
        <f>1337+227</f>
        <v>1564</v>
      </c>
      <c r="M33" s="432"/>
      <c r="N33" s="433">
        <v>218</v>
      </c>
      <c r="O33" s="432"/>
    </row>
    <row r="34" spans="1:15" x14ac:dyDescent="0.2">
      <c r="A34" s="429">
        <v>23</v>
      </c>
      <c r="B34" s="818" t="s">
        <v>88</v>
      </c>
      <c r="C34" s="423" t="s">
        <v>89</v>
      </c>
      <c r="D34" s="433"/>
      <c r="E34" s="434"/>
      <c r="F34" s="434"/>
      <c r="G34" s="431"/>
      <c r="H34" s="430"/>
      <c r="I34" s="431"/>
      <c r="J34" s="430"/>
      <c r="K34" s="432"/>
      <c r="L34" s="430"/>
      <c r="M34" s="432"/>
      <c r="N34" s="433"/>
      <c r="O34" s="432"/>
    </row>
    <row r="35" spans="1:15" ht="25.5" x14ac:dyDescent="0.2">
      <c r="A35" s="429">
        <v>24</v>
      </c>
      <c r="B35" s="818" t="s">
        <v>90</v>
      </c>
      <c r="C35" s="423" t="s">
        <v>91</v>
      </c>
      <c r="D35" s="433"/>
      <c r="E35" s="434"/>
      <c r="F35" s="434"/>
      <c r="G35" s="431"/>
      <c r="H35" s="430"/>
      <c r="I35" s="431"/>
      <c r="J35" s="430"/>
      <c r="K35" s="432"/>
      <c r="L35" s="430"/>
      <c r="M35" s="432"/>
      <c r="N35" s="433"/>
      <c r="O35" s="432"/>
    </row>
    <row r="36" spans="1:15" x14ac:dyDescent="0.2">
      <c r="A36" s="429">
        <v>25</v>
      </c>
      <c r="B36" s="416" t="s">
        <v>92</v>
      </c>
      <c r="C36" s="423" t="s">
        <v>93</v>
      </c>
      <c r="D36" s="433">
        <f t="shared" si="2"/>
        <v>80620</v>
      </c>
      <c r="E36" s="434">
        <f t="shared" si="3"/>
        <v>80354</v>
      </c>
      <c r="F36" s="434">
        <v>9178</v>
      </c>
      <c r="G36" s="431">
        <f t="shared" si="4"/>
        <v>266</v>
      </c>
      <c r="H36" s="430">
        <v>7861</v>
      </c>
      <c r="I36" s="431"/>
      <c r="J36" s="430">
        <f>9786+8630</f>
        <v>18416</v>
      </c>
      <c r="K36" s="432"/>
      <c r="L36" s="430">
        <f>40408+6855</f>
        <v>47263</v>
      </c>
      <c r="M36" s="432"/>
      <c r="N36" s="433">
        <v>6814</v>
      </c>
      <c r="O36" s="842">
        <f>34+155+77</f>
        <v>266</v>
      </c>
    </row>
    <row r="37" spans="1:15" x14ac:dyDescent="0.2">
      <c r="A37" s="429">
        <v>26</v>
      </c>
      <c r="B37" s="818" t="s">
        <v>94</v>
      </c>
      <c r="C37" s="423" t="s">
        <v>95</v>
      </c>
      <c r="D37" s="433">
        <f t="shared" si="2"/>
        <v>0</v>
      </c>
      <c r="E37" s="434"/>
      <c r="F37" s="434"/>
      <c r="G37" s="431">
        <f t="shared" si="4"/>
        <v>0</v>
      </c>
      <c r="H37" s="430"/>
      <c r="I37" s="431"/>
      <c r="J37" s="430"/>
      <c r="K37" s="432"/>
      <c r="L37" s="430"/>
      <c r="M37" s="432"/>
      <c r="N37" s="433"/>
      <c r="O37" s="842">
        <f>232-155-77</f>
        <v>0</v>
      </c>
    </row>
    <row r="38" spans="1:15" x14ac:dyDescent="0.2">
      <c r="A38" s="429">
        <v>27</v>
      </c>
      <c r="B38" s="418" t="s">
        <v>96</v>
      </c>
      <c r="C38" s="423" t="s">
        <v>97</v>
      </c>
      <c r="D38" s="433"/>
      <c r="E38" s="434"/>
      <c r="F38" s="434"/>
      <c r="G38" s="431"/>
      <c r="H38" s="430"/>
      <c r="I38" s="431"/>
      <c r="J38" s="430"/>
      <c r="K38" s="432"/>
      <c r="L38" s="430"/>
      <c r="M38" s="432"/>
      <c r="N38" s="433"/>
      <c r="O38" s="432"/>
    </row>
    <row r="39" spans="1:15" x14ac:dyDescent="0.2">
      <c r="A39" s="429">
        <v>28</v>
      </c>
      <c r="B39" s="418" t="s">
        <v>26</v>
      </c>
      <c r="C39" s="423" t="s">
        <v>27</v>
      </c>
      <c r="D39" s="433">
        <f t="shared" si="2"/>
        <v>16503</v>
      </c>
      <c r="E39" s="434">
        <f t="shared" si="3"/>
        <v>16377</v>
      </c>
      <c r="F39" s="434">
        <v>833</v>
      </c>
      <c r="G39" s="431">
        <f t="shared" si="4"/>
        <v>126</v>
      </c>
      <c r="H39" s="430"/>
      <c r="I39" s="431"/>
      <c r="J39" s="430">
        <f>2314+2197</f>
        <v>4511</v>
      </c>
      <c r="K39" s="432"/>
      <c r="L39" s="430">
        <f>9636+1635</f>
        <v>11271</v>
      </c>
      <c r="M39" s="432">
        <v>1</v>
      </c>
      <c r="N39" s="433">
        <v>595</v>
      </c>
      <c r="O39" s="432">
        <v>125</v>
      </c>
    </row>
    <row r="40" spans="1:15" x14ac:dyDescent="0.2">
      <c r="A40" s="429">
        <v>29</v>
      </c>
      <c r="B40" s="416" t="s">
        <v>98</v>
      </c>
      <c r="C40" s="423" t="s">
        <v>99</v>
      </c>
      <c r="D40" s="433">
        <f t="shared" si="2"/>
        <v>29027</v>
      </c>
      <c r="E40" s="434">
        <f t="shared" si="3"/>
        <v>29011</v>
      </c>
      <c r="F40" s="434">
        <v>1047</v>
      </c>
      <c r="G40" s="431">
        <f t="shared" si="4"/>
        <v>16</v>
      </c>
      <c r="H40" s="430"/>
      <c r="I40" s="431"/>
      <c r="J40" s="430">
        <f>4161+2682</f>
        <v>6843</v>
      </c>
      <c r="K40" s="432"/>
      <c r="L40" s="430">
        <f>16276+2761</f>
        <v>19037</v>
      </c>
      <c r="M40" s="432"/>
      <c r="N40" s="433">
        <v>3131</v>
      </c>
      <c r="O40" s="432">
        <v>16</v>
      </c>
    </row>
    <row r="41" spans="1:15" x14ac:dyDescent="0.2">
      <c r="A41" s="429">
        <v>30</v>
      </c>
      <c r="B41" s="418" t="s">
        <v>100</v>
      </c>
      <c r="C41" s="423" t="s">
        <v>101</v>
      </c>
      <c r="D41" s="433">
        <f t="shared" si="2"/>
        <v>5626</v>
      </c>
      <c r="E41" s="434">
        <f t="shared" si="3"/>
        <v>5621</v>
      </c>
      <c r="F41" s="434">
        <v>185</v>
      </c>
      <c r="G41" s="431">
        <f t="shared" si="4"/>
        <v>5</v>
      </c>
      <c r="H41" s="430">
        <v>469</v>
      </c>
      <c r="I41" s="431"/>
      <c r="J41" s="430">
        <f>702+364</f>
        <v>1066</v>
      </c>
      <c r="K41" s="432"/>
      <c r="L41" s="430">
        <f>3076+522</f>
        <v>3598</v>
      </c>
      <c r="M41" s="432"/>
      <c r="N41" s="433">
        <v>488</v>
      </c>
      <c r="O41" s="432">
        <v>5</v>
      </c>
    </row>
    <row r="42" spans="1:15" x14ac:dyDescent="0.2">
      <c r="A42" s="429">
        <v>31</v>
      </c>
      <c r="B42" s="818" t="s">
        <v>102</v>
      </c>
      <c r="C42" s="423" t="s">
        <v>103</v>
      </c>
      <c r="D42" s="433">
        <f t="shared" si="2"/>
        <v>22564</v>
      </c>
      <c r="E42" s="434">
        <f t="shared" si="3"/>
        <v>22489</v>
      </c>
      <c r="F42" s="434">
        <v>923</v>
      </c>
      <c r="G42" s="431">
        <f t="shared" si="4"/>
        <v>75</v>
      </c>
      <c r="H42" s="430">
        <v>1904</v>
      </c>
      <c r="I42" s="431"/>
      <c r="J42" s="430">
        <f>2834+1503</f>
        <v>4337</v>
      </c>
      <c r="K42" s="432"/>
      <c r="L42" s="430">
        <f>10772+1828</f>
        <v>12600</v>
      </c>
      <c r="M42" s="432"/>
      <c r="N42" s="433">
        <v>3648</v>
      </c>
      <c r="O42" s="432">
        <v>75</v>
      </c>
    </row>
    <row r="43" spans="1:15" x14ac:dyDescent="0.2">
      <c r="A43" s="429">
        <v>32</v>
      </c>
      <c r="B43" s="418" t="s">
        <v>104</v>
      </c>
      <c r="C43" s="423" t="s">
        <v>105</v>
      </c>
      <c r="D43" s="433">
        <f t="shared" si="2"/>
        <v>9047</v>
      </c>
      <c r="E43" s="434">
        <f t="shared" si="3"/>
        <v>8992</v>
      </c>
      <c r="F43" s="434">
        <v>207</v>
      </c>
      <c r="G43" s="431">
        <f t="shared" si="4"/>
        <v>55</v>
      </c>
      <c r="H43" s="430">
        <v>670</v>
      </c>
      <c r="I43" s="431"/>
      <c r="J43" s="430">
        <f>1130+1310</f>
        <v>2440</v>
      </c>
      <c r="K43" s="432"/>
      <c r="L43" s="430">
        <f>4634+786</f>
        <v>5420</v>
      </c>
      <c r="M43" s="432"/>
      <c r="N43" s="433">
        <v>462</v>
      </c>
      <c r="O43" s="432">
        <v>55</v>
      </c>
    </row>
    <row r="44" spans="1:15" x14ac:dyDescent="0.2">
      <c r="A44" s="429">
        <v>33</v>
      </c>
      <c r="B44" s="416" t="s">
        <v>106</v>
      </c>
      <c r="C44" s="423" t="s">
        <v>107</v>
      </c>
      <c r="D44" s="433">
        <f t="shared" si="2"/>
        <v>20961</v>
      </c>
      <c r="E44" s="434">
        <f t="shared" si="3"/>
        <v>20887</v>
      </c>
      <c r="F44" s="434">
        <v>1145</v>
      </c>
      <c r="G44" s="431">
        <f t="shared" si="4"/>
        <v>74</v>
      </c>
      <c r="H44" s="430">
        <v>2023</v>
      </c>
      <c r="I44" s="431"/>
      <c r="J44" s="430">
        <f>2954+1024</f>
        <v>3978</v>
      </c>
      <c r="K44" s="432"/>
      <c r="L44" s="430">
        <f>11035+1872</f>
        <v>12907</v>
      </c>
      <c r="M44" s="432"/>
      <c r="N44" s="433">
        <v>1979</v>
      </c>
      <c r="O44" s="432">
        <v>74</v>
      </c>
    </row>
    <row r="45" spans="1:15" x14ac:dyDescent="0.2">
      <c r="A45" s="429">
        <v>34</v>
      </c>
      <c r="B45" s="760" t="s">
        <v>108</v>
      </c>
      <c r="C45" s="761" t="s">
        <v>109</v>
      </c>
      <c r="D45" s="433">
        <f t="shared" si="2"/>
        <v>7045</v>
      </c>
      <c r="E45" s="434">
        <f t="shared" si="3"/>
        <v>7025</v>
      </c>
      <c r="F45" s="434">
        <v>164</v>
      </c>
      <c r="G45" s="431">
        <f t="shared" si="4"/>
        <v>20</v>
      </c>
      <c r="H45" s="430">
        <v>683</v>
      </c>
      <c r="I45" s="431"/>
      <c r="J45" s="430">
        <f>957+265</f>
        <v>1222</v>
      </c>
      <c r="K45" s="432"/>
      <c r="L45" s="430">
        <f>3861+655</f>
        <v>4516</v>
      </c>
      <c r="M45" s="432"/>
      <c r="N45" s="433">
        <v>604</v>
      </c>
      <c r="O45" s="432">
        <v>20</v>
      </c>
    </row>
    <row r="46" spans="1:15" x14ac:dyDescent="0.2">
      <c r="A46" s="429">
        <v>35</v>
      </c>
      <c r="B46" s="416" t="s">
        <v>110</v>
      </c>
      <c r="C46" s="423" t="s">
        <v>111</v>
      </c>
      <c r="D46" s="433">
        <f t="shared" si="2"/>
        <v>5908</v>
      </c>
      <c r="E46" s="434">
        <f t="shared" si="3"/>
        <v>5843</v>
      </c>
      <c r="F46" s="434">
        <v>143</v>
      </c>
      <c r="G46" s="431">
        <f t="shared" si="4"/>
        <v>65</v>
      </c>
      <c r="H46" s="430">
        <v>558</v>
      </c>
      <c r="I46" s="431"/>
      <c r="J46" s="430">
        <f>619+221</f>
        <v>840</v>
      </c>
      <c r="K46" s="432"/>
      <c r="L46" s="430">
        <f>2993+508</f>
        <v>3501</v>
      </c>
      <c r="M46" s="432"/>
      <c r="N46" s="433">
        <v>944</v>
      </c>
      <c r="O46" s="432">
        <v>65</v>
      </c>
    </row>
    <row r="47" spans="1:15" x14ac:dyDescent="0.2">
      <c r="A47" s="429">
        <v>36</v>
      </c>
      <c r="B47" s="416" t="s">
        <v>112</v>
      </c>
      <c r="C47" s="423" t="s">
        <v>113</v>
      </c>
      <c r="D47" s="433">
        <f t="shared" si="2"/>
        <v>10452</v>
      </c>
      <c r="E47" s="434">
        <f t="shared" si="3"/>
        <v>10452</v>
      </c>
      <c r="F47" s="434">
        <v>276</v>
      </c>
      <c r="G47" s="431"/>
      <c r="H47" s="430">
        <v>861</v>
      </c>
      <c r="I47" s="431"/>
      <c r="J47" s="430">
        <f>1013+851</f>
        <v>1864</v>
      </c>
      <c r="K47" s="432"/>
      <c r="L47" s="430">
        <f>5245+890</f>
        <v>6135</v>
      </c>
      <c r="M47" s="432"/>
      <c r="N47" s="433">
        <v>1592</v>
      </c>
      <c r="O47" s="432"/>
    </row>
    <row r="48" spans="1:15" x14ac:dyDescent="0.2">
      <c r="A48" s="429">
        <v>37</v>
      </c>
      <c r="B48" s="818" t="s">
        <v>114</v>
      </c>
      <c r="C48" s="423" t="s">
        <v>115</v>
      </c>
      <c r="D48" s="433">
        <f t="shared" si="2"/>
        <v>3903</v>
      </c>
      <c r="E48" s="434">
        <f t="shared" si="3"/>
        <v>3903</v>
      </c>
      <c r="F48" s="434">
        <v>89</v>
      </c>
      <c r="G48" s="431"/>
      <c r="H48" s="430">
        <v>407</v>
      </c>
      <c r="I48" s="431"/>
      <c r="J48" s="430">
        <f>436+221</f>
        <v>657</v>
      </c>
      <c r="K48" s="432"/>
      <c r="L48" s="430">
        <f>2070+351</f>
        <v>2421</v>
      </c>
      <c r="M48" s="432"/>
      <c r="N48" s="433">
        <v>418</v>
      </c>
      <c r="O48" s="432"/>
    </row>
    <row r="49" spans="1:15" x14ac:dyDescent="0.2">
      <c r="A49" s="429">
        <v>38</v>
      </c>
      <c r="B49" s="418" t="s">
        <v>116</v>
      </c>
      <c r="C49" s="423" t="s">
        <v>117</v>
      </c>
      <c r="D49" s="433">
        <f t="shared" si="2"/>
        <v>5359</v>
      </c>
      <c r="E49" s="434">
        <f t="shared" si="3"/>
        <v>5359</v>
      </c>
      <c r="F49" s="434">
        <v>129</v>
      </c>
      <c r="G49" s="431"/>
      <c r="H49" s="430">
        <v>1105</v>
      </c>
      <c r="I49" s="431"/>
      <c r="J49" s="430">
        <f>1112+581</f>
        <v>1693</v>
      </c>
      <c r="K49" s="432"/>
      <c r="L49" s="430">
        <f>2190+371</f>
        <v>2561</v>
      </c>
      <c r="M49" s="432"/>
      <c r="N49" s="433"/>
      <c r="O49" s="432"/>
    </row>
    <row r="50" spans="1:15" x14ac:dyDescent="0.2">
      <c r="A50" s="429">
        <v>39</v>
      </c>
      <c r="B50" s="818" t="s">
        <v>28</v>
      </c>
      <c r="C50" s="423" t="s">
        <v>29</v>
      </c>
      <c r="D50" s="433">
        <f t="shared" si="2"/>
        <v>26831</v>
      </c>
      <c r="E50" s="434">
        <f t="shared" si="3"/>
        <v>26667</v>
      </c>
      <c r="F50" s="434">
        <v>309</v>
      </c>
      <c r="G50" s="431">
        <f t="shared" si="4"/>
        <v>164</v>
      </c>
      <c r="H50" s="430">
        <v>2786</v>
      </c>
      <c r="I50" s="431">
        <v>1</v>
      </c>
      <c r="J50" s="430">
        <f>3406+2530</f>
        <v>5936</v>
      </c>
      <c r="K50" s="432"/>
      <c r="L50" s="430">
        <f>13493+2289</f>
        <v>15782</v>
      </c>
      <c r="M50" s="432">
        <v>1</v>
      </c>
      <c r="N50" s="433">
        <v>2163</v>
      </c>
      <c r="O50" s="432">
        <v>162</v>
      </c>
    </row>
    <row r="51" spans="1:15" x14ac:dyDescent="0.2">
      <c r="A51" s="429">
        <v>40</v>
      </c>
      <c r="B51" s="416" t="s">
        <v>118</v>
      </c>
      <c r="C51" s="423" t="s">
        <v>119</v>
      </c>
      <c r="D51" s="433">
        <f t="shared" si="2"/>
        <v>9011</v>
      </c>
      <c r="E51" s="434">
        <f t="shared" si="3"/>
        <v>8936</v>
      </c>
      <c r="F51" s="434">
        <v>124</v>
      </c>
      <c r="G51" s="431">
        <f t="shared" si="4"/>
        <v>75</v>
      </c>
      <c r="H51" s="430">
        <v>705</v>
      </c>
      <c r="I51" s="431">
        <v>2</v>
      </c>
      <c r="J51" s="430">
        <f>1090+955</f>
        <v>2045</v>
      </c>
      <c r="K51" s="432"/>
      <c r="L51" s="430">
        <f>4494+762</f>
        <v>5256</v>
      </c>
      <c r="M51" s="432">
        <v>2</v>
      </c>
      <c r="N51" s="433">
        <v>930</v>
      </c>
      <c r="O51" s="432">
        <v>71</v>
      </c>
    </row>
    <row r="52" spans="1:15" x14ac:dyDescent="0.2">
      <c r="A52" s="429">
        <v>41</v>
      </c>
      <c r="B52" s="416" t="s">
        <v>120</v>
      </c>
      <c r="C52" s="423" t="s">
        <v>121</v>
      </c>
      <c r="D52" s="433">
        <f t="shared" si="2"/>
        <v>16395</v>
      </c>
      <c r="E52" s="434">
        <f t="shared" si="3"/>
        <v>16328</v>
      </c>
      <c r="F52" s="434">
        <v>1880</v>
      </c>
      <c r="G52" s="431">
        <f t="shared" si="4"/>
        <v>67</v>
      </c>
      <c r="H52" s="430"/>
      <c r="I52" s="431"/>
      <c r="J52" s="430">
        <f>2698+1501</f>
        <v>4199</v>
      </c>
      <c r="K52" s="432"/>
      <c r="L52" s="430">
        <f>8562+1453</f>
        <v>10015</v>
      </c>
      <c r="M52" s="432"/>
      <c r="N52" s="433">
        <v>2114</v>
      </c>
      <c r="O52" s="432">
        <v>67</v>
      </c>
    </row>
    <row r="53" spans="1:15" x14ac:dyDescent="0.2">
      <c r="A53" s="429">
        <v>42</v>
      </c>
      <c r="B53" s="818" t="s">
        <v>122</v>
      </c>
      <c r="C53" s="423" t="s">
        <v>123</v>
      </c>
      <c r="D53" s="433">
        <f t="shared" si="2"/>
        <v>6478</v>
      </c>
      <c r="E53" s="434">
        <f t="shared" si="3"/>
        <v>6418</v>
      </c>
      <c r="F53" s="434">
        <v>87</v>
      </c>
      <c r="G53" s="431">
        <f t="shared" si="4"/>
        <v>60</v>
      </c>
      <c r="H53" s="430">
        <v>596</v>
      </c>
      <c r="I53" s="431"/>
      <c r="J53" s="430">
        <f>692+432</f>
        <v>1124</v>
      </c>
      <c r="K53" s="432"/>
      <c r="L53" s="430">
        <f>3163+537</f>
        <v>3700</v>
      </c>
      <c r="M53" s="432"/>
      <c r="N53" s="433">
        <v>998</v>
      </c>
      <c r="O53" s="432">
        <v>60</v>
      </c>
    </row>
    <row r="54" spans="1:15" x14ac:dyDescent="0.2">
      <c r="A54" s="429">
        <v>43</v>
      </c>
      <c r="B54" s="418" t="s">
        <v>124</v>
      </c>
      <c r="C54" s="423" t="s">
        <v>125</v>
      </c>
      <c r="D54" s="433">
        <f t="shared" si="2"/>
        <v>7304</v>
      </c>
      <c r="E54" s="434">
        <f t="shared" si="3"/>
        <v>7304</v>
      </c>
      <c r="F54" s="434">
        <v>117</v>
      </c>
      <c r="G54" s="431"/>
      <c r="H54" s="430">
        <v>809</v>
      </c>
      <c r="I54" s="431"/>
      <c r="J54" s="430">
        <f>1101+378</f>
        <v>1479</v>
      </c>
      <c r="K54" s="432"/>
      <c r="L54" s="430">
        <f>3960+672</f>
        <v>4632</v>
      </c>
      <c r="M54" s="432"/>
      <c r="N54" s="433">
        <v>384</v>
      </c>
      <c r="O54" s="432"/>
    </row>
    <row r="55" spans="1:15" ht="15.75" customHeight="1" x14ac:dyDescent="0.2">
      <c r="A55" s="429">
        <v>44</v>
      </c>
      <c r="B55" s="818" t="s">
        <v>126</v>
      </c>
      <c r="C55" s="423" t="s">
        <v>127</v>
      </c>
      <c r="D55" s="433">
        <f t="shared" si="2"/>
        <v>9764</v>
      </c>
      <c r="E55" s="434">
        <f t="shared" si="3"/>
        <v>9699</v>
      </c>
      <c r="F55" s="434">
        <v>220</v>
      </c>
      <c r="G55" s="431">
        <f t="shared" si="4"/>
        <v>65</v>
      </c>
      <c r="H55" s="430">
        <v>897</v>
      </c>
      <c r="I55" s="431"/>
      <c r="J55" s="430">
        <f>1203+1097</f>
        <v>2300</v>
      </c>
      <c r="K55" s="432"/>
      <c r="L55" s="430">
        <f>5258+892</f>
        <v>6150</v>
      </c>
      <c r="M55" s="432"/>
      <c r="N55" s="433">
        <v>352</v>
      </c>
      <c r="O55" s="432">
        <v>65</v>
      </c>
    </row>
    <row r="56" spans="1:15" ht="14.25" customHeight="1" x14ac:dyDescent="0.2">
      <c r="A56" s="429">
        <v>45</v>
      </c>
      <c r="B56" s="418" t="s">
        <v>128</v>
      </c>
      <c r="C56" s="423" t="s">
        <v>129</v>
      </c>
      <c r="D56" s="433">
        <f t="shared" si="2"/>
        <v>9691</v>
      </c>
      <c r="E56" s="434">
        <f t="shared" si="3"/>
        <v>9671</v>
      </c>
      <c r="F56" s="434">
        <v>761</v>
      </c>
      <c r="G56" s="431">
        <f t="shared" si="4"/>
        <v>20</v>
      </c>
      <c r="H56" s="430">
        <v>1039</v>
      </c>
      <c r="I56" s="431"/>
      <c r="J56" s="430">
        <f>1389+488</f>
        <v>1877</v>
      </c>
      <c r="K56" s="432"/>
      <c r="L56" s="430">
        <f>4456+756</f>
        <v>5212</v>
      </c>
      <c r="M56" s="432"/>
      <c r="N56" s="433">
        <v>1543</v>
      </c>
      <c r="O56" s="432">
        <v>20</v>
      </c>
    </row>
    <row r="57" spans="1:15" x14ac:dyDescent="0.2">
      <c r="A57" s="429">
        <v>46</v>
      </c>
      <c r="B57" s="818" t="s">
        <v>130</v>
      </c>
      <c r="C57" s="423" t="s">
        <v>131</v>
      </c>
      <c r="D57" s="433">
        <f t="shared" si="2"/>
        <v>4365</v>
      </c>
      <c r="E57" s="434">
        <f t="shared" si="3"/>
        <v>4359</v>
      </c>
      <c r="F57" s="434">
        <v>378</v>
      </c>
      <c r="G57" s="431">
        <f t="shared" si="4"/>
        <v>6</v>
      </c>
      <c r="H57" s="430">
        <v>341</v>
      </c>
      <c r="I57" s="431"/>
      <c r="J57" s="430">
        <f>460+240</f>
        <v>700</v>
      </c>
      <c r="K57" s="432"/>
      <c r="L57" s="430">
        <f>2125+361</f>
        <v>2486</v>
      </c>
      <c r="M57" s="432"/>
      <c r="N57" s="433">
        <v>832</v>
      </c>
      <c r="O57" s="432">
        <v>6</v>
      </c>
    </row>
    <row r="58" spans="1:15" x14ac:dyDescent="0.2">
      <c r="A58" s="429">
        <v>47</v>
      </c>
      <c r="B58" s="418" t="s">
        <v>132</v>
      </c>
      <c r="C58" s="423" t="s">
        <v>133</v>
      </c>
      <c r="D58" s="433">
        <f t="shared" si="2"/>
        <v>6804</v>
      </c>
      <c r="E58" s="434">
        <f t="shared" si="3"/>
        <v>6804</v>
      </c>
      <c r="F58" s="434">
        <v>2564</v>
      </c>
      <c r="G58" s="431"/>
      <c r="H58" s="430">
        <v>735</v>
      </c>
      <c r="I58" s="431"/>
      <c r="J58" s="430">
        <f>725+532</f>
        <v>1257</v>
      </c>
      <c r="K58" s="432"/>
      <c r="L58" s="430">
        <f>3415+579</f>
        <v>3994</v>
      </c>
      <c r="M58" s="432"/>
      <c r="N58" s="433">
        <v>818</v>
      </c>
      <c r="O58" s="432"/>
    </row>
    <row r="59" spans="1:15" x14ac:dyDescent="0.2">
      <c r="A59" s="429">
        <v>48</v>
      </c>
      <c r="B59" s="818" t="s">
        <v>134</v>
      </c>
      <c r="C59" s="423" t="s">
        <v>135</v>
      </c>
      <c r="D59" s="433">
        <f t="shared" si="2"/>
        <v>13595</v>
      </c>
      <c r="E59" s="434">
        <f t="shared" si="3"/>
        <v>13577</v>
      </c>
      <c r="F59" s="434">
        <v>530</v>
      </c>
      <c r="G59" s="431">
        <f t="shared" si="4"/>
        <v>18</v>
      </c>
      <c r="H59" s="430">
        <v>1154</v>
      </c>
      <c r="I59" s="431"/>
      <c r="J59" s="430">
        <f>1141+1195</f>
        <v>2336</v>
      </c>
      <c r="K59" s="432"/>
      <c r="L59" s="430">
        <f>6484+1100</f>
        <v>7584</v>
      </c>
      <c r="M59" s="432"/>
      <c r="N59" s="433">
        <v>2503</v>
      </c>
      <c r="O59" s="432">
        <v>18</v>
      </c>
    </row>
    <row r="60" spans="1:15" x14ac:dyDescent="0.2">
      <c r="A60" s="429">
        <v>49</v>
      </c>
      <c r="B60" s="818" t="s">
        <v>136</v>
      </c>
      <c r="C60" s="423" t="s">
        <v>137</v>
      </c>
      <c r="D60" s="433">
        <f t="shared" si="2"/>
        <v>35787</v>
      </c>
      <c r="E60" s="434">
        <f t="shared" si="3"/>
        <v>35500</v>
      </c>
      <c r="F60" s="434">
        <v>928</v>
      </c>
      <c r="G60" s="431">
        <f t="shared" si="4"/>
        <v>287</v>
      </c>
      <c r="H60" s="430">
        <v>3136</v>
      </c>
      <c r="I60" s="431"/>
      <c r="J60" s="430">
        <f>3999+2481</f>
        <v>6480</v>
      </c>
      <c r="K60" s="432"/>
      <c r="L60" s="430">
        <f>18514+3142</f>
        <v>21656</v>
      </c>
      <c r="M60" s="432">
        <v>8</v>
      </c>
      <c r="N60" s="433">
        <v>4228</v>
      </c>
      <c r="O60" s="432">
        <v>279</v>
      </c>
    </row>
    <row r="61" spans="1:15" x14ac:dyDescent="0.2">
      <c r="A61" s="429">
        <v>50</v>
      </c>
      <c r="B61" s="818" t="s">
        <v>138</v>
      </c>
      <c r="C61" s="423" t="s">
        <v>139</v>
      </c>
      <c r="D61" s="433">
        <f t="shared" si="2"/>
        <v>8040</v>
      </c>
      <c r="E61" s="434">
        <f t="shared" si="3"/>
        <v>8034</v>
      </c>
      <c r="F61" s="434">
        <v>744</v>
      </c>
      <c r="G61" s="431">
        <f>I61+K61+M61+O61</f>
        <v>6</v>
      </c>
      <c r="H61" s="430">
        <v>819</v>
      </c>
      <c r="I61" s="431"/>
      <c r="J61" s="430">
        <f>845+636</f>
        <v>1481</v>
      </c>
      <c r="K61" s="432"/>
      <c r="L61" s="430">
        <f>4061+689</f>
        <v>4750</v>
      </c>
      <c r="M61" s="432"/>
      <c r="N61" s="433">
        <v>984</v>
      </c>
      <c r="O61" s="432">
        <v>6</v>
      </c>
    </row>
    <row r="62" spans="1:15" x14ac:dyDescent="0.2">
      <c r="A62" s="429">
        <v>51</v>
      </c>
      <c r="B62" s="818" t="s">
        <v>140</v>
      </c>
      <c r="C62" s="423" t="s">
        <v>141</v>
      </c>
      <c r="D62" s="433">
        <f t="shared" si="2"/>
        <v>6101</v>
      </c>
      <c r="E62" s="434">
        <f t="shared" si="3"/>
        <v>6086</v>
      </c>
      <c r="F62" s="434">
        <v>189</v>
      </c>
      <c r="G62" s="431">
        <f t="shared" si="4"/>
        <v>15</v>
      </c>
      <c r="H62" s="430">
        <v>484</v>
      </c>
      <c r="I62" s="431"/>
      <c r="J62" s="430">
        <f>615+292</f>
        <v>907</v>
      </c>
      <c r="K62" s="432"/>
      <c r="L62" s="430">
        <f>2837+481</f>
        <v>3318</v>
      </c>
      <c r="M62" s="432"/>
      <c r="N62" s="433">
        <v>1377</v>
      </c>
      <c r="O62" s="432">
        <v>15</v>
      </c>
    </row>
    <row r="63" spans="1:15" x14ac:dyDescent="0.2">
      <c r="A63" s="429">
        <v>52</v>
      </c>
      <c r="B63" s="418" t="s">
        <v>142</v>
      </c>
      <c r="C63" s="423" t="s">
        <v>143</v>
      </c>
      <c r="D63" s="433">
        <f t="shared" si="2"/>
        <v>7366</v>
      </c>
      <c r="E63" s="434">
        <f t="shared" si="3"/>
        <v>7361</v>
      </c>
      <c r="F63" s="434">
        <v>189</v>
      </c>
      <c r="G63" s="431">
        <f>I63+K63+M63+O63</f>
        <v>5</v>
      </c>
      <c r="H63" s="430">
        <v>658</v>
      </c>
      <c r="I63" s="431"/>
      <c r="J63" s="430">
        <f>800+1021</f>
        <v>1821</v>
      </c>
      <c r="K63" s="432"/>
      <c r="L63" s="430">
        <f>3788+643</f>
        <v>4431</v>
      </c>
      <c r="M63" s="432"/>
      <c r="N63" s="433">
        <v>451</v>
      </c>
      <c r="O63" s="432">
        <v>5</v>
      </c>
    </row>
    <row r="64" spans="1:15" x14ac:dyDescent="0.2">
      <c r="A64" s="429">
        <v>53</v>
      </c>
      <c r="B64" s="818" t="s">
        <v>144</v>
      </c>
      <c r="C64" s="423" t="s">
        <v>145</v>
      </c>
      <c r="D64" s="433"/>
      <c r="E64" s="434"/>
      <c r="F64" s="434"/>
      <c r="G64" s="431"/>
      <c r="H64" s="430"/>
      <c r="I64" s="431"/>
      <c r="J64" s="430"/>
      <c r="K64" s="432"/>
      <c r="L64" s="430"/>
      <c r="M64" s="432"/>
      <c r="N64" s="433"/>
      <c r="O64" s="432"/>
    </row>
    <row r="65" spans="1:15" ht="13.5" customHeight="1" x14ac:dyDescent="0.2">
      <c r="A65" s="429">
        <v>54</v>
      </c>
      <c r="B65" s="818" t="s">
        <v>146</v>
      </c>
      <c r="C65" s="423" t="s">
        <v>147</v>
      </c>
      <c r="D65" s="433"/>
      <c r="E65" s="434"/>
      <c r="F65" s="434"/>
      <c r="G65" s="431"/>
      <c r="H65" s="430"/>
      <c r="I65" s="431"/>
      <c r="J65" s="430"/>
      <c r="K65" s="432"/>
      <c r="L65" s="430"/>
      <c r="M65" s="432"/>
      <c r="N65" s="433"/>
      <c r="O65" s="432"/>
    </row>
    <row r="66" spans="1:15" ht="15.75" customHeight="1" x14ac:dyDescent="0.2">
      <c r="A66" s="429">
        <v>55</v>
      </c>
      <c r="B66" s="818" t="s">
        <v>148</v>
      </c>
      <c r="C66" s="423" t="s">
        <v>149</v>
      </c>
      <c r="D66" s="433">
        <f t="shared" si="2"/>
        <v>135</v>
      </c>
      <c r="E66" s="434"/>
      <c r="F66" s="434"/>
      <c r="G66" s="431">
        <f t="shared" si="4"/>
        <v>135</v>
      </c>
      <c r="H66" s="430"/>
      <c r="I66" s="431"/>
      <c r="J66" s="430"/>
      <c r="K66" s="432"/>
      <c r="L66" s="430"/>
      <c r="M66" s="432"/>
      <c r="N66" s="433"/>
      <c r="O66" s="432">
        <v>135</v>
      </c>
    </row>
    <row r="67" spans="1:15" ht="15.75" customHeight="1" x14ac:dyDescent="0.2">
      <c r="A67" s="429">
        <v>56</v>
      </c>
      <c r="B67" s="418" t="s">
        <v>150</v>
      </c>
      <c r="C67" s="423" t="s">
        <v>151</v>
      </c>
      <c r="D67" s="433">
        <f t="shared" si="2"/>
        <v>194</v>
      </c>
      <c r="E67" s="434"/>
      <c r="F67" s="434"/>
      <c r="G67" s="431">
        <f t="shared" si="4"/>
        <v>194</v>
      </c>
      <c r="H67" s="430"/>
      <c r="I67" s="431"/>
      <c r="J67" s="430"/>
      <c r="K67" s="432"/>
      <c r="L67" s="430"/>
      <c r="M67" s="432"/>
      <c r="N67" s="433"/>
      <c r="O67" s="432">
        <v>194</v>
      </c>
    </row>
    <row r="68" spans="1:15" ht="15.75" customHeight="1" x14ac:dyDescent="0.2">
      <c r="A68" s="429">
        <v>57</v>
      </c>
      <c r="B68" s="416" t="s">
        <v>152</v>
      </c>
      <c r="C68" s="423" t="s">
        <v>153</v>
      </c>
      <c r="D68" s="433">
        <f t="shared" si="2"/>
        <v>0</v>
      </c>
      <c r="E68" s="434"/>
      <c r="F68" s="434"/>
      <c r="G68" s="431">
        <f t="shared" si="4"/>
        <v>0</v>
      </c>
      <c r="H68" s="430"/>
      <c r="I68" s="431"/>
      <c r="J68" s="430"/>
      <c r="K68" s="432"/>
      <c r="L68" s="430"/>
      <c r="M68" s="432"/>
      <c r="N68" s="433"/>
      <c r="O68" s="842">
        <f>58-38-20</f>
        <v>0</v>
      </c>
    </row>
    <row r="69" spans="1:15" ht="15.75" customHeight="1" x14ac:dyDescent="0.2">
      <c r="A69" s="429">
        <v>58</v>
      </c>
      <c r="B69" s="418" t="s">
        <v>154</v>
      </c>
      <c r="C69" s="423" t="s">
        <v>155</v>
      </c>
      <c r="D69" s="433">
        <f t="shared" si="2"/>
        <v>60</v>
      </c>
      <c r="E69" s="434"/>
      <c r="F69" s="434"/>
      <c r="G69" s="431">
        <f t="shared" si="4"/>
        <v>60</v>
      </c>
      <c r="H69" s="430"/>
      <c r="I69" s="431"/>
      <c r="J69" s="430"/>
      <c r="K69" s="432">
        <v>2</v>
      </c>
      <c r="L69" s="430"/>
      <c r="M69" s="432">
        <v>1</v>
      </c>
      <c r="N69" s="433"/>
      <c r="O69" s="842">
        <v>57</v>
      </c>
    </row>
    <row r="70" spans="1:15" ht="15.75" customHeight="1" x14ac:dyDescent="0.2">
      <c r="A70" s="429">
        <v>59</v>
      </c>
      <c r="B70" s="818" t="s">
        <v>156</v>
      </c>
      <c r="C70" s="423" t="s">
        <v>157</v>
      </c>
      <c r="D70" s="433">
        <f t="shared" si="2"/>
        <v>0</v>
      </c>
      <c r="E70" s="434"/>
      <c r="F70" s="434"/>
      <c r="G70" s="431">
        <f t="shared" si="4"/>
        <v>0</v>
      </c>
      <c r="H70" s="430"/>
      <c r="I70" s="431"/>
      <c r="J70" s="430"/>
      <c r="K70" s="432"/>
      <c r="L70" s="430"/>
      <c r="M70" s="432"/>
      <c r="N70" s="433"/>
      <c r="O70" s="842">
        <f>8-5-3</f>
        <v>0</v>
      </c>
    </row>
    <row r="71" spans="1:15" ht="28.5" customHeight="1" x14ac:dyDescent="0.2">
      <c r="A71" s="429">
        <v>60</v>
      </c>
      <c r="B71" s="416" t="s">
        <v>158</v>
      </c>
      <c r="C71" s="423" t="s">
        <v>159</v>
      </c>
      <c r="D71" s="433"/>
      <c r="E71" s="434"/>
      <c r="F71" s="434"/>
      <c r="G71" s="431"/>
      <c r="H71" s="430"/>
      <c r="I71" s="431"/>
      <c r="J71" s="430"/>
      <c r="K71" s="432"/>
      <c r="L71" s="430"/>
      <c r="M71" s="432"/>
      <c r="N71" s="433"/>
      <c r="O71" s="432"/>
    </row>
    <row r="72" spans="1:15" ht="28.5" customHeight="1" x14ac:dyDescent="0.2">
      <c r="A72" s="429">
        <v>61</v>
      </c>
      <c r="B72" s="416" t="s">
        <v>160</v>
      </c>
      <c r="C72" s="423" t="s">
        <v>161</v>
      </c>
      <c r="D72" s="433"/>
      <c r="E72" s="434"/>
      <c r="F72" s="434"/>
      <c r="G72" s="431"/>
      <c r="H72" s="430"/>
      <c r="I72" s="431"/>
      <c r="J72" s="430"/>
      <c r="K72" s="432"/>
      <c r="L72" s="430"/>
      <c r="M72" s="432"/>
      <c r="N72" s="433"/>
      <c r="O72" s="432"/>
    </row>
    <row r="73" spans="1:15" x14ac:dyDescent="0.2">
      <c r="A73" s="429">
        <v>62</v>
      </c>
      <c r="B73" s="418" t="s">
        <v>162</v>
      </c>
      <c r="C73" s="423" t="s">
        <v>163</v>
      </c>
      <c r="D73" s="433">
        <f t="shared" si="2"/>
        <v>27644</v>
      </c>
      <c r="E73" s="434">
        <f t="shared" si="3"/>
        <v>27644</v>
      </c>
      <c r="F73" s="434">
        <v>925</v>
      </c>
      <c r="G73" s="431"/>
      <c r="H73" s="430">
        <v>3090</v>
      </c>
      <c r="I73" s="431"/>
      <c r="J73" s="430">
        <f>3422+2260</f>
        <v>5682</v>
      </c>
      <c r="K73" s="432"/>
      <c r="L73" s="430">
        <f>14241+2416</f>
        <v>16657</v>
      </c>
      <c r="M73" s="432"/>
      <c r="N73" s="433">
        <v>2215</v>
      </c>
      <c r="O73" s="432"/>
    </row>
    <row r="74" spans="1:15" x14ac:dyDescent="0.2">
      <c r="A74" s="429">
        <v>63</v>
      </c>
      <c r="B74" s="418" t="s">
        <v>164</v>
      </c>
      <c r="C74" s="423" t="s">
        <v>165</v>
      </c>
      <c r="D74" s="433">
        <f t="shared" si="2"/>
        <v>18570</v>
      </c>
      <c r="E74" s="434">
        <f t="shared" si="3"/>
        <v>18570</v>
      </c>
      <c r="F74" s="434">
        <v>60</v>
      </c>
      <c r="G74" s="431"/>
      <c r="H74" s="430">
        <v>1870</v>
      </c>
      <c r="I74" s="431"/>
      <c r="J74" s="430">
        <f>2144+1294</f>
        <v>3438</v>
      </c>
      <c r="K74" s="432"/>
      <c r="L74" s="430">
        <f>9830+1668</f>
        <v>11498</v>
      </c>
      <c r="M74" s="432"/>
      <c r="N74" s="433">
        <v>1764</v>
      </c>
      <c r="O74" s="432"/>
    </row>
    <row r="75" spans="1:15" x14ac:dyDescent="0.2">
      <c r="A75" s="429">
        <v>64</v>
      </c>
      <c r="B75" s="418" t="s">
        <v>166</v>
      </c>
      <c r="C75" s="423" t="s">
        <v>167</v>
      </c>
      <c r="D75" s="433">
        <f t="shared" si="2"/>
        <v>35845</v>
      </c>
      <c r="E75" s="434">
        <f t="shared" si="3"/>
        <v>35845</v>
      </c>
      <c r="F75" s="434">
        <v>245</v>
      </c>
      <c r="G75" s="431"/>
      <c r="H75" s="430">
        <v>4069</v>
      </c>
      <c r="I75" s="431"/>
      <c r="J75" s="430">
        <f>3925+2007</f>
        <v>5932</v>
      </c>
      <c r="K75" s="432"/>
      <c r="L75" s="430">
        <f>18541+3146</f>
        <v>21687</v>
      </c>
      <c r="M75" s="432"/>
      <c r="N75" s="433">
        <v>4157</v>
      </c>
      <c r="O75" s="432"/>
    </row>
    <row r="76" spans="1:15" ht="25.5" x14ac:dyDescent="0.2">
      <c r="A76" s="429">
        <v>65</v>
      </c>
      <c r="B76" s="418" t="s">
        <v>168</v>
      </c>
      <c r="C76" s="423" t="s">
        <v>169</v>
      </c>
      <c r="D76" s="433">
        <f t="shared" ref="D76:D80" si="5">H76+I76+J76+K76+L76+M76+N76+O76</f>
        <v>0</v>
      </c>
      <c r="E76" s="434">
        <f t="shared" ref="E76:E80" si="6">H76+J76+L76+N76</f>
        <v>0</v>
      </c>
      <c r="F76" s="434"/>
      <c r="G76" s="431"/>
      <c r="H76" s="430"/>
      <c r="I76" s="431"/>
      <c r="J76" s="430"/>
      <c r="K76" s="432"/>
      <c r="L76" s="430"/>
      <c r="M76" s="432"/>
      <c r="N76" s="843">
        <f>25-17-8</f>
        <v>0</v>
      </c>
      <c r="O76" s="432"/>
    </row>
    <row r="77" spans="1:15" ht="25.5" x14ac:dyDescent="0.2">
      <c r="A77" s="429">
        <v>66</v>
      </c>
      <c r="B77" s="416" t="s">
        <v>170</v>
      </c>
      <c r="C77" s="423" t="s">
        <v>171</v>
      </c>
      <c r="D77" s="433">
        <f t="shared" si="5"/>
        <v>45</v>
      </c>
      <c r="E77" s="434">
        <f t="shared" si="6"/>
        <v>45</v>
      </c>
      <c r="F77" s="434"/>
      <c r="G77" s="431"/>
      <c r="H77" s="430"/>
      <c r="I77" s="431"/>
      <c r="J77" s="430"/>
      <c r="K77" s="432"/>
      <c r="L77" s="430"/>
      <c r="M77" s="432"/>
      <c r="N77" s="843">
        <f>9+24+12</f>
        <v>45</v>
      </c>
      <c r="O77" s="432"/>
    </row>
    <row r="78" spans="1:15" ht="25.5" x14ac:dyDescent="0.2">
      <c r="A78" s="429">
        <v>67</v>
      </c>
      <c r="B78" s="418" t="s">
        <v>172</v>
      </c>
      <c r="C78" s="423" t="s">
        <v>173</v>
      </c>
      <c r="D78" s="433">
        <f t="shared" si="5"/>
        <v>0</v>
      </c>
      <c r="E78" s="434">
        <f t="shared" si="6"/>
        <v>0</v>
      </c>
      <c r="F78" s="434"/>
      <c r="G78" s="431"/>
      <c r="H78" s="430"/>
      <c r="I78" s="431"/>
      <c r="J78" s="430"/>
      <c r="K78" s="432"/>
      <c r="L78" s="430"/>
      <c r="M78" s="432"/>
      <c r="N78" s="843">
        <f>7-4-3</f>
        <v>0</v>
      </c>
      <c r="O78" s="432"/>
    </row>
    <row r="79" spans="1:15" ht="25.5" x14ac:dyDescent="0.2">
      <c r="A79" s="429">
        <v>68</v>
      </c>
      <c r="B79" s="418" t="s">
        <v>174</v>
      </c>
      <c r="C79" s="423" t="s">
        <v>175</v>
      </c>
      <c r="D79" s="433">
        <f t="shared" si="5"/>
        <v>0</v>
      </c>
      <c r="E79" s="434">
        <f t="shared" si="6"/>
        <v>0</v>
      </c>
      <c r="F79" s="434"/>
      <c r="G79" s="431"/>
      <c r="H79" s="430"/>
      <c r="I79" s="431"/>
      <c r="J79" s="430"/>
      <c r="K79" s="432"/>
      <c r="L79" s="430"/>
      <c r="M79" s="432"/>
      <c r="N79" s="843">
        <f>11-7-4</f>
        <v>0</v>
      </c>
      <c r="O79" s="432"/>
    </row>
    <row r="80" spans="1:15" ht="25.5" x14ac:dyDescent="0.2">
      <c r="A80" s="429">
        <v>69</v>
      </c>
      <c r="B80" s="416" t="s">
        <v>176</v>
      </c>
      <c r="C80" s="423" t="s">
        <v>177</v>
      </c>
      <c r="D80" s="433">
        <f t="shared" si="5"/>
        <v>10</v>
      </c>
      <c r="E80" s="434">
        <f t="shared" si="6"/>
        <v>10</v>
      </c>
      <c r="F80" s="434"/>
      <c r="G80" s="431"/>
      <c r="H80" s="430"/>
      <c r="I80" s="431"/>
      <c r="J80" s="430"/>
      <c r="K80" s="432"/>
      <c r="L80" s="430"/>
      <c r="M80" s="432"/>
      <c r="N80" s="843">
        <f>3+4+3</f>
        <v>10</v>
      </c>
      <c r="O80" s="432"/>
    </row>
    <row r="81" spans="1:15" ht="25.5" x14ac:dyDescent="0.2">
      <c r="A81" s="429">
        <v>70</v>
      </c>
      <c r="B81" s="416" t="s">
        <v>178</v>
      </c>
      <c r="C81" s="423" t="s">
        <v>179</v>
      </c>
      <c r="D81" s="433"/>
      <c r="E81" s="434"/>
      <c r="F81" s="434"/>
      <c r="G81" s="431"/>
      <c r="H81" s="430"/>
      <c r="I81" s="431"/>
      <c r="J81" s="430"/>
      <c r="K81" s="432"/>
      <c r="L81" s="430"/>
      <c r="M81" s="432"/>
      <c r="N81" s="433"/>
      <c r="O81" s="432"/>
    </row>
    <row r="82" spans="1:15" ht="25.5" x14ac:dyDescent="0.2">
      <c r="A82" s="429">
        <v>71</v>
      </c>
      <c r="B82" s="416" t="s">
        <v>180</v>
      </c>
      <c r="C82" s="423" t="s">
        <v>181</v>
      </c>
      <c r="D82" s="433"/>
      <c r="E82" s="434"/>
      <c r="F82" s="434"/>
      <c r="G82" s="431"/>
      <c r="H82" s="430"/>
      <c r="I82" s="431"/>
      <c r="J82" s="430"/>
      <c r="K82" s="432"/>
      <c r="L82" s="430"/>
      <c r="M82" s="432"/>
      <c r="N82" s="433"/>
      <c r="O82" s="432"/>
    </row>
    <row r="83" spans="1:15" ht="15.75" customHeight="1" x14ac:dyDescent="0.2">
      <c r="A83" s="429">
        <v>72</v>
      </c>
      <c r="B83" s="818" t="s">
        <v>182</v>
      </c>
      <c r="C83" s="423" t="s">
        <v>183</v>
      </c>
      <c r="D83" s="433">
        <f t="shared" ref="D83:D139" si="7">H83+I83+J83+K83+L83+M83+N83+O83</f>
        <v>22663</v>
      </c>
      <c r="E83" s="434">
        <f t="shared" ref="E83:E139" si="8">H83+J83+L83+N83</f>
        <v>22558</v>
      </c>
      <c r="F83" s="434">
        <v>519</v>
      </c>
      <c r="G83" s="431">
        <f t="shared" ref="G83:G110" si="9">I83+K83+M83+O83</f>
        <v>105</v>
      </c>
      <c r="H83" s="430">
        <v>2112</v>
      </c>
      <c r="I83" s="431"/>
      <c r="J83" s="430">
        <f>2858+3058</f>
        <v>5916</v>
      </c>
      <c r="K83" s="432"/>
      <c r="L83" s="430">
        <f>11136+1889</f>
        <v>13025</v>
      </c>
      <c r="M83" s="432"/>
      <c r="N83" s="433">
        <v>1505</v>
      </c>
      <c r="O83" s="432">
        <v>105</v>
      </c>
    </row>
    <row r="84" spans="1:15" x14ac:dyDescent="0.2">
      <c r="A84" s="429">
        <v>73</v>
      </c>
      <c r="B84" s="416" t="s">
        <v>184</v>
      </c>
      <c r="C84" s="423" t="s">
        <v>185</v>
      </c>
      <c r="D84" s="433">
        <f t="shared" si="7"/>
        <v>45690</v>
      </c>
      <c r="E84" s="434">
        <f t="shared" si="8"/>
        <v>45690</v>
      </c>
      <c r="F84" s="434">
        <v>505</v>
      </c>
      <c r="G84" s="431"/>
      <c r="H84" s="430">
        <v>4561</v>
      </c>
      <c r="I84" s="431"/>
      <c r="J84" s="430">
        <f>5222+4302</f>
        <v>9524</v>
      </c>
      <c r="K84" s="432"/>
      <c r="L84" s="430">
        <f>22654+3843</f>
        <v>26497</v>
      </c>
      <c r="M84" s="432"/>
      <c r="N84" s="433">
        <v>5108</v>
      </c>
      <c r="O84" s="432"/>
    </row>
    <row r="85" spans="1:15" x14ac:dyDescent="0.2">
      <c r="A85" s="429">
        <v>74</v>
      </c>
      <c r="B85" s="818" t="s">
        <v>186</v>
      </c>
      <c r="C85" s="423" t="s">
        <v>187</v>
      </c>
      <c r="D85" s="433">
        <f t="shared" si="7"/>
        <v>31013</v>
      </c>
      <c r="E85" s="434">
        <f t="shared" si="8"/>
        <v>31013</v>
      </c>
      <c r="F85" s="434">
        <v>662</v>
      </c>
      <c r="G85" s="431"/>
      <c r="H85" s="430">
        <v>3008</v>
      </c>
      <c r="I85" s="431"/>
      <c r="J85" s="430">
        <f>3330+2262</f>
        <v>5592</v>
      </c>
      <c r="K85" s="432"/>
      <c r="L85" s="430">
        <f>15449+2621</f>
        <v>18070</v>
      </c>
      <c r="M85" s="432"/>
      <c r="N85" s="433">
        <v>4343</v>
      </c>
      <c r="O85" s="432"/>
    </row>
    <row r="86" spans="1:15" x14ac:dyDescent="0.2">
      <c r="A86" s="429">
        <v>75</v>
      </c>
      <c r="B86" s="416" t="s">
        <v>188</v>
      </c>
      <c r="C86" s="423" t="s">
        <v>189</v>
      </c>
      <c r="D86" s="433">
        <f t="shared" si="7"/>
        <v>16923</v>
      </c>
      <c r="E86" s="434">
        <f t="shared" si="8"/>
        <v>16915</v>
      </c>
      <c r="F86" s="434">
        <v>623</v>
      </c>
      <c r="G86" s="431">
        <f t="shared" si="9"/>
        <v>8</v>
      </c>
      <c r="H86" s="430">
        <v>1750</v>
      </c>
      <c r="I86" s="431"/>
      <c r="J86" s="430">
        <f>2289+1423</f>
        <v>3712</v>
      </c>
      <c r="K86" s="432"/>
      <c r="L86" s="430">
        <f>8170+1386</f>
        <v>9556</v>
      </c>
      <c r="M86" s="432"/>
      <c r="N86" s="433">
        <v>1897</v>
      </c>
      <c r="O86" s="432">
        <f>0+5+3</f>
        <v>8</v>
      </c>
    </row>
    <row r="87" spans="1:15" x14ac:dyDescent="0.2">
      <c r="A87" s="436">
        <v>76</v>
      </c>
      <c r="B87" s="416" t="s">
        <v>190</v>
      </c>
      <c r="C87" s="423" t="s">
        <v>191</v>
      </c>
      <c r="D87" s="433">
        <f t="shared" si="7"/>
        <v>45272</v>
      </c>
      <c r="E87" s="434">
        <f t="shared" si="8"/>
        <v>45272</v>
      </c>
      <c r="F87" s="434">
        <v>3264</v>
      </c>
      <c r="G87" s="431"/>
      <c r="H87" s="430">
        <v>4764</v>
      </c>
      <c r="I87" s="431"/>
      <c r="J87" s="430">
        <f>6214+2126</f>
        <v>8340</v>
      </c>
      <c r="K87" s="432"/>
      <c r="L87" s="430">
        <f>24022+4075</f>
        <v>28097</v>
      </c>
      <c r="M87" s="432"/>
      <c r="N87" s="433">
        <v>4071</v>
      </c>
      <c r="O87" s="432"/>
    </row>
    <row r="88" spans="1:15" x14ac:dyDescent="0.2">
      <c r="A88" s="436">
        <v>77</v>
      </c>
      <c r="B88" s="416" t="s">
        <v>192</v>
      </c>
      <c r="C88" s="423" t="s">
        <v>193</v>
      </c>
      <c r="D88" s="433">
        <f t="shared" si="7"/>
        <v>138</v>
      </c>
      <c r="E88" s="434"/>
      <c r="F88" s="434"/>
      <c r="G88" s="431">
        <f t="shared" si="9"/>
        <v>138</v>
      </c>
      <c r="H88" s="430"/>
      <c r="I88" s="431"/>
      <c r="J88" s="430"/>
      <c r="K88" s="432"/>
      <c r="L88" s="430"/>
      <c r="M88" s="432"/>
      <c r="N88" s="433"/>
      <c r="O88" s="432">
        <f>80+38+20</f>
        <v>138</v>
      </c>
    </row>
    <row r="89" spans="1:15" x14ac:dyDescent="0.2">
      <c r="A89" s="436">
        <v>78</v>
      </c>
      <c r="B89" s="416" t="s">
        <v>194</v>
      </c>
      <c r="C89" s="423" t="s">
        <v>195</v>
      </c>
      <c r="D89" s="433">
        <f t="shared" si="7"/>
        <v>38617</v>
      </c>
      <c r="E89" s="434">
        <f t="shared" si="8"/>
        <v>38617</v>
      </c>
      <c r="F89" s="434">
        <v>925</v>
      </c>
      <c r="G89" s="431"/>
      <c r="H89" s="430">
        <v>3393</v>
      </c>
      <c r="I89" s="431"/>
      <c r="J89" s="430">
        <f>4129+2669</f>
        <v>6798</v>
      </c>
      <c r="K89" s="432"/>
      <c r="L89" s="430">
        <f>19057+3233</f>
        <v>22290</v>
      </c>
      <c r="M89" s="432"/>
      <c r="N89" s="433">
        <f>6836-700</f>
        <v>6136</v>
      </c>
      <c r="O89" s="432"/>
    </row>
    <row r="90" spans="1:15" x14ac:dyDescent="0.2">
      <c r="A90" s="436">
        <v>79</v>
      </c>
      <c r="B90" s="416" t="s">
        <v>196</v>
      </c>
      <c r="C90" s="423" t="s">
        <v>197</v>
      </c>
      <c r="D90" s="433"/>
      <c r="E90" s="434"/>
      <c r="F90" s="434"/>
      <c r="G90" s="431"/>
      <c r="H90" s="430"/>
      <c r="I90" s="431"/>
      <c r="J90" s="430"/>
      <c r="K90" s="432"/>
      <c r="L90" s="430"/>
      <c r="M90" s="432"/>
      <c r="N90" s="433"/>
      <c r="O90" s="432"/>
    </row>
    <row r="91" spans="1:15" x14ac:dyDescent="0.2">
      <c r="A91" s="436">
        <v>80</v>
      </c>
      <c r="B91" s="418" t="s">
        <v>30</v>
      </c>
      <c r="C91" s="423" t="s">
        <v>762</v>
      </c>
      <c r="D91" s="433"/>
      <c r="E91" s="434"/>
      <c r="F91" s="434"/>
      <c r="G91" s="431"/>
      <c r="H91" s="430"/>
      <c r="I91" s="431"/>
      <c r="J91" s="430"/>
      <c r="K91" s="432"/>
      <c r="L91" s="430"/>
      <c r="M91" s="432"/>
      <c r="N91" s="433"/>
      <c r="O91" s="432"/>
    </row>
    <row r="92" spans="1:15" s="755" customFormat="1" ht="25.5" x14ac:dyDescent="0.2">
      <c r="A92" s="1106">
        <v>81</v>
      </c>
      <c r="B92" s="1108" t="s">
        <v>199</v>
      </c>
      <c r="C92" s="762" t="s">
        <v>200</v>
      </c>
      <c r="D92" s="757">
        <f t="shared" si="7"/>
        <v>404</v>
      </c>
      <c r="E92" s="763">
        <f t="shared" si="8"/>
        <v>404</v>
      </c>
      <c r="F92" s="763">
        <v>346</v>
      </c>
      <c r="G92" s="764"/>
      <c r="H92" s="756">
        <v>36</v>
      </c>
      <c r="I92" s="764"/>
      <c r="J92" s="756">
        <f>2+2</f>
        <v>4</v>
      </c>
      <c r="K92" s="765"/>
      <c r="L92" s="756">
        <f>207+35</f>
        <v>242</v>
      </c>
      <c r="M92" s="765"/>
      <c r="N92" s="757">
        <v>122</v>
      </c>
      <c r="O92" s="432"/>
    </row>
    <row r="93" spans="1:15" ht="43.5" customHeight="1" x14ac:dyDescent="0.2">
      <c r="A93" s="1107"/>
      <c r="B93" s="1109"/>
      <c r="C93" s="423" t="s">
        <v>201</v>
      </c>
      <c r="D93" s="433">
        <f t="shared" si="7"/>
        <v>404</v>
      </c>
      <c r="E93" s="434">
        <f t="shared" si="8"/>
        <v>404</v>
      </c>
      <c r="F93" s="434">
        <v>346</v>
      </c>
      <c r="G93" s="431"/>
      <c r="H93" s="430">
        <v>36</v>
      </c>
      <c r="I93" s="431"/>
      <c r="J93" s="430">
        <f>2+2</f>
        <v>4</v>
      </c>
      <c r="K93" s="432"/>
      <c r="L93" s="430">
        <f>207+35</f>
        <v>242</v>
      </c>
      <c r="M93" s="432"/>
      <c r="N93" s="433">
        <v>122</v>
      </c>
      <c r="O93" s="432"/>
    </row>
    <row r="94" spans="1:15" ht="25.5" x14ac:dyDescent="0.2">
      <c r="A94" s="1107"/>
      <c r="B94" s="1109"/>
      <c r="C94" s="423" t="s">
        <v>202</v>
      </c>
      <c r="D94" s="433"/>
      <c r="E94" s="434"/>
      <c r="F94" s="434"/>
      <c r="G94" s="431"/>
      <c r="H94" s="430"/>
      <c r="I94" s="431"/>
      <c r="J94" s="430"/>
      <c r="K94" s="432"/>
      <c r="L94" s="430"/>
      <c r="M94" s="432"/>
      <c r="N94" s="433"/>
      <c r="O94" s="432"/>
    </row>
    <row r="95" spans="1:15" ht="45" customHeight="1" x14ac:dyDescent="0.2">
      <c r="A95" s="1107"/>
      <c r="B95" s="1110"/>
      <c r="C95" s="437" t="s">
        <v>203</v>
      </c>
      <c r="D95" s="433"/>
      <c r="E95" s="434"/>
      <c r="F95" s="434"/>
      <c r="G95" s="431"/>
      <c r="H95" s="430"/>
      <c r="I95" s="431"/>
      <c r="J95" s="430"/>
      <c r="K95" s="432"/>
      <c r="L95" s="430"/>
      <c r="M95" s="432"/>
      <c r="N95" s="433"/>
      <c r="O95" s="432"/>
    </row>
    <row r="96" spans="1:15" ht="25.5" x14ac:dyDescent="0.2">
      <c r="A96" s="436">
        <v>82</v>
      </c>
      <c r="B96" s="418" t="s">
        <v>204</v>
      </c>
      <c r="C96" s="423" t="s">
        <v>205</v>
      </c>
      <c r="D96" s="433"/>
      <c r="E96" s="434"/>
      <c r="F96" s="434"/>
      <c r="G96" s="431"/>
      <c r="H96" s="430"/>
      <c r="I96" s="431"/>
      <c r="J96" s="430"/>
      <c r="K96" s="432"/>
      <c r="L96" s="430"/>
      <c r="M96" s="432"/>
      <c r="N96" s="433"/>
      <c r="O96" s="432"/>
    </row>
    <row r="97" spans="1:15" x14ac:dyDescent="0.2">
      <c r="A97" s="436">
        <v>83</v>
      </c>
      <c r="B97" s="418" t="s">
        <v>206</v>
      </c>
      <c r="C97" s="423" t="s">
        <v>207</v>
      </c>
      <c r="D97" s="433">
        <f t="shared" si="7"/>
        <v>2175</v>
      </c>
      <c r="E97" s="434">
        <f t="shared" si="8"/>
        <v>2175</v>
      </c>
      <c r="F97" s="434">
        <v>293</v>
      </c>
      <c r="G97" s="431"/>
      <c r="H97" s="430"/>
      <c r="I97" s="431"/>
      <c r="J97" s="430">
        <f>192+321</f>
        <v>513</v>
      </c>
      <c r="K97" s="432"/>
      <c r="L97" s="430">
        <f>876+149</f>
        <v>1025</v>
      </c>
      <c r="M97" s="432"/>
      <c r="N97" s="433">
        <v>637</v>
      </c>
      <c r="O97" s="432"/>
    </row>
    <row r="98" spans="1:15" x14ac:dyDescent="0.2">
      <c r="A98" s="436">
        <v>84</v>
      </c>
      <c r="B98" s="818" t="s">
        <v>208</v>
      </c>
      <c r="C98" s="423" t="s">
        <v>209</v>
      </c>
      <c r="D98" s="433">
        <f t="shared" si="7"/>
        <v>11319</v>
      </c>
      <c r="E98" s="434">
        <f t="shared" si="8"/>
        <v>11319</v>
      </c>
      <c r="F98" s="434">
        <v>1751</v>
      </c>
      <c r="G98" s="431"/>
      <c r="H98" s="430">
        <v>920</v>
      </c>
      <c r="I98" s="431"/>
      <c r="J98" s="430">
        <f>1554+1341</f>
        <v>2895</v>
      </c>
      <c r="K98" s="432"/>
      <c r="L98" s="430">
        <f>5817+987</f>
        <v>6804</v>
      </c>
      <c r="M98" s="432"/>
      <c r="N98" s="433">
        <v>700</v>
      </c>
      <c r="O98" s="432"/>
    </row>
    <row r="99" spans="1:15" x14ac:dyDescent="0.2">
      <c r="A99" s="436">
        <v>85</v>
      </c>
      <c r="B99" s="418" t="s">
        <v>210</v>
      </c>
      <c r="C99" s="423" t="s">
        <v>211</v>
      </c>
      <c r="D99" s="433">
        <f t="shared" si="7"/>
        <v>4296</v>
      </c>
      <c r="E99" s="434">
        <f t="shared" si="8"/>
        <v>4296</v>
      </c>
      <c r="F99" s="434">
        <v>190</v>
      </c>
      <c r="G99" s="431"/>
      <c r="H99" s="430">
        <v>450</v>
      </c>
      <c r="I99" s="431"/>
      <c r="J99" s="430">
        <f>491+215</f>
        <v>706</v>
      </c>
      <c r="K99" s="432"/>
      <c r="L99" s="430">
        <f>2188+371</f>
        <v>2559</v>
      </c>
      <c r="M99" s="432"/>
      <c r="N99" s="433">
        <v>581</v>
      </c>
      <c r="O99" s="432"/>
    </row>
    <row r="100" spans="1:15" x14ac:dyDescent="0.2">
      <c r="A100" s="436">
        <v>86</v>
      </c>
      <c r="B100" s="818" t="s">
        <v>212</v>
      </c>
      <c r="C100" s="423" t="s">
        <v>213</v>
      </c>
      <c r="D100" s="433">
        <f t="shared" si="7"/>
        <v>4142</v>
      </c>
      <c r="E100" s="434">
        <f t="shared" si="8"/>
        <v>4132</v>
      </c>
      <c r="F100" s="434">
        <v>168</v>
      </c>
      <c r="G100" s="431">
        <f t="shared" si="9"/>
        <v>10</v>
      </c>
      <c r="H100" s="430">
        <v>359</v>
      </c>
      <c r="I100" s="431"/>
      <c r="J100" s="430">
        <f>516+130</f>
        <v>646</v>
      </c>
      <c r="K100" s="432"/>
      <c r="L100" s="430">
        <f>2411+409</f>
        <v>2820</v>
      </c>
      <c r="M100" s="432"/>
      <c r="N100" s="433">
        <v>307</v>
      </c>
      <c r="O100" s="432">
        <v>10</v>
      </c>
    </row>
    <row r="101" spans="1:15" x14ac:dyDescent="0.2">
      <c r="A101" s="436">
        <v>87</v>
      </c>
      <c r="B101" s="818" t="s">
        <v>214</v>
      </c>
      <c r="C101" s="423" t="s">
        <v>215</v>
      </c>
      <c r="D101" s="433">
        <f t="shared" si="7"/>
        <v>13756</v>
      </c>
      <c r="E101" s="434">
        <f t="shared" si="8"/>
        <v>13756</v>
      </c>
      <c r="F101" s="434">
        <v>1540</v>
      </c>
      <c r="G101" s="431"/>
      <c r="H101" s="430">
        <v>1272</v>
      </c>
      <c r="I101" s="431"/>
      <c r="J101" s="430">
        <f>1494+915</f>
        <v>2409</v>
      </c>
      <c r="K101" s="432"/>
      <c r="L101" s="430">
        <f>6135+1041</f>
        <v>7176</v>
      </c>
      <c r="M101" s="432"/>
      <c r="N101" s="433">
        <v>2899</v>
      </c>
      <c r="O101" s="432"/>
    </row>
    <row r="102" spans="1:15" x14ac:dyDescent="0.2">
      <c r="A102" s="429">
        <v>88</v>
      </c>
      <c r="B102" s="418" t="s">
        <v>216</v>
      </c>
      <c r="C102" s="423" t="s">
        <v>217</v>
      </c>
      <c r="D102" s="433">
        <f t="shared" si="7"/>
        <v>5961</v>
      </c>
      <c r="E102" s="434">
        <f t="shared" si="8"/>
        <v>5961</v>
      </c>
      <c r="F102" s="434">
        <v>925</v>
      </c>
      <c r="G102" s="431"/>
      <c r="H102" s="430">
        <v>459</v>
      </c>
      <c r="I102" s="431"/>
      <c r="J102" s="430">
        <f>675+684</f>
        <v>1359</v>
      </c>
      <c r="K102" s="432"/>
      <c r="L102" s="430">
        <f>2995+508</f>
        <v>3503</v>
      </c>
      <c r="M102" s="432"/>
      <c r="N102" s="433">
        <v>640</v>
      </c>
      <c r="O102" s="432"/>
    </row>
    <row r="103" spans="1:15" x14ac:dyDescent="0.2">
      <c r="A103" s="429">
        <v>89</v>
      </c>
      <c r="B103" s="416" t="s">
        <v>218</v>
      </c>
      <c r="C103" s="423" t="s">
        <v>219</v>
      </c>
      <c r="D103" s="433">
        <f t="shared" si="7"/>
        <v>13089</v>
      </c>
      <c r="E103" s="434">
        <f t="shared" si="8"/>
        <v>13039</v>
      </c>
      <c r="F103" s="434">
        <v>986</v>
      </c>
      <c r="G103" s="431">
        <f t="shared" si="9"/>
        <v>50</v>
      </c>
      <c r="H103" s="430">
        <v>1213</v>
      </c>
      <c r="I103" s="431"/>
      <c r="J103" s="430">
        <f>1919+733</f>
        <v>2652</v>
      </c>
      <c r="K103" s="432"/>
      <c r="L103" s="430">
        <f>6339+1075</f>
        <v>7414</v>
      </c>
      <c r="M103" s="432"/>
      <c r="N103" s="433">
        <v>1760</v>
      </c>
      <c r="O103" s="432">
        <v>50</v>
      </c>
    </row>
    <row r="104" spans="1:15" x14ac:dyDescent="0.2">
      <c r="A104" s="429">
        <v>90</v>
      </c>
      <c r="B104" s="416" t="s">
        <v>220</v>
      </c>
      <c r="C104" s="423" t="s">
        <v>221</v>
      </c>
      <c r="D104" s="433">
        <f t="shared" si="7"/>
        <v>13336</v>
      </c>
      <c r="E104" s="434">
        <f t="shared" si="8"/>
        <v>13336</v>
      </c>
      <c r="F104" s="434">
        <v>478</v>
      </c>
      <c r="G104" s="431"/>
      <c r="H104" s="430">
        <v>1076</v>
      </c>
      <c r="I104" s="431"/>
      <c r="J104" s="430">
        <f>1637+1668</f>
        <v>3305</v>
      </c>
      <c r="K104" s="432"/>
      <c r="L104" s="430">
        <f>6138+1041</f>
        <v>7179</v>
      </c>
      <c r="M104" s="432"/>
      <c r="N104" s="433">
        <v>1776</v>
      </c>
      <c r="O104" s="432"/>
    </row>
    <row r="105" spans="1:15" x14ac:dyDescent="0.2">
      <c r="A105" s="429">
        <v>91</v>
      </c>
      <c r="B105" s="818" t="s">
        <v>222</v>
      </c>
      <c r="C105" s="423" t="s">
        <v>223</v>
      </c>
      <c r="D105" s="433">
        <f t="shared" si="7"/>
        <v>4340</v>
      </c>
      <c r="E105" s="434">
        <f t="shared" si="8"/>
        <v>4326</v>
      </c>
      <c r="F105" s="434">
        <v>291</v>
      </c>
      <c r="G105" s="431">
        <f t="shared" si="9"/>
        <v>14</v>
      </c>
      <c r="H105" s="430">
        <v>419</v>
      </c>
      <c r="I105" s="431"/>
      <c r="J105" s="430">
        <f>481+241</f>
        <v>722</v>
      </c>
      <c r="K105" s="432"/>
      <c r="L105" s="430">
        <f>2229+378</f>
        <v>2607</v>
      </c>
      <c r="M105" s="432"/>
      <c r="N105" s="433">
        <v>578</v>
      </c>
      <c r="O105" s="432">
        <v>14</v>
      </c>
    </row>
    <row r="106" spans="1:15" x14ac:dyDescent="0.2">
      <c r="A106" s="429">
        <v>92</v>
      </c>
      <c r="B106" s="416" t="s">
        <v>224</v>
      </c>
      <c r="C106" s="423" t="s">
        <v>225</v>
      </c>
      <c r="D106" s="433">
        <f t="shared" si="7"/>
        <v>8051</v>
      </c>
      <c r="E106" s="434">
        <f t="shared" si="8"/>
        <v>8051</v>
      </c>
      <c r="F106" s="434">
        <v>340</v>
      </c>
      <c r="G106" s="431"/>
      <c r="H106" s="430">
        <v>754</v>
      </c>
      <c r="I106" s="431"/>
      <c r="J106" s="430">
        <f>1145+717</f>
        <v>1862</v>
      </c>
      <c r="K106" s="432"/>
      <c r="L106" s="430">
        <f>3783+642</f>
        <v>4425</v>
      </c>
      <c r="M106" s="432"/>
      <c r="N106" s="433">
        <v>1010</v>
      </c>
      <c r="O106" s="432"/>
    </row>
    <row r="107" spans="1:15" x14ac:dyDescent="0.2">
      <c r="A107" s="429">
        <v>93</v>
      </c>
      <c r="B107" s="416" t="s">
        <v>226</v>
      </c>
      <c r="C107" s="423" t="s">
        <v>227</v>
      </c>
      <c r="D107" s="433">
        <f t="shared" si="7"/>
        <v>6618</v>
      </c>
      <c r="E107" s="434">
        <f t="shared" si="8"/>
        <v>6588</v>
      </c>
      <c r="F107" s="434">
        <v>268</v>
      </c>
      <c r="G107" s="431">
        <f t="shared" si="9"/>
        <v>30</v>
      </c>
      <c r="H107" s="430">
        <v>467</v>
      </c>
      <c r="I107" s="431"/>
      <c r="J107" s="430">
        <f>893+709</f>
        <v>1602</v>
      </c>
      <c r="K107" s="432"/>
      <c r="L107" s="430">
        <f>3066+520</f>
        <v>3586</v>
      </c>
      <c r="M107" s="432">
        <v>1</v>
      </c>
      <c r="N107" s="433">
        <v>933</v>
      </c>
      <c r="O107" s="432">
        <v>29</v>
      </c>
    </row>
    <row r="108" spans="1:15" x14ac:dyDescent="0.2">
      <c r="A108" s="429">
        <v>94</v>
      </c>
      <c r="B108" s="418" t="s">
        <v>32</v>
      </c>
      <c r="C108" s="423" t="s">
        <v>33</v>
      </c>
      <c r="D108" s="433">
        <f t="shared" si="7"/>
        <v>5903</v>
      </c>
      <c r="E108" s="434">
        <f t="shared" si="8"/>
        <v>5901</v>
      </c>
      <c r="F108" s="434">
        <v>471</v>
      </c>
      <c r="G108" s="431">
        <f t="shared" si="9"/>
        <v>2</v>
      </c>
      <c r="H108" s="430">
        <f>593-593</f>
        <v>0</v>
      </c>
      <c r="I108" s="431"/>
      <c r="J108" s="430">
        <f>1062+469</f>
        <v>1531</v>
      </c>
      <c r="K108" s="432"/>
      <c r="L108" s="430">
        <f>3573+606</f>
        <v>4179</v>
      </c>
      <c r="M108" s="432"/>
      <c r="N108" s="433">
        <v>191</v>
      </c>
      <c r="O108" s="432">
        <v>2</v>
      </c>
    </row>
    <row r="109" spans="1:15" x14ac:dyDescent="0.2">
      <c r="A109" s="429">
        <v>95</v>
      </c>
      <c r="B109" s="818" t="s">
        <v>228</v>
      </c>
      <c r="C109" s="423" t="s">
        <v>229</v>
      </c>
      <c r="D109" s="433">
        <f t="shared" si="7"/>
        <v>4716</v>
      </c>
      <c r="E109" s="434">
        <f t="shared" si="8"/>
        <v>4716</v>
      </c>
      <c r="F109" s="434">
        <v>558</v>
      </c>
      <c r="G109" s="431"/>
      <c r="H109" s="430">
        <v>428</v>
      </c>
      <c r="I109" s="431"/>
      <c r="J109" s="430">
        <f>525+542</f>
        <v>1067</v>
      </c>
      <c r="K109" s="432"/>
      <c r="L109" s="430">
        <f>2220+377</f>
        <v>2597</v>
      </c>
      <c r="M109" s="432"/>
      <c r="N109" s="433">
        <v>624</v>
      </c>
      <c r="O109" s="432"/>
    </row>
    <row r="110" spans="1:15" x14ac:dyDescent="0.2">
      <c r="A110" s="429">
        <v>96</v>
      </c>
      <c r="B110" s="416" t="s">
        <v>230</v>
      </c>
      <c r="C110" s="423" t="s">
        <v>231</v>
      </c>
      <c r="D110" s="433">
        <f t="shared" si="7"/>
        <v>13494</v>
      </c>
      <c r="E110" s="434">
        <f t="shared" si="8"/>
        <v>13488</v>
      </c>
      <c r="F110" s="434">
        <v>1579</v>
      </c>
      <c r="G110" s="431">
        <f t="shared" si="9"/>
        <v>6</v>
      </c>
      <c r="H110" s="430">
        <v>1385</v>
      </c>
      <c r="I110" s="431"/>
      <c r="J110" s="430">
        <f>1440+919</f>
        <v>2359</v>
      </c>
      <c r="K110" s="432"/>
      <c r="L110" s="430">
        <f>6541+1110</f>
        <v>7651</v>
      </c>
      <c r="M110" s="432"/>
      <c r="N110" s="433">
        <v>2093</v>
      </c>
      <c r="O110" s="432">
        <v>6</v>
      </c>
    </row>
    <row r="111" spans="1:15" x14ac:dyDescent="0.2">
      <c r="A111" s="429">
        <v>97</v>
      </c>
      <c r="B111" s="416" t="s">
        <v>232</v>
      </c>
      <c r="C111" s="423" t="s">
        <v>233</v>
      </c>
      <c r="D111" s="433"/>
      <c r="E111" s="434"/>
      <c r="F111" s="434"/>
      <c r="G111" s="431"/>
      <c r="H111" s="430"/>
      <c r="I111" s="431"/>
      <c r="J111" s="430"/>
      <c r="K111" s="432"/>
      <c r="L111" s="430"/>
      <c r="M111" s="432"/>
      <c r="N111" s="433"/>
      <c r="O111" s="432"/>
    </row>
    <row r="112" spans="1:15" x14ac:dyDescent="0.2">
      <c r="A112" s="429">
        <v>98</v>
      </c>
      <c r="B112" s="416" t="s">
        <v>234</v>
      </c>
      <c r="C112" s="423" t="s">
        <v>235</v>
      </c>
      <c r="D112" s="433"/>
      <c r="E112" s="434"/>
      <c r="F112" s="434"/>
      <c r="G112" s="431"/>
      <c r="H112" s="430"/>
      <c r="I112" s="431"/>
      <c r="J112" s="430"/>
      <c r="K112" s="432"/>
      <c r="L112" s="430"/>
      <c r="M112" s="432"/>
      <c r="N112" s="433"/>
      <c r="O112" s="432"/>
    </row>
    <row r="113" spans="1:15" x14ac:dyDescent="0.2">
      <c r="A113" s="429">
        <v>99</v>
      </c>
      <c r="B113" s="818" t="s">
        <v>236</v>
      </c>
      <c r="C113" s="423" t="s">
        <v>237</v>
      </c>
      <c r="D113" s="433"/>
      <c r="E113" s="434"/>
      <c r="F113" s="434"/>
      <c r="G113" s="431"/>
      <c r="H113" s="430"/>
      <c r="I113" s="431"/>
      <c r="J113" s="430"/>
      <c r="K113" s="432"/>
      <c r="L113" s="430"/>
      <c r="M113" s="432"/>
      <c r="N113" s="433"/>
      <c r="O113" s="432"/>
    </row>
    <row r="114" spans="1:15" x14ac:dyDescent="0.2">
      <c r="A114" s="429">
        <v>100</v>
      </c>
      <c r="B114" s="818" t="s">
        <v>238</v>
      </c>
      <c r="C114" s="423" t="s">
        <v>239</v>
      </c>
      <c r="D114" s="433"/>
      <c r="E114" s="434"/>
      <c r="F114" s="434"/>
      <c r="G114" s="431"/>
      <c r="H114" s="430"/>
      <c r="I114" s="431"/>
      <c r="J114" s="430"/>
      <c r="K114" s="432"/>
      <c r="L114" s="430"/>
      <c r="M114" s="432"/>
      <c r="N114" s="433"/>
      <c r="O114" s="432"/>
    </row>
    <row r="115" spans="1:15" ht="13.5" customHeight="1" x14ac:dyDescent="0.2">
      <c r="A115" s="429">
        <v>101</v>
      </c>
      <c r="B115" s="818" t="s">
        <v>240</v>
      </c>
      <c r="C115" s="423" t="s">
        <v>241</v>
      </c>
      <c r="D115" s="433"/>
      <c r="E115" s="434"/>
      <c r="F115" s="434"/>
      <c r="G115" s="431"/>
      <c r="H115" s="430"/>
      <c r="I115" s="431"/>
      <c r="J115" s="430"/>
      <c r="K115" s="432"/>
      <c r="L115" s="430"/>
      <c r="M115" s="432"/>
      <c r="N115" s="433"/>
      <c r="O115" s="432"/>
    </row>
    <row r="116" spans="1:15" x14ac:dyDescent="0.2">
      <c r="A116" s="429">
        <v>102</v>
      </c>
      <c r="B116" s="818" t="s">
        <v>242</v>
      </c>
      <c r="C116" s="423" t="s">
        <v>243</v>
      </c>
      <c r="D116" s="433"/>
      <c r="E116" s="434"/>
      <c r="F116" s="434"/>
      <c r="G116" s="431"/>
      <c r="H116" s="430"/>
      <c r="I116" s="431"/>
      <c r="J116" s="430"/>
      <c r="K116" s="432"/>
      <c r="L116" s="430"/>
      <c r="M116" s="432"/>
      <c r="N116" s="433"/>
      <c r="O116" s="432"/>
    </row>
    <row r="117" spans="1:15" x14ac:dyDescent="0.2">
      <c r="A117" s="429">
        <v>103</v>
      </c>
      <c r="B117" s="818" t="s">
        <v>244</v>
      </c>
      <c r="C117" s="423" t="s">
        <v>245</v>
      </c>
      <c r="D117" s="433"/>
      <c r="E117" s="434"/>
      <c r="F117" s="434"/>
      <c r="G117" s="431"/>
      <c r="H117" s="430"/>
      <c r="I117" s="431"/>
      <c r="J117" s="430"/>
      <c r="K117" s="432"/>
      <c r="L117" s="430"/>
      <c r="M117" s="432"/>
      <c r="N117" s="433"/>
      <c r="O117" s="432"/>
    </row>
    <row r="118" spans="1:15" x14ac:dyDescent="0.2">
      <c r="A118" s="429">
        <v>104</v>
      </c>
      <c r="B118" s="766" t="s">
        <v>246</v>
      </c>
      <c r="C118" s="761" t="s">
        <v>247</v>
      </c>
      <c r="D118" s="433"/>
      <c r="E118" s="434"/>
      <c r="F118" s="434"/>
      <c r="G118" s="431"/>
      <c r="H118" s="430"/>
      <c r="I118" s="431"/>
      <c r="J118" s="430"/>
      <c r="K118" s="432"/>
      <c r="L118" s="430"/>
      <c r="M118" s="432"/>
      <c r="N118" s="433"/>
      <c r="O118" s="432"/>
    </row>
    <row r="119" spans="1:15" x14ac:dyDescent="0.2">
      <c r="A119" s="429">
        <v>105</v>
      </c>
      <c r="B119" s="418" t="s">
        <v>248</v>
      </c>
      <c r="C119" s="423" t="s">
        <v>249</v>
      </c>
      <c r="D119" s="433"/>
      <c r="E119" s="434"/>
      <c r="F119" s="434"/>
      <c r="G119" s="431"/>
      <c r="H119" s="430"/>
      <c r="I119" s="431"/>
      <c r="J119" s="430"/>
      <c r="K119" s="432"/>
      <c r="L119" s="430"/>
      <c r="M119" s="432"/>
      <c r="N119" s="433"/>
      <c r="O119" s="432"/>
    </row>
    <row r="120" spans="1:15" x14ac:dyDescent="0.2">
      <c r="A120" s="429">
        <v>106</v>
      </c>
      <c r="B120" s="818" t="s">
        <v>250</v>
      </c>
      <c r="C120" s="423" t="s">
        <v>251</v>
      </c>
      <c r="D120" s="433"/>
      <c r="E120" s="434"/>
      <c r="F120" s="434"/>
      <c r="G120" s="431"/>
      <c r="H120" s="430"/>
      <c r="I120" s="431"/>
      <c r="J120" s="430"/>
      <c r="K120" s="432"/>
      <c r="L120" s="430"/>
      <c r="M120" s="432"/>
      <c r="N120" s="433"/>
      <c r="O120" s="432"/>
    </row>
    <row r="121" spans="1:15" ht="13.5" customHeight="1" x14ac:dyDescent="0.2">
      <c r="A121" s="429">
        <v>107</v>
      </c>
      <c r="B121" s="416" t="s">
        <v>252</v>
      </c>
      <c r="C121" s="767" t="s">
        <v>253</v>
      </c>
      <c r="D121" s="433"/>
      <c r="E121" s="434"/>
      <c r="F121" s="434"/>
      <c r="G121" s="431"/>
      <c r="H121" s="430"/>
      <c r="I121" s="431"/>
      <c r="J121" s="430"/>
      <c r="K121" s="432"/>
      <c r="L121" s="430"/>
      <c r="M121" s="432"/>
      <c r="N121" s="433"/>
      <c r="O121" s="432"/>
    </row>
    <row r="122" spans="1:15" x14ac:dyDescent="0.2">
      <c r="A122" s="429">
        <v>108</v>
      </c>
      <c r="B122" s="818" t="s">
        <v>254</v>
      </c>
      <c r="C122" s="423" t="s">
        <v>255</v>
      </c>
      <c r="D122" s="433"/>
      <c r="E122" s="434"/>
      <c r="F122" s="434"/>
      <c r="G122" s="431"/>
      <c r="H122" s="430"/>
      <c r="I122" s="431"/>
      <c r="J122" s="430"/>
      <c r="K122" s="432"/>
      <c r="L122" s="430"/>
      <c r="M122" s="432"/>
      <c r="N122" s="433"/>
      <c r="O122" s="432"/>
    </row>
    <row r="123" spans="1:15" x14ac:dyDescent="0.2">
      <c r="A123" s="429">
        <v>109</v>
      </c>
      <c r="B123" s="418" t="s">
        <v>256</v>
      </c>
      <c r="C123" s="423" t="s">
        <v>257</v>
      </c>
      <c r="D123" s="433"/>
      <c r="E123" s="434"/>
      <c r="F123" s="434"/>
      <c r="G123" s="431"/>
      <c r="H123" s="430"/>
      <c r="I123" s="431"/>
      <c r="J123" s="430"/>
      <c r="K123" s="432"/>
      <c r="L123" s="430"/>
      <c r="M123" s="432"/>
      <c r="N123" s="433"/>
      <c r="O123" s="432"/>
    </row>
    <row r="124" spans="1:15" x14ac:dyDescent="0.2">
      <c r="A124" s="429">
        <v>110</v>
      </c>
      <c r="B124" s="416" t="s">
        <v>258</v>
      </c>
      <c r="C124" s="423" t="s">
        <v>259</v>
      </c>
      <c r="D124" s="433"/>
      <c r="E124" s="434"/>
      <c r="F124" s="434"/>
      <c r="G124" s="431"/>
      <c r="H124" s="430"/>
      <c r="I124" s="431"/>
      <c r="J124" s="430"/>
      <c r="K124" s="432"/>
      <c r="L124" s="430"/>
      <c r="M124" s="432"/>
      <c r="N124" s="433"/>
      <c r="O124" s="432"/>
    </row>
    <row r="125" spans="1:15" x14ac:dyDescent="0.2">
      <c r="A125" s="429">
        <v>111</v>
      </c>
      <c r="B125" s="536" t="s">
        <v>551</v>
      </c>
      <c r="C125" s="525" t="s">
        <v>552</v>
      </c>
      <c r="D125" s="433"/>
      <c r="E125" s="434"/>
      <c r="F125" s="434"/>
      <c r="G125" s="431"/>
      <c r="H125" s="430"/>
      <c r="I125" s="431"/>
      <c r="J125" s="430"/>
      <c r="K125" s="432"/>
      <c r="L125" s="430"/>
      <c r="M125" s="432"/>
      <c r="N125" s="433"/>
      <c r="O125" s="432"/>
    </row>
    <row r="126" spans="1:15" x14ac:dyDescent="0.2">
      <c r="A126" s="429">
        <v>112</v>
      </c>
      <c r="B126" s="418" t="s">
        <v>260</v>
      </c>
      <c r="C126" s="423" t="s">
        <v>261</v>
      </c>
      <c r="D126" s="433"/>
      <c r="E126" s="434"/>
      <c r="F126" s="434"/>
      <c r="G126" s="431"/>
      <c r="H126" s="430"/>
      <c r="I126" s="431"/>
      <c r="J126" s="430"/>
      <c r="K126" s="432"/>
      <c r="L126" s="430"/>
      <c r="M126" s="432"/>
      <c r="N126" s="433"/>
      <c r="O126" s="432"/>
    </row>
    <row r="127" spans="1:15" x14ac:dyDescent="0.2">
      <c r="A127" s="429">
        <v>113</v>
      </c>
      <c r="B127" s="818" t="s">
        <v>262</v>
      </c>
      <c r="C127" s="423" t="s">
        <v>263</v>
      </c>
      <c r="D127" s="433"/>
      <c r="E127" s="434"/>
      <c r="F127" s="434"/>
      <c r="G127" s="431"/>
      <c r="H127" s="430"/>
      <c r="I127" s="431"/>
      <c r="J127" s="430"/>
      <c r="K127" s="432"/>
      <c r="L127" s="430"/>
      <c r="M127" s="432"/>
      <c r="N127" s="433"/>
      <c r="O127" s="432"/>
    </row>
    <row r="128" spans="1:15" ht="25.5" x14ac:dyDescent="0.2">
      <c r="A128" s="429">
        <v>114</v>
      </c>
      <c r="B128" s="818" t="s">
        <v>264</v>
      </c>
      <c r="C128" s="440" t="s">
        <v>265</v>
      </c>
      <c r="D128" s="433"/>
      <c r="E128" s="434"/>
      <c r="F128" s="434"/>
      <c r="G128" s="431"/>
      <c r="H128" s="430"/>
      <c r="I128" s="431"/>
      <c r="J128" s="430"/>
      <c r="K128" s="432"/>
      <c r="L128" s="430"/>
      <c r="M128" s="432"/>
      <c r="N128" s="433"/>
      <c r="O128" s="432"/>
    </row>
    <row r="129" spans="1:15" x14ac:dyDescent="0.2">
      <c r="A129" s="429">
        <v>115</v>
      </c>
      <c r="B129" s="818" t="s">
        <v>266</v>
      </c>
      <c r="C129" s="423" t="s">
        <v>267</v>
      </c>
      <c r="D129" s="433"/>
      <c r="E129" s="434"/>
      <c r="F129" s="434"/>
      <c r="G129" s="431"/>
      <c r="H129" s="430"/>
      <c r="I129" s="431"/>
      <c r="J129" s="430"/>
      <c r="K129" s="432"/>
      <c r="L129" s="430"/>
      <c r="M129" s="432"/>
      <c r="N129" s="433"/>
      <c r="O129" s="432"/>
    </row>
    <row r="130" spans="1:15" x14ac:dyDescent="0.2">
      <c r="A130" s="429">
        <v>116</v>
      </c>
      <c r="B130" s="818" t="s">
        <v>268</v>
      </c>
      <c r="C130" s="423" t="s">
        <v>269</v>
      </c>
      <c r="D130" s="433">
        <f t="shared" si="7"/>
        <v>13007</v>
      </c>
      <c r="E130" s="434">
        <f t="shared" si="8"/>
        <v>13007</v>
      </c>
      <c r="F130" s="434"/>
      <c r="G130" s="431"/>
      <c r="H130" s="430">
        <f>12230+593+184</f>
        <v>13007</v>
      </c>
      <c r="I130" s="431"/>
      <c r="J130" s="430"/>
      <c r="K130" s="432"/>
      <c r="L130" s="430"/>
      <c r="M130" s="432"/>
      <c r="N130" s="433"/>
      <c r="O130" s="432"/>
    </row>
    <row r="131" spans="1:15" x14ac:dyDescent="0.2">
      <c r="A131" s="429">
        <v>117</v>
      </c>
      <c r="B131" s="818" t="s">
        <v>270</v>
      </c>
      <c r="C131" s="423" t="s">
        <v>271</v>
      </c>
      <c r="D131" s="433"/>
      <c r="E131" s="434"/>
      <c r="F131" s="434"/>
      <c r="G131" s="431"/>
      <c r="H131" s="430"/>
      <c r="I131" s="431"/>
      <c r="J131" s="430"/>
      <c r="K131" s="432"/>
      <c r="L131" s="430"/>
      <c r="M131" s="432"/>
      <c r="N131" s="433"/>
      <c r="O131" s="432"/>
    </row>
    <row r="132" spans="1:15" x14ac:dyDescent="0.2">
      <c r="A132" s="429">
        <v>118</v>
      </c>
      <c r="B132" s="416" t="s">
        <v>272</v>
      </c>
      <c r="C132" s="423" t="s">
        <v>273</v>
      </c>
      <c r="D132" s="433"/>
      <c r="E132" s="434"/>
      <c r="F132" s="434"/>
      <c r="G132" s="431"/>
      <c r="H132" s="430"/>
      <c r="I132" s="431"/>
      <c r="J132" s="430"/>
      <c r="K132" s="432"/>
      <c r="L132" s="430"/>
      <c r="M132" s="432"/>
      <c r="N132" s="433"/>
      <c r="O132" s="432"/>
    </row>
    <row r="133" spans="1:15" x14ac:dyDescent="0.2">
      <c r="A133" s="429">
        <v>119</v>
      </c>
      <c r="B133" s="416" t="s">
        <v>274</v>
      </c>
      <c r="C133" s="423" t="s">
        <v>275</v>
      </c>
      <c r="D133" s="433"/>
      <c r="E133" s="434"/>
      <c r="F133" s="434"/>
      <c r="G133" s="431"/>
      <c r="H133" s="430"/>
      <c r="I133" s="431"/>
      <c r="J133" s="430"/>
      <c r="K133" s="432"/>
      <c r="L133" s="430"/>
      <c r="M133" s="432"/>
      <c r="N133" s="433"/>
      <c r="O133" s="432"/>
    </row>
    <row r="134" spans="1:15" x14ac:dyDescent="0.2">
      <c r="A134" s="429">
        <v>120</v>
      </c>
      <c r="B134" s="416" t="s">
        <v>276</v>
      </c>
      <c r="C134" s="423" t="s">
        <v>277</v>
      </c>
      <c r="D134" s="433"/>
      <c r="E134" s="434"/>
      <c r="F134" s="434"/>
      <c r="G134" s="431"/>
      <c r="H134" s="430"/>
      <c r="I134" s="431"/>
      <c r="J134" s="430"/>
      <c r="K134" s="432"/>
      <c r="L134" s="430"/>
      <c r="M134" s="432"/>
      <c r="N134" s="433"/>
      <c r="O134" s="432"/>
    </row>
    <row r="135" spans="1:15" x14ac:dyDescent="0.2">
      <c r="A135" s="429">
        <v>121</v>
      </c>
      <c r="B135" s="818" t="s">
        <v>278</v>
      </c>
      <c r="C135" s="423" t="s">
        <v>279</v>
      </c>
      <c r="D135" s="433"/>
      <c r="E135" s="434"/>
      <c r="F135" s="434"/>
      <c r="G135" s="431"/>
      <c r="H135" s="430"/>
      <c r="I135" s="431"/>
      <c r="J135" s="430"/>
      <c r="K135" s="432"/>
      <c r="L135" s="430"/>
      <c r="M135" s="432"/>
      <c r="N135" s="433"/>
      <c r="O135" s="432"/>
    </row>
    <row r="136" spans="1:15" x14ac:dyDescent="0.2">
      <c r="A136" s="429">
        <v>122</v>
      </c>
      <c r="B136" s="818" t="s">
        <v>280</v>
      </c>
      <c r="C136" s="423" t="s">
        <v>281</v>
      </c>
      <c r="D136" s="433"/>
      <c r="E136" s="434"/>
      <c r="F136" s="434"/>
      <c r="G136" s="431"/>
      <c r="H136" s="430"/>
      <c r="I136" s="431"/>
      <c r="J136" s="430"/>
      <c r="K136" s="432"/>
      <c r="L136" s="430"/>
      <c r="M136" s="432"/>
      <c r="N136" s="433"/>
      <c r="O136" s="432"/>
    </row>
    <row r="137" spans="1:15" x14ac:dyDescent="0.2">
      <c r="A137" s="429">
        <v>123</v>
      </c>
      <c r="B137" s="818" t="s">
        <v>282</v>
      </c>
      <c r="C137" s="423" t="s">
        <v>783</v>
      </c>
      <c r="D137" s="433"/>
      <c r="E137" s="434"/>
      <c r="F137" s="434"/>
      <c r="G137" s="431"/>
      <c r="H137" s="430"/>
      <c r="I137" s="431"/>
      <c r="J137" s="430"/>
      <c r="K137" s="432"/>
      <c r="L137" s="430"/>
      <c r="M137" s="432"/>
      <c r="N137" s="433"/>
      <c r="O137" s="432"/>
    </row>
    <row r="138" spans="1:15" x14ac:dyDescent="0.2">
      <c r="A138" s="429">
        <v>124</v>
      </c>
      <c r="B138" s="416" t="s">
        <v>283</v>
      </c>
      <c r="C138" s="423" t="s">
        <v>284</v>
      </c>
      <c r="D138" s="433">
        <f t="shared" si="7"/>
        <v>19815</v>
      </c>
      <c r="E138" s="434">
        <f t="shared" si="8"/>
        <v>19815</v>
      </c>
      <c r="F138" s="434">
        <v>100</v>
      </c>
      <c r="G138" s="431"/>
      <c r="H138" s="430">
        <v>2264</v>
      </c>
      <c r="I138" s="431"/>
      <c r="J138" s="430">
        <f>2206+1378</f>
        <v>3584</v>
      </c>
      <c r="K138" s="432"/>
      <c r="L138" s="430">
        <f>9807+1664</f>
        <v>11471</v>
      </c>
      <c r="M138" s="432"/>
      <c r="N138" s="433">
        <v>2496</v>
      </c>
      <c r="O138" s="432"/>
    </row>
    <row r="139" spans="1:15" ht="13.5" customHeight="1" x14ac:dyDescent="0.2">
      <c r="A139" s="429">
        <v>125</v>
      </c>
      <c r="B139" s="418" t="s">
        <v>285</v>
      </c>
      <c r="C139" s="423" t="s">
        <v>761</v>
      </c>
      <c r="D139" s="433">
        <f t="shared" si="7"/>
        <v>24024</v>
      </c>
      <c r="E139" s="434">
        <f t="shared" si="8"/>
        <v>24024</v>
      </c>
      <c r="F139" s="434">
        <v>258</v>
      </c>
      <c r="G139" s="431"/>
      <c r="H139" s="430">
        <v>3284</v>
      </c>
      <c r="I139" s="431"/>
      <c r="J139" s="430">
        <f>3454+534</f>
        <v>3988</v>
      </c>
      <c r="K139" s="432"/>
      <c r="L139" s="430">
        <f>13782+2338</f>
        <v>16120</v>
      </c>
      <c r="M139" s="432"/>
      <c r="N139" s="433">
        <v>632</v>
      </c>
      <c r="O139" s="432"/>
    </row>
    <row r="140" spans="1:15" x14ac:dyDescent="0.2">
      <c r="A140" s="429">
        <v>126</v>
      </c>
      <c r="B140" s="818" t="s">
        <v>286</v>
      </c>
      <c r="C140" s="423" t="s">
        <v>287</v>
      </c>
      <c r="D140" s="433"/>
      <c r="E140" s="434"/>
      <c r="F140" s="434"/>
      <c r="G140" s="431"/>
      <c r="H140" s="430"/>
      <c r="I140" s="431"/>
      <c r="J140" s="430"/>
      <c r="K140" s="432"/>
      <c r="L140" s="430"/>
      <c r="M140" s="432"/>
      <c r="N140" s="433"/>
      <c r="O140" s="432"/>
    </row>
    <row r="141" spans="1:15" x14ac:dyDescent="0.2">
      <c r="A141" s="429">
        <v>127</v>
      </c>
      <c r="B141" s="416" t="s">
        <v>288</v>
      </c>
      <c r="C141" s="423" t="s">
        <v>289</v>
      </c>
      <c r="D141" s="433"/>
      <c r="E141" s="434"/>
      <c r="F141" s="434"/>
      <c r="G141" s="431"/>
      <c r="H141" s="430"/>
      <c r="I141" s="431"/>
      <c r="J141" s="430"/>
      <c r="K141" s="432"/>
      <c r="L141" s="430"/>
      <c r="M141" s="432"/>
      <c r="N141" s="433"/>
      <c r="O141" s="432"/>
    </row>
    <row r="142" spans="1:15" x14ac:dyDescent="0.2">
      <c r="A142" s="429">
        <v>128</v>
      </c>
      <c r="B142" s="818" t="s">
        <v>290</v>
      </c>
      <c r="C142" s="423" t="s">
        <v>291</v>
      </c>
      <c r="D142" s="433"/>
      <c r="E142" s="434"/>
      <c r="F142" s="434"/>
      <c r="G142" s="431"/>
      <c r="H142" s="430"/>
      <c r="I142" s="431"/>
      <c r="J142" s="430"/>
      <c r="K142" s="432"/>
      <c r="L142" s="430"/>
      <c r="M142" s="432"/>
      <c r="N142" s="433"/>
      <c r="O142" s="432"/>
    </row>
    <row r="143" spans="1:15" x14ac:dyDescent="0.2">
      <c r="A143" s="429">
        <v>129</v>
      </c>
      <c r="B143" s="136" t="s">
        <v>292</v>
      </c>
      <c r="C143" s="441" t="s">
        <v>293</v>
      </c>
      <c r="D143" s="433"/>
      <c r="E143" s="434"/>
      <c r="F143" s="434"/>
      <c r="G143" s="431"/>
      <c r="H143" s="430"/>
      <c r="I143" s="431"/>
      <c r="J143" s="430"/>
      <c r="K143" s="432"/>
      <c r="L143" s="430"/>
      <c r="M143" s="432"/>
      <c r="N143" s="433"/>
      <c r="O143" s="432"/>
    </row>
    <row r="144" spans="1:15" x14ac:dyDescent="0.2">
      <c r="A144" s="429">
        <v>130</v>
      </c>
      <c r="B144" s="138" t="s">
        <v>294</v>
      </c>
      <c r="C144" s="441" t="s">
        <v>295</v>
      </c>
      <c r="D144" s="433"/>
      <c r="E144" s="434"/>
      <c r="F144" s="434"/>
      <c r="G144" s="431"/>
      <c r="H144" s="430"/>
      <c r="I144" s="431"/>
      <c r="J144" s="430"/>
      <c r="K144" s="432"/>
      <c r="L144" s="430"/>
      <c r="M144" s="432"/>
      <c r="N144" s="433"/>
      <c r="O144" s="432"/>
    </row>
    <row r="145" spans="1:15" x14ac:dyDescent="0.2">
      <c r="A145" s="429">
        <v>131</v>
      </c>
      <c r="B145" s="140" t="s">
        <v>296</v>
      </c>
      <c r="C145" s="768" t="s">
        <v>693</v>
      </c>
      <c r="D145" s="433"/>
      <c r="E145" s="434"/>
      <c r="F145" s="434"/>
      <c r="G145" s="431"/>
      <c r="H145" s="430"/>
      <c r="I145" s="431"/>
      <c r="J145" s="430"/>
      <c r="K145" s="432"/>
      <c r="L145" s="430"/>
      <c r="M145" s="432"/>
      <c r="N145" s="433"/>
      <c r="O145" s="432"/>
    </row>
    <row r="146" spans="1:15" x14ac:dyDescent="0.2">
      <c r="A146" s="429">
        <v>132</v>
      </c>
      <c r="B146" s="429" t="s">
        <v>298</v>
      </c>
      <c r="C146" s="442" t="s">
        <v>299</v>
      </c>
      <c r="D146" s="433"/>
      <c r="E146" s="434"/>
      <c r="F146" s="434"/>
      <c r="G146" s="431"/>
      <c r="H146" s="430"/>
      <c r="I146" s="431"/>
      <c r="J146" s="430"/>
      <c r="K146" s="432"/>
      <c r="L146" s="430"/>
      <c r="M146" s="432"/>
      <c r="N146" s="433"/>
      <c r="O146" s="432"/>
    </row>
    <row r="147" spans="1:15" x14ac:dyDescent="0.2">
      <c r="A147" s="436">
        <v>133</v>
      </c>
      <c r="B147" s="443" t="s">
        <v>300</v>
      </c>
      <c r="C147" s="444" t="s">
        <v>301</v>
      </c>
      <c r="D147" s="433"/>
      <c r="E147" s="434"/>
      <c r="F147" s="434"/>
      <c r="G147" s="431"/>
      <c r="H147" s="430"/>
      <c r="I147" s="431"/>
      <c r="J147" s="430"/>
      <c r="K147" s="432"/>
      <c r="L147" s="430"/>
      <c r="M147" s="432"/>
      <c r="N147" s="433"/>
      <c r="O147" s="432"/>
    </row>
    <row r="148" spans="1:15" x14ac:dyDescent="0.2">
      <c r="A148" s="445">
        <v>134</v>
      </c>
      <c r="B148" s="774" t="s">
        <v>302</v>
      </c>
      <c r="C148" s="775" t="s">
        <v>303</v>
      </c>
      <c r="D148" s="433"/>
      <c r="E148" s="434"/>
      <c r="F148" s="434"/>
      <c r="G148" s="431"/>
      <c r="H148" s="430"/>
      <c r="I148" s="431"/>
      <c r="J148" s="430"/>
      <c r="K148" s="432"/>
      <c r="L148" s="430"/>
      <c r="M148" s="432"/>
      <c r="N148" s="433"/>
      <c r="O148" s="432"/>
    </row>
    <row r="149" spans="1:15" ht="13.5" thickBot="1" x14ac:dyDescent="0.25">
      <c r="A149" s="776">
        <v>135</v>
      </c>
      <c r="B149" s="777" t="s">
        <v>304</v>
      </c>
      <c r="C149" s="778" t="s">
        <v>305</v>
      </c>
      <c r="D149" s="769"/>
      <c r="E149" s="770"/>
      <c r="F149" s="770"/>
      <c r="G149" s="771"/>
      <c r="H149" s="772"/>
      <c r="I149" s="771"/>
      <c r="J149" s="772"/>
      <c r="K149" s="773"/>
      <c r="L149" s="772"/>
      <c r="M149" s="773"/>
      <c r="N149" s="769"/>
      <c r="O149" s="773"/>
    </row>
    <row r="150" spans="1:15" x14ac:dyDescent="0.2">
      <c r="D150" s="823"/>
      <c r="E150" s="823"/>
      <c r="F150" s="823"/>
      <c r="G150" s="823"/>
      <c r="H150" s="823"/>
      <c r="I150" s="823"/>
      <c r="J150" s="823"/>
      <c r="K150" s="823"/>
      <c r="L150" s="823"/>
      <c r="M150" s="823"/>
      <c r="N150" s="823"/>
      <c r="O150" s="823"/>
    </row>
    <row r="152" spans="1:15" x14ac:dyDescent="0.2">
      <c r="D152" s="844"/>
      <c r="E152" s="844"/>
      <c r="F152" s="844"/>
      <c r="G152" s="844"/>
      <c r="H152" s="844"/>
      <c r="I152" s="844"/>
      <c r="J152" s="844"/>
      <c r="K152" s="844"/>
      <c r="L152" s="844"/>
      <c r="M152" s="844"/>
      <c r="N152" s="844"/>
      <c r="O152" s="844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90" zoomScaleNormal="90" workbookViewId="0">
      <pane xSplit="3" ySplit="8" topLeftCell="D113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ColWidth="9.140625" defaultRowHeight="12.75" x14ac:dyDescent="0.2"/>
  <cols>
    <col min="1" max="1" width="6.140625" style="412" customWidth="1"/>
    <col min="2" max="2" width="10.42578125" style="412" customWidth="1"/>
    <col min="3" max="3" width="50.7109375" style="412" customWidth="1"/>
    <col min="4" max="4" width="12.28515625" style="412" customWidth="1"/>
    <col min="5" max="5" width="11.28515625" style="412" customWidth="1"/>
    <col min="6" max="6" width="12.5703125" style="412" customWidth="1"/>
    <col min="7" max="7" width="16.28515625" style="412" customWidth="1"/>
    <col min="8" max="8" width="12.140625" style="412" customWidth="1"/>
    <col min="9" max="9" width="17.42578125" style="412" customWidth="1"/>
    <col min="10" max="10" width="9.140625" style="412"/>
    <col min="11" max="13" width="9.140625" style="413"/>
    <col min="14" max="16384" width="9.140625" style="412"/>
  </cols>
  <sheetData>
    <row r="1" spans="1:13" ht="25.5" customHeight="1" x14ac:dyDescent="0.2">
      <c r="A1" s="1123" t="s">
        <v>746</v>
      </c>
      <c r="B1" s="1123"/>
      <c r="C1" s="1123"/>
      <c r="D1" s="1123"/>
      <c r="E1" s="1123"/>
      <c r="F1" s="1123"/>
      <c r="G1" s="1123"/>
      <c r="H1" s="1123"/>
      <c r="I1" s="1124"/>
    </row>
    <row r="2" spans="1:13" s="414" customFormat="1" ht="14.25" customHeight="1" x14ac:dyDescent="0.2">
      <c r="A2" s="1122" t="s">
        <v>0</v>
      </c>
      <c r="B2" s="1122" t="s">
        <v>326</v>
      </c>
      <c r="C2" s="1122" t="s">
        <v>309</v>
      </c>
      <c r="D2" s="1122" t="s">
        <v>740</v>
      </c>
      <c r="E2" s="1122"/>
      <c r="F2" s="1122"/>
      <c r="G2" s="1122"/>
      <c r="H2" s="1122"/>
      <c r="I2" s="1122"/>
      <c r="K2" s="415"/>
      <c r="L2" s="415"/>
      <c r="M2" s="415"/>
    </row>
    <row r="3" spans="1:13" s="414" customFormat="1" ht="11.25" customHeight="1" x14ac:dyDescent="0.2">
      <c r="A3" s="1122"/>
      <c r="B3" s="1122"/>
      <c r="C3" s="1122"/>
      <c r="D3" s="1122" t="s">
        <v>741</v>
      </c>
      <c r="E3" s="1122"/>
      <c r="F3" s="1122"/>
      <c r="G3" s="1122"/>
      <c r="H3" s="1122"/>
      <c r="I3" s="1122"/>
      <c r="K3" s="415"/>
      <c r="L3" s="415"/>
      <c r="M3" s="415"/>
    </row>
    <row r="4" spans="1:13" s="414" customFormat="1" ht="12.75" customHeight="1" x14ac:dyDescent="0.2">
      <c r="A4" s="1122"/>
      <c r="B4" s="1122"/>
      <c r="C4" s="1122"/>
      <c r="D4" s="1122" t="s">
        <v>44</v>
      </c>
      <c r="E4" s="1122"/>
      <c r="F4" s="1125" t="s">
        <v>449</v>
      </c>
      <c r="G4" s="1125"/>
      <c r="H4" s="1125"/>
      <c r="I4" s="1125"/>
      <c r="K4" s="415"/>
      <c r="L4" s="415"/>
      <c r="M4" s="415"/>
    </row>
    <row r="5" spans="1:13" s="414" customFormat="1" ht="12.75" customHeight="1" x14ac:dyDescent="0.2">
      <c r="A5" s="1122"/>
      <c r="B5" s="1122"/>
      <c r="C5" s="1122"/>
      <c r="D5" s="1122"/>
      <c r="E5" s="1122"/>
      <c r="F5" s="1125" t="s">
        <v>682</v>
      </c>
      <c r="G5" s="1125"/>
      <c r="H5" s="1125" t="s">
        <v>683</v>
      </c>
      <c r="I5" s="1125"/>
      <c r="K5" s="415"/>
      <c r="L5" s="415"/>
      <c r="M5" s="415"/>
    </row>
    <row r="6" spans="1:13" s="414" customFormat="1" ht="26.25" customHeight="1" x14ac:dyDescent="0.2">
      <c r="A6" s="1122"/>
      <c r="B6" s="1122"/>
      <c r="C6" s="1122"/>
      <c r="D6" s="688" t="s">
        <v>742</v>
      </c>
      <c r="E6" s="689" t="s">
        <v>743</v>
      </c>
      <c r="F6" s="688" t="s">
        <v>742</v>
      </c>
      <c r="G6" s="688" t="s">
        <v>744</v>
      </c>
      <c r="H6" s="688" t="s">
        <v>742</v>
      </c>
      <c r="I6" s="688" t="s">
        <v>745</v>
      </c>
      <c r="K6" s="415"/>
      <c r="L6" s="415"/>
      <c r="M6" s="415"/>
    </row>
    <row r="7" spans="1:13" s="414" customFormat="1" ht="13.5" customHeight="1" x14ac:dyDescent="0.2">
      <c r="A7" s="689">
        <v>1</v>
      </c>
      <c r="B7" s="689">
        <v>2</v>
      </c>
      <c r="C7" s="689">
        <v>3</v>
      </c>
      <c r="D7" s="689">
        <v>4</v>
      </c>
      <c r="E7" s="689">
        <v>5</v>
      </c>
      <c r="F7" s="689">
        <v>6</v>
      </c>
      <c r="G7" s="689">
        <v>7</v>
      </c>
      <c r="H7" s="689">
        <v>8</v>
      </c>
      <c r="I7" s="689">
        <v>9</v>
      </c>
      <c r="K7" s="415"/>
      <c r="L7" s="415"/>
      <c r="M7" s="415"/>
    </row>
    <row r="8" spans="1:13" x14ac:dyDescent="0.2">
      <c r="A8" s="1119" t="s">
        <v>44</v>
      </c>
      <c r="B8" s="1119"/>
      <c r="C8" s="1119"/>
      <c r="D8" s="420">
        <f>SUM(D9:D146)-D89</f>
        <v>69267</v>
      </c>
      <c r="E8" s="420">
        <f>SUM(E9:E146)-E89</f>
        <v>282581</v>
      </c>
      <c r="F8" s="420">
        <f t="shared" ref="F8:I8" si="0">SUM(F9:F146)-F89</f>
        <v>3721</v>
      </c>
      <c r="G8" s="420">
        <f t="shared" si="0"/>
        <v>44652</v>
      </c>
      <c r="H8" s="420">
        <f t="shared" si="0"/>
        <v>65546</v>
      </c>
      <c r="I8" s="420">
        <f t="shared" si="0"/>
        <v>237929</v>
      </c>
    </row>
    <row r="9" spans="1:13" x14ac:dyDescent="0.2">
      <c r="A9" s="691">
        <v>1</v>
      </c>
      <c r="B9" s="416" t="s">
        <v>54</v>
      </c>
      <c r="C9" s="135" t="s">
        <v>55</v>
      </c>
      <c r="D9" s="417">
        <f>F9+H9</f>
        <v>440</v>
      </c>
      <c r="E9" s="417">
        <f>G9+I9</f>
        <v>1765</v>
      </c>
      <c r="F9" s="417">
        <v>20</v>
      </c>
      <c r="G9" s="417">
        <f>F9*12</f>
        <v>240</v>
      </c>
      <c r="H9" s="417">
        <v>420</v>
      </c>
      <c r="I9" s="417">
        <f>ROUND(H9*3.6299,0)</f>
        <v>1525</v>
      </c>
      <c r="J9" s="413"/>
    </row>
    <row r="10" spans="1:13" x14ac:dyDescent="0.2">
      <c r="A10" s="691">
        <v>2</v>
      </c>
      <c r="B10" s="418" t="s">
        <v>56</v>
      </c>
      <c r="C10" s="135" t="s">
        <v>57</v>
      </c>
      <c r="D10" s="417">
        <f t="shared" ref="D10:E72" si="1">F10+H10</f>
        <v>428</v>
      </c>
      <c r="E10" s="417">
        <f t="shared" si="1"/>
        <v>1696</v>
      </c>
      <c r="F10" s="417">
        <v>17</v>
      </c>
      <c r="G10" s="417">
        <f>F10*12</f>
        <v>204</v>
      </c>
      <c r="H10" s="417">
        <v>411</v>
      </c>
      <c r="I10" s="417">
        <f t="shared" ref="I10:I30" si="2">ROUND(H10*3.6299,0)</f>
        <v>1492</v>
      </c>
      <c r="J10" s="413"/>
    </row>
    <row r="11" spans="1:13" x14ac:dyDescent="0.2">
      <c r="A11" s="691">
        <v>3</v>
      </c>
      <c r="B11" s="692" t="s">
        <v>16</v>
      </c>
      <c r="C11" s="135" t="s">
        <v>17</v>
      </c>
      <c r="D11" s="417">
        <f t="shared" si="1"/>
        <v>1159</v>
      </c>
      <c r="E11" s="417">
        <f t="shared" si="1"/>
        <v>4634</v>
      </c>
      <c r="F11" s="417">
        <v>51</v>
      </c>
      <c r="G11" s="417">
        <f t="shared" ref="G11:G72" si="3">F11*12</f>
        <v>612</v>
      </c>
      <c r="H11" s="417">
        <v>1108</v>
      </c>
      <c r="I11" s="417">
        <f t="shared" si="2"/>
        <v>4022</v>
      </c>
      <c r="J11" s="413"/>
    </row>
    <row r="12" spans="1:13" x14ac:dyDescent="0.2">
      <c r="A12" s="691">
        <v>4</v>
      </c>
      <c r="B12" s="416" t="s">
        <v>58</v>
      </c>
      <c r="C12" s="135" t="s">
        <v>59</v>
      </c>
      <c r="D12" s="417">
        <f t="shared" si="1"/>
        <v>508</v>
      </c>
      <c r="E12" s="417">
        <f t="shared" si="1"/>
        <v>2045</v>
      </c>
      <c r="F12" s="417">
        <v>24</v>
      </c>
      <c r="G12" s="417">
        <f t="shared" si="3"/>
        <v>288</v>
      </c>
      <c r="H12" s="417">
        <v>484</v>
      </c>
      <c r="I12" s="417">
        <f t="shared" si="2"/>
        <v>1757</v>
      </c>
      <c r="J12" s="413"/>
    </row>
    <row r="13" spans="1:13" x14ac:dyDescent="0.2">
      <c r="A13" s="691">
        <v>5</v>
      </c>
      <c r="B13" s="416" t="s">
        <v>60</v>
      </c>
      <c r="C13" s="135" t="s">
        <v>61</v>
      </c>
      <c r="D13" s="417">
        <f t="shared" si="1"/>
        <v>474</v>
      </c>
      <c r="E13" s="417">
        <f t="shared" si="1"/>
        <v>1871</v>
      </c>
      <c r="F13" s="417">
        <v>18</v>
      </c>
      <c r="G13" s="417">
        <f t="shared" si="3"/>
        <v>216</v>
      </c>
      <c r="H13" s="417">
        <v>456</v>
      </c>
      <c r="I13" s="417">
        <f t="shared" si="2"/>
        <v>1655</v>
      </c>
      <c r="J13" s="413"/>
    </row>
    <row r="14" spans="1:13" x14ac:dyDescent="0.2">
      <c r="A14" s="691">
        <v>6</v>
      </c>
      <c r="B14" s="692" t="s">
        <v>18</v>
      </c>
      <c r="C14" s="135" t="s">
        <v>19</v>
      </c>
      <c r="D14" s="417">
        <f t="shared" si="1"/>
        <v>2135</v>
      </c>
      <c r="E14" s="417">
        <f t="shared" si="1"/>
        <v>8938</v>
      </c>
      <c r="F14" s="417">
        <v>142</v>
      </c>
      <c r="G14" s="417">
        <f t="shared" si="3"/>
        <v>1704</v>
      </c>
      <c r="H14" s="417">
        <v>1993</v>
      </c>
      <c r="I14" s="417">
        <f t="shared" si="2"/>
        <v>7234</v>
      </c>
      <c r="J14" s="413"/>
    </row>
    <row r="15" spans="1:13" x14ac:dyDescent="0.2">
      <c r="A15" s="691">
        <v>7</v>
      </c>
      <c r="B15" s="416" t="s">
        <v>62</v>
      </c>
      <c r="C15" s="135" t="s">
        <v>63</v>
      </c>
      <c r="D15" s="417">
        <f t="shared" si="1"/>
        <v>1015</v>
      </c>
      <c r="E15" s="417">
        <f t="shared" si="1"/>
        <v>4145</v>
      </c>
      <c r="F15" s="417">
        <v>55</v>
      </c>
      <c r="G15" s="417">
        <f t="shared" si="3"/>
        <v>660</v>
      </c>
      <c r="H15" s="417">
        <v>960</v>
      </c>
      <c r="I15" s="417">
        <f t="shared" si="2"/>
        <v>3485</v>
      </c>
      <c r="J15" s="413"/>
    </row>
    <row r="16" spans="1:13" x14ac:dyDescent="0.2">
      <c r="A16" s="691">
        <v>8</v>
      </c>
      <c r="B16" s="692" t="s">
        <v>64</v>
      </c>
      <c r="C16" s="135" t="s">
        <v>65</v>
      </c>
      <c r="D16" s="417">
        <f t="shared" si="1"/>
        <v>415</v>
      </c>
      <c r="E16" s="417">
        <f t="shared" si="1"/>
        <v>1699</v>
      </c>
      <c r="F16" s="417">
        <v>23</v>
      </c>
      <c r="G16" s="417">
        <f t="shared" si="3"/>
        <v>276</v>
      </c>
      <c r="H16" s="417">
        <v>392</v>
      </c>
      <c r="I16" s="417">
        <f t="shared" si="2"/>
        <v>1423</v>
      </c>
      <c r="J16" s="413"/>
    </row>
    <row r="17" spans="1:10" x14ac:dyDescent="0.2">
      <c r="A17" s="691">
        <v>9</v>
      </c>
      <c r="B17" s="692" t="s">
        <v>66</v>
      </c>
      <c r="C17" s="135" t="s">
        <v>67</v>
      </c>
      <c r="D17" s="417">
        <f t="shared" si="1"/>
        <v>543</v>
      </c>
      <c r="E17" s="417">
        <f t="shared" si="1"/>
        <v>2155</v>
      </c>
      <c r="F17" s="417">
        <v>22</v>
      </c>
      <c r="G17" s="417">
        <f t="shared" si="3"/>
        <v>264</v>
      </c>
      <c r="H17" s="417">
        <v>521</v>
      </c>
      <c r="I17" s="417">
        <f t="shared" si="2"/>
        <v>1891</v>
      </c>
      <c r="J17" s="413"/>
    </row>
    <row r="18" spans="1:10" s="413" customFormat="1" x14ac:dyDescent="0.2">
      <c r="A18" s="691">
        <v>10</v>
      </c>
      <c r="B18" s="692" t="s">
        <v>68</v>
      </c>
      <c r="C18" s="135" t="s">
        <v>69</v>
      </c>
      <c r="D18" s="417">
        <f t="shared" si="1"/>
        <v>634</v>
      </c>
      <c r="E18" s="417">
        <f t="shared" si="1"/>
        <v>2544</v>
      </c>
      <c r="F18" s="417">
        <v>29</v>
      </c>
      <c r="G18" s="417">
        <f t="shared" si="3"/>
        <v>348</v>
      </c>
      <c r="H18" s="417">
        <v>605</v>
      </c>
      <c r="I18" s="417">
        <f t="shared" si="2"/>
        <v>2196</v>
      </c>
    </row>
    <row r="19" spans="1:10" s="413" customFormat="1" x14ac:dyDescent="0.2">
      <c r="A19" s="691">
        <v>11</v>
      </c>
      <c r="B19" s="692" t="s">
        <v>70</v>
      </c>
      <c r="C19" s="135" t="s">
        <v>71</v>
      </c>
      <c r="D19" s="417">
        <f t="shared" si="1"/>
        <v>518</v>
      </c>
      <c r="E19" s="417">
        <f t="shared" si="1"/>
        <v>2006</v>
      </c>
      <c r="F19" s="417">
        <v>15</v>
      </c>
      <c r="G19" s="417">
        <f t="shared" si="3"/>
        <v>180</v>
      </c>
      <c r="H19" s="417">
        <v>503</v>
      </c>
      <c r="I19" s="417">
        <f t="shared" si="2"/>
        <v>1826</v>
      </c>
    </row>
    <row r="20" spans="1:10" s="413" customFormat="1" x14ac:dyDescent="0.2">
      <c r="A20" s="691">
        <v>12</v>
      </c>
      <c r="B20" s="692" t="s">
        <v>72</v>
      </c>
      <c r="C20" s="135" t="s">
        <v>73</v>
      </c>
      <c r="D20" s="417">
        <f t="shared" si="1"/>
        <v>916</v>
      </c>
      <c r="E20" s="417">
        <f t="shared" si="1"/>
        <v>3601</v>
      </c>
      <c r="F20" s="417">
        <v>33</v>
      </c>
      <c r="G20" s="417">
        <f t="shared" si="3"/>
        <v>396</v>
      </c>
      <c r="H20" s="417">
        <v>883</v>
      </c>
      <c r="I20" s="417">
        <f t="shared" si="2"/>
        <v>3205</v>
      </c>
    </row>
    <row r="21" spans="1:10" s="413" customFormat="1" x14ac:dyDescent="0.2">
      <c r="A21" s="691">
        <v>13</v>
      </c>
      <c r="B21" s="692" t="s">
        <v>74</v>
      </c>
      <c r="C21" s="135" t="s">
        <v>75</v>
      </c>
      <c r="D21" s="417"/>
      <c r="E21" s="417"/>
      <c r="F21" s="417"/>
      <c r="G21" s="417"/>
      <c r="H21" s="417"/>
      <c r="I21" s="417"/>
    </row>
    <row r="22" spans="1:10" s="413" customFormat="1" x14ac:dyDescent="0.2">
      <c r="A22" s="691">
        <v>14</v>
      </c>
      <c r="B22" s="692" t="s">
        <v>76</v>
      </c>
      <c r="C22" s="135" t="s">
        <v>77</v>
      </c>
      <c r="D22" s="417">
        <f t="shared" si="1"/>
        <v>558</v>
      </c>
      <c r="E22" s="417">
        <f t="shared" si="1"/>
        <v>2201</v>
      </c>
      <c r="F22" s="417">
        <v>21</v>
      </c>
      <c r="G22" s="417">
        <f t="shared" si="3"/>
        <v>252</v>
      </c>
      <c r="H22" s="417">
        <v>537</v>
      </c>
      <c r="I22" s="417">
        <f t="shared" si="2"/>
        <v>1949</v>
      </c>
    </row>
    <row r="23" spans="1:10" s="413" customFormat="1" x14ac:dyDescent="0.2">
      <c r="A23" s="691">
        <v>15</v>
      </c>
      <c r="B23" s="692" t="s">
        <v>78</v>
      </c>
      <c r="C23" s="135" t="s">
        <v>79</v>
      </c>
      <c r="D23" s="417">
        <f t="shared" si="1"/>
        <v>631</v>
      </c>
      <c r="E23" s="417">
        <f t="shared" si="1"/>
        <v>2508</v>
      </c>
      <c r="F23" s="417">
        <v>26</v>
      </c>
      <c r="G23" s="417">
        <f t="shared" si="3"/>
        <v>312</v>
      </c>
      <c r="H23" s="417">
        <v>605</v>
      </c>
      <c r="I23" s="417">
        <f t="shared" si="2"/>
        <v>2196</v>
      </c>
    </row>
    <row r="24" spans="1:10" s="413" customFormat="1" x14ac:dyDescent="0.2">
      <c r="A24" s="691">
        <v>16</v>
      </c>
      <c r="B24" s="692" t="s">
        <v>80</v>
      </c>
      <c r="C24" s="135" t="s">
        <v>81</v>
      </c>
      <c r="D24" s="417">
        <f t="shared" si="1"/>
        <v>768</v>
      </c>
      <c r="E24" s="417">
        <f t="shared" si="1"/>
        <v>3064</v>
      </c>
      <c r="F24" s="417">
        <v>33</v>
      </c>
      <c r="G24" s="417">
        <f t="shared" si="3"/>
        <v>396</v>
      </c>
      <c r="H24" s="417">
        <v>735</v>
      </c>
      <c r="I24" s="417">
        <f t="shared" si="2"/>
        <v>2668</v>
      </c>
    </row>
    <row r="25" spans="1:10" s="413" customFormat="1" x14ac:dyDescent="0.2">
      <c r="A25" s="691">
        <v>17</v>
      </c>
      <c r="B25" s="692" t="s">
        <v>20</v>
      </c>
      <c r="C25" s="135" t="s">
        <v>21</v>
      </c>
      <c r="D25" s="417">
        <f t="shared" si="1"/>
        <v>1602</v>
      </c>
      <c r="E25" s="417">
        <f t="shared" si="1"/>
        <v>6342</v>
      </c>
      <c r="F25" s="417">
        <v>63</v>
      </c>
      <c r="G25" s="417">
        <f t="shared" si="3"/>
        <v>756</v>
      </c>
      <c r="H25" s="417">
        <v>1539</v>
      </c>
      <c r="I25" s="417">
        <f t="shared" si="2"/>
        <v>5586</v>
      </c>
    </row>
    <row r="26" spans="1:10" s="413" customFormat="1" x14ac:dyDescent="0.2">
      <c r="A26" s="691">
        <v>18</v>
      </c>
      <c r="B26" s="416" t="s">
        <v>82</v>
      </c>
      <c r="C26" s="135" t="s">
        <v>83</v>
      </c>
      <c r="D26" s="417">
        <f t="shared" si="1"/>
        <v>295</v>
      </c>
      <c r="E26" s="417">
        <f t="shared" si="1"/>
        <v>1138</v>
      </c>
      <c r="F26" s="417">
        <v>8</v>
      </c>
      <c r="G26" s="417">
        <f t="shared" si="3"/>
        <v>96</v>
      </c>
      <c r="H26" s="417">
        <v>287</v>
      </c>
      <c r="I26" s="417">
        <f t="shared" si="2"/>
        <v>1042</v>
      </c>
    </row>
    <row r="27" spans="1:10" s="413" customFormat="1" x14ac:dyDescent="0.2">
      <c r="A27" s="691">
        <v>19</v>
      </c>
      <c r="B27" s="416" t="s">
        <v>84</v>
      </c>
      <c r="C27" s="135" t="s">
        <v>85</v>
      </c>
      <c r="D27" s="417">
        <f t="shared" si="1"/>
        <v>255</v>
      </c>
      <c r="E27" s="417">
        <f t="shared" si="1"/>
        <v>1026</v>
      </c>
      <c r="F27" s="417">
        <v>12</v>
      </c>
      <c r="G27" s="417">
        <f t="shared" si="3"/>
        <v>144</v>
      </c>
      <c r="H27" s="417">
        <v>243</v>
      </c>
      <c r="I27" s="417">
        <f t="shared" si="2"/>
        <v>882</v>
      </c>
    </row>
    <row r="28" spans="1:10" s="413" customFormat="1" x14ac:dyDescent="0.2">
      <c r="A28" s="691">
        <v>20</v>
      </c>
      <c r="B28" s="416" t="s">
        <v>86</v>
      </c>
      <c r="C28" s="135" t="s">
        <v>87</v>
      </c>
      <c r="D28" s="417">
        <f t="shared" si="1"/>
        <v>1197</v>
      </c>
      <c r="E28" s="417">
        <f t="shared" si="1"/>
        <v>4889</v>
      </c>
      <c r="F28" s="417">
        <v>65</v>
      </c>
      <c r="G28" s="417">
        <f t="shared" si="3"/>
        <v>780</v>
      </c>
      <c r="H28" s="417">
        <v>1132</v>
      </c>
      <c r="I28" s="417">
        <f t="shared" si="2"/>
        <v>4109</v>
      </c>
    </row>
    <row r="29" spans="1:10" s="413" customFormat="1" x14ac:dyDescent="0.2">
      <c r="A29" s="691">
        <v>21</v>
      </c>
      <c r="B29" s="416" t="s">
        <v>22</v>
      </c>
      <c r="C29" s="135" t="s">
        <v>23</v>
      </c>
      <c r="D29" s="417">
        <f t="shared" si="1"/>
        <v>736</v>
      </c>
      <c r="E29" s="417">
        <f t="shared" si="1"/>
        <v>3082</v>
      </c>
      <c r="F29" s="417">
        <v>49</v>
      </c>
      <c r="G29" s="417">
        <f t="shared" si="3"/>
        <v>588</v>
      </c>
      <c r="H29" s="417">
        <v>687</v>
      </c>
      <c r="I29" s="417">
        <f t="shared" si="2"/>
        <v>2494</v>
      </c>
    </row>
    <row r="30" spans="1:10" s="413" customFormat="1" x14ac:dyDescent="0.2">
      <c r="A30" s="691">
        <v>22</v>
      </c>
      <c r="B30" s="692" t="s">
        <v>24</v>
      </c>
      <c r="C30" s="135" t="s">
        <v>25</v>
      </c>
      <c r="D30" s="417">
        <f t="shared" si="1"/>
        <v>182</v>
      </c>
      <c r="E30" s="417">
        <f t="shared" si="1"/>
        <v>803</v>
      </c>
      <c r="F30" s="417">
        <v>17</v>
      </c>
      <c r="G30" s="417">
        <f t="shared" si="3"/>
        <v>204</v>
      </c>
      <c r="H30" s="417">
        <v>165</v>
      </c>
      <c r="I30" s="417">
        <f t="shared" si="2"/>
        <v>599</v>
      </c>
    </row>
    <row r="31" spans="1:10" s="413" customFormat="1" x14ac:dyDescent="0.2">
      <c r="A31" s="691">
        <v>23</v>
      </c>
      <c r="B31" s="692" t="s">
        <v>88</v>
      </c>
      <c r="C31" s="135" t="s">
        <v>89</v>
      </c>
      <c r="D31" s="417"/>
      <c r="E31" s="417"/>
      <c r="F31" s="417"/>
      <c r="G31" s="417"/>
      <c r="H31" s="417"/>
      <c r="I31" s="417"/>
    </row>
    <row r="32" spans="1:10" s="413" customFormat="1" x14ac:dyDescent="0.2">
      <c r="A32" s="691">
        <v>24</v>
      </c>
      <c r="B32" s="692" t="s">
        <v>90</v>
      </c>
      <c r="C32" s="135" t="s">
        <v>91</v>
      </c>
      <c r="D32" s="417"/>
      <c r="E32" s="417"/>
      <c r="F32" s="417"/>
      <c r="G32" s="417"/>
      <c r="H32" s="417"/>
      <c r="I32" s="417"/>
    </row>
    <row r="33" spans="1:9" s="413" customFormat="1" x14ac:dyDescent="0.2">
      <c r="A33" s="691">
        <v>25</v>
      </c>
      <c r="B33" s="416" t="s">
        <v>92</v>
      </c>
      <c r="C33" s="135" t="s">
        <v>93</v>
      </c>
      <c r="D33" s="417">
        <f t="shared" si="1"/>
        <v>5240</v>
      </c>
      <c r="E33" s="417">
        <f t="shared" si="1"/>
        <v>21431</v>
      </c>
      <c r="F33" s="417">
        <v>288</v>
      </c>
      <c r="G33" s="417">
        <f t="shared" si="3"/>
        <v>3456</v>
      </c>
      <c r="H33" s="417">
        <v>4952</v>
      </c>
      <c r="I33" s="417">
        <f t="shared" ref="I33" si="4">ROUND(H33*3.6299,0)</f>
        <v>17975</v>
      </c>
    </row>
    <row r="34" spans="1:9" s="413" customFormat="1" x14ac:dyDescent="0.2">
      <c r="A34" s="691">
        <v>26</v>
      </c>
      <c r="B34" s="692" t="s">
        <v>94</v>
      </c>
      <c r="C34" s="135" t="s">
        <v>95</v>
      </c>
      <c r="D34" s="417"/>
      <c r="E34" s="417"/>
      <c r="F34" s="417"/>
      <c r="G34" s="417"/>
      <c r="H34" s="417"/>
      <c r="I34" s="417"/>
    </row>
    <row r="35" spans="1:9" s="413" customFormat="1" x14ac:dyDescent="0.2">
      <c r="A35" s="691">
        <v>27</v>
      </c>
      <c r="B35" s="418" t="s">
        <v>96</v>
      </c>
      <c r="C35" s="135" t="s">
        <v>97</v>
      </c>
      <c r="D35" s="417"/>
      <c r="E35" s="417"/>
      <c r="F35" s="417"/>
      <c r="G35" s="417"/>
      <c r="H35" s="417"/>
      <c r="I35" s="417"/>
    </row>
    <row r="36" spans="1:9" s="413" customFormat="1" x14ac:dyDescent="0.2">
      <c r="A36" s="691">
        <v>28</v>
      </c>
      <c r="B36" s="418" t="s">
        <v>26</v>
      </c>
      <c r="C36" s="135" t="s">
        <v>27</v>
      </c>
      <c r="D36" s="417">
        <f t="shared" si="1"/>
        <v>1119</v>
      </c>
      <c r="E36" s="417">
        <f t="shared" si="1"/>
        <v>4631</v>
      </c>
      <c r="F36" s="417">
        <v>68</v>
      </c>
      <c r="G36" s="417">
        <f t="shared" si="3"/>
        <v>816</v>
      </c>
      <c r="H36" s="417">
        <v>1051</v>
      </c>
      <c r="I36" s="417">
        <f t="shared" ref="I36:I60" si="5">ROUND(H36*3.6299,0)</f>
        <v>3815</v>
      </c>
    </row>
    <row r="37" spans="1:9" s="413" customFormat="1" x14ac:dyDescent="0.2">
      <c r="A37" s="691">
        <v>29</v>
      </c>
      <c r="B37" s="416" t="s">
        <v>98</v>
      </c>
      <c r="C37" s="135" t="s">
        <v>99</v>
      </c>
      <c r="D37" s="417">
        <f t="shared" si="1"/>
        <v>1945</v>
      </c>
      <c r="E37" s="417">
        <f t="shared" si="1"/>
        <v>8090</v>
      </c>
      <c r="F37" s="417">
        <v>123</v>
      </c>
      <c r="G37" s="417">
        <f t="shared" si="3"/>
        <v>1476</v>
      </c>
      <c r="H37" s="417">
        <v>1822</v>
      </c>
      <c r="I37" s="417">
        <f t="shared" si="5"/>
        <v>6614</v>
      </c>
    </row>
    <row r="38" spans="1:9" s="413" customFormat="1" x14ac:dyDescent="0.2">
      <c r="A38" s="691">
        <v>30</v>
      </c>
      <c r="B38" s="418" t="s">
        <v>100</v>
      </c>
      <c r="C38" s="135" t="s">
        <v>101</v>
      </c>
      <c r="D38" s="417">
        <f t="shared" si="1"/>
        <v>481</v>
      </c>
      <c r="E38" s="417">
        <f t="shared" si="1"/>
        <v>1922</v>
      </c>
      <c r="F38" s="417">
        <v>21</v>
      </c>
      <c r="G38" s="417">
        <f t="shared" si="3"/>
        <v>252</v>
      </c>
      <c r="H38" s="417">
        <v>460</v>
      </c>
      <c r="I38" s="417">
        <f t="shared" si="5"/>
        <v>1670</v>
      </c>
    </row>
    <row r="39" spans="1:9" s="413" customFormat="1" x14ac:dyDescent="0.2">
      <c r="A39" s="691">
        <v>31</v>
      </c>
      <c r="B39" s="692" t="s">
        <v>102</v>
      </c>
      <c r="C39" s="135" t="s">
        <v>103</v>
      </c>
      <c r="D39" s="417">
        <f t="shared" si="1"/>
        <v>1470</v>
      </c>
      <c r="E39" s="417">
        <f t="shared" si="1"/>
        <v>6031</v>
      </c>
      <c r="F39" s="417">
        <v>83</v>
      </c>
      <c r="G39" s="417">
        <f t="shared" si="3"/>
        <v>996</v>
      </c>
      <c r="H39" s="417">
        <v>1387</v>
      </c>
      <c r="I39" s="417">
        <f t="shared" si="5"/>
        <v>5035</v>
      </c>
    </row>
    <row r="40" spans="1:9" s="413" customFormat="1" x14ac:dyDescent="0.2">
      <c r="A40" s="691">
        <v>32</v>
      </c>
      <c r="B40" s="418" t="s">
        <v>104</v>
      </c>
      <c r="C40" s="135" t="s">
        <v>105</v>
      </c>
      <c r="D40" s="417">
        <f t="shared" si="1"/>
        <v>588</v>
      </c>
      <c r="E40" s="417">
        <f t="shared" si="1"/>
        <v>2411</v>
      </c>
      <c r="F40" s="417">
        <v>33</v>
      </c>
      <c r="G40" s="417">
        <f t="shared" si="3"/>
        <v>396</v>
      </c>
      <c r="H40" s="417">
        <v>555</v>
      </c>
      <c r="I40" s="417">
        <f t="shared" si="5"/>
        <v>2015</v>
      </c>
    </row>
    <row r="41" spans="1:9" s="413" customFormat="1" x14ac:dyDescent="0.2">
      <c r="A41" s="691">
        <v>33</v>
      </c>
      <c r="B41" s="416" t="s">
        <v>106</v>
      </c>
      <c r="C41" s="135" t="s">
        <v>107</v>
      </c>
      <c r="D41" s="417">
        <f t="shared" si="1"/>
        <v>1397</v>
      </c>
      <c r="E41" s="417">
        <f t="shared" si="1"/>
        <v>5799</v>
      </c>
      <c r="F41" s="417">
        <v>87</v>
      </c>
      <c r="G41" s="417">
        <f t="shared" si="3"/>
        <v>1044</v>
      </c>
      <c r="H41" s="417">
        <v>1310</v>
      </c>
      <c r="I41" s="417">
        <f t="shared" si="5"/>
        <v>4755</v>
      </c>
    </row>
    <row r="42" spans="1:9" s="413" customFormat="1" x14ac:dyDescent="0.2">
      <c r="A42" s="691">
        <v>34</v>
      </c>
      <c r="B42" s="419" t="s">
        <v>108</v>
      </c>
      <c r="C42" s="690" t="s">
        <v>109</v>
      </c>
      <c r="D42" s="417">
        <f t="shared" si="1"/>
        <v>596</v>
      </c>
      <c r="E42" s="417">
        <f t="shared" si="1"/>
        <v>2398</v>
      </c>
      <c r="F42" s="417">
        <v>28</v>
      </c>
      <c r="G42" s="417">
        <f t="shared" si="3"/>
        <v>336</v>
      </c>
      <c r="H42" s="417">
        <v>568</v>
      </c>
      <c r="I42" s="417">
        <f t="shared" si="5"/>
        <v>2062</v>
      </c>
    </row>
    <row r="43" spans="1:9" s="413" customFormat="1" x14ac:dyDescent="0.2">
      <c r="A43" s="691">
        <v>35</v>
      </c>
      <c r="B43" s="416" t="s">
        <v>110</v>
      </c>
      <c r="C43" s="135" t="s">
        <v>111</v>
      </c>
      <c r="D43" s="417">
        <f t="shared" si="1"/>
        <v>397</v>
      </c>
      <c r="E43" s="417">
        <f t="shared" si="1"/>
        <v>1592</v>
      </c>
      <c r="F43" s="417">
        <v>18</v>
      </c>
      <c r="G43" s="417">
        <f t="shared" si="3"/>
        <v>216</v>
      </c>
      <c r="H43" s="417">
        <v>379</v>
      </c>
      <c r="I43" s="417">
        <f t="shared" si="5"/>
        <v>1376</v>
      </c>
    </row>
    <row r="44" spans="1:9" s="413" customFormat="1" x14ac:dyDescent="0.2">
      <c r="A44" s="691">
        <v>36</v>
      </c>
      <c r="B44" s="416" t="s">
        <v>112</v>
      </c>
      <c r="C44" s="135" t="s">
        <v>113</v>
      </c>
      <c r="D44" s="417">
        <f t="shared" si="1"/>
        <v>803</v>
      </c>
      <c r="E44" s="417">
        <f t="shared" si="1"/>
        <v>3166</v>
      </c>
      <c r="F44" s="417">
        <v>30</v>
      </c>
      <c r="G44" s="417">
        <f t="shared" si="3"/>
        <v>360</v>
      </c>
      <c r="H44" s="417">
        <v>773</v>
      </c>
      <c r="I44" s="417">
        <f t="shared" si="5"/>
        <v>2806</v>
      </c>
    </row>
    <row r="45" spans="1:9" s="413" customFormat="1" x14ac:dyDescent="0.2">
      <c r="A45" s="691">
        <v>37</v>
      </c>
      <c r="B45" s="692" t="s">
        <v>114</v>
      </c>
      <c r="C45" s="135" t="s">
        <v>115</v>
      </c>
      <c r="D45" s="417">
        <f t="shared" si="1"/>
        <v>322</v>
      </c>
      <c r="E45" s="417">
        <f t="shared" si="1"/>
        <v>1278</v>
      </c>
      <c r="F45" s="417">
        <v>13</v>
      </c>
      <c r="G45" s="417">
        <f t="shared" si="3"/>
        <v>156</v>
      </c>
      <c r="H45" s="417">
        <v>309</v>
      </c>
      <c r="I45" s="417">
        <f t="shared" si="5"/>
        <v>1122</v>
      </c>
    </row>
    <row r="46" spans="1:9" s="413" customFormat="1" x14ac:dyDescent="0.2">
      <c r="A46" s="691">
        <v>38</v>
      </c>
      <c r="B46" s="418" t="s">
        <v>116</v>
      </c>
      <c r="C46" s="135" t="s">
        <v>117</v>
      </c>
      <c r="D46" s="417">
        <f t="shared" si="1"/>
        <v>333</v>
      </c>
      <c r="E46" s="417">
        <f t="shared" si="1"/>
        <v>1485</v>
      </c>
      <c r="F46" s="417">
        <v>33</v>
      </c>
      <c r="G46" s="417">
        <f t="shared" si="3"/>
        <v>396</v>
      </c>
      <c r="H46" s="417">
        <v>300</v>
      </c>
      <c r="I46" s="417">
        <f t="shared" si="5"/>
        <v>1089</v>
      </c>
    </row>
    <row r="47" spans="1:9" s="413" customFormat="1" x14ac:dyDescent="0.2">
      <c r="A47" s="691">
        <v>39</v>
      </c>
      <c r="B47" s="692" t="s">
        <v>28</v>
      </c>
      <c r="C47" s="135" t="s">
        <v>29</v>
      </c>
      <c r="D47" s="417">
        <f t="shared" si="1"/>
        <v>1814</v>
      </c>
      <c r="E47" s="417">
        <f t="shared" si="1"/>
        <v>7422</v>
      </c>
      <c r="F47" s="417">
        <v>100</v>
      </c>
      <c r="G47" s="417">
        <f t="shared" si="3"/>
        <v>1200</v>
      </c>
      <c r="H47" s="417">
        <v>1714</v>
      </c>
      <c r="I47" s="417">
        <f t="shared" si="5"/>
        <v>6222</v>
      </c>
    </row>
    <row r="48" spans="1:9" s="413" customFormat="1" x14ac:dyDescent="0.2">
      <c r="A48" s="691">
        <v>40</v>
      </c>
      <c r="B48" s="416" t="s">
        <v>118</v>
      </c>
      <c r="C48" s="135" t="s">
        <v>119</v>
      </c>
      <c r="D48" s="417">
        <f t="shared" si="1"/>
        <v>585</v>
      </c>
      <c r="E48" s="417">
        <f t="shared" si="1"/>
        <v>2391</v>
      </c>
      <c r="F48" s="417">
        <v>32</v>
      </c>
      <c r="G48" s="417">
        <f t="shared" si="3"/>
        <v>384</v>
      </c>
      <c r="H48" s="417">
        <v>553</v>
      </c>
      <c r="I48" s="417">
        <f t="shared" si="5"/>
        <v>2007</v>
      </c>
    </row>
    <row r="49" spans="1:9" s="413" customFormat="1" x14ac:dyDescent="0.2">
      <c r="A49" s="691">
        <v>41</v>
      </c>
      <c r="B49" s="416" t="s">
        <v>120</v>
      </c>
      <c r="C49" s="135" t="s">
        <v>121</v>
      </c>
      <c r="D49" s="417">
        <f t="shared" si="1"/>
        <v>1193</v>
      </c>
      <c r="E49" s="417">
        <f t="shared" si="1"/>
        <v>4992</v>
      </c>
      <c r="F49" s="417">
        <v>79</v>
      </c>
      <c r="G49" s="417">
        <f t="shared" si="3"/>
        <v>948</v>
      </c>
      <c r="H49" s="417">
        <v>1114</v>
      </c>
      <c r="I49" s="417">
        <f t="shared" si="5"/>
        <v>4044</v>
      </c>
    </row>
    <row r="50" spans="1:9" s="413" customFormat="1" x14ac:dyDescent="0.2">
      <c r="A50" s="691">
        <v>42</v>
      </c>
      <c r="B50" s="692" t="s">
        <v>122</v>
      </c>
      <c r="C50" s="135" t="s">
        <v>123</v>
      </c>
      <c r="D50" s="417">
        <f t="shared" si="1"/>
        <v>405</v>
      </c>
      <c r="E50" s="417">
        <f t="shared" si="1"/>
        <v>1638</v>
      </c>
      <c r="F50" s="417">
        <v>20</v>
      </c>
      <c r="G50" s="417">
        <f t="shared" si="3"/>
        <v>240</v>
      </c>
      <c r="H50" s="417">
        <v>385</v>
      </c>
      <c r="I50" s="417">
        <f t="shared" si="5"/>
        <v>1398</v>
      </c>
    </row>
    <row r="51" spans="1:9" s="413" customFormat="1" x14ac:dyDescent="0.2">
      <c r="A51" s="691">
        <v>43</v>
      </c>
      <c r="B51" s="418" t="s">
        <v>124</v>
      </c>
      <c r="C51" s="135" t="s">
        <v>125</v>
      </c>
      <c r="D51" s="417">
        <f t="shared" si="1"/>
        <v>486</v>
      </c>
      <c r="E51" s="417">
        <f t="shared" si="1"/>
        <v>2032</v>
      </c>
      <c r="F51" s="417">
        <v>32</v>
      </c>
      <c r="G51" s="417">
        <f t="shared" si="3"/>
        <v>384</v>
      </c>
      <c r="H51" s="417">
        <v>454</v>
      </c>
      <c r="I51" s="417">
        <f t="shared" si="5"/>
        <v>1648</v>
      </c>
    </row>
    <row r="52" spans="1:9" s="413" customFormat="1" x14ac:dyDescent="0.2">
      <c r="A52" s="691">
        <v>44</v>
      </c>
      <c r="B52" s="692" t="s">
        <v>126</v>
      </c>
      <c r="C52" s="135" t="s">
        <v>127</v>
      </c>
      <c r="D52" s="417">
        <f t="shared" si="1"/>
        <v>660</v>
      </c>
      <c r="E52" s="417">
        <f t="shared" si="1"/>
        <v>2689</v>
      </c>
      <c r="F52" s="417">
        <v>35</v>
      </c>
      <c r="G52" s="417">
        <f t="shared" si="3"/>
        <v>420</v>
      </c>
      <c r="H52" s="417">
        <v>625</v>
      </c>
      <c r="I52" s="417">
        <f t="shared" si="5"/>
        <v>2269</v>
      </c>
    </row>
    <row r="53" spans="1:9" s="413" customFormat="1" x14ac:dyDescent="0.2">
      <c r="A53" s="691">
        <v>45</v>
      </c>
      <c r="B53" s="418" t="s">
        <v>128</v>
      </c>
      <c r="C53" s="135" t="s">
        <v>129</v>
      </c>
      <c r="D53" s="417">
        <f t="shared" si="1"/>
        <v>650</v>
      </c>
      <c r="E53" s="417">
        <f t="shared" si="1"/>
        <v>2703</v>
      </c>
      <c r="F53" s="417">
        <v>41</v>
      </c>
      <c r="G53" s="417">
        <f t="shared" si="3"/>
        <v>492</v>
      </c>
      <c r="H53" s="417">
        <v>609</v>
      </c>
      <c r="I53" s="417">
        <f t="shared" si="5"/>
        <v>2211</v>
      </c>
    </row>
    <row r="54" spans="1:9" s="413" customFormat="1" x14ac:dyDescent="0.2">
      <c r="A54" s="691">
        <v>46</v>
      </c>
      <c r="B54" s="692" t="s">
        <v>130</v>
      </c>
      <c r="C54" s="135" t="s">
        <v>131</v>
      </c>
      <c r="D54" s="417">
        <f t="shared" si="1"/>
        <v>278</v>
      </c>
      <c r="E54" s="417">
        <f t="shared" si="1"/>
        <v>1126</v>
      </c>
      <c r="F54" s="417">
        <v>14</v>
      </c>
      <c r="G54" s="417">
        <f t="shared" si="3"/>
        <v>168</v>
      </c>
      <c r="H54" s="417">
        <v>264</v>
      </c>
      <c r="I54" s="417">
        <f t="shared" si="5"/>
        <v>958</v>
      </c>
    </row>
    <row r="55" spans="1:9" s="413" customFormat="1" x14ac:dyDescent="0.2">
      <c r="A55" s="691">
        <v>47</v>
      </c>
      <c r="B55" s="418" t="s">
        <v>132</v>
      </c>
      <c r="C55" s="135" t="s">
        <v>133</v>
      </c>
      <c r="D55" s="417">
        <f t="shared" si="1"/>
        <v>462</v>
      </c>
      <c r="E55" s="417">
        <f t="shared" si="1"/>
        <v>1853</v>
      </c>
      <c r="F55" s="417">
        <v>21</v>
      </c>
      <c r="G55" s="417">
        <f t="shared" si="3"/>
        <v>252</v>
      </c>
      <c r="H55" s="417">
        <v>441</v>
      </c>
      <c r="I55" s="417">
        <f t="shared" si="5"/>
        <v>1601</v>
      </c>
    </row>
    <row r="56" spans="1:9" s="413" customFormat="1" x14ac:dyDescent="0.2">
      <c r="A56" s="691">
        <v>48</v>
      </c>
      <c r="B56" s="692" t="s">
        <v>134</v>
      </c>
      <c r="C56" s="135" t="s">
        <v>135</v>
      </c>
      <c r="D56" s="417">
        <f t="shared" si="1"/>
        <v>990</v>
      </c>
      <c r="E56" s="417">
        <f t="shared" si="1"/>
        <v>3870</v>
      </c>
      <c r="F56" s="417">
        <v>33</v>
      </c>
      <c r="G56" s="417">
        <f t="shared" si="3"/>
        <v>396</v>
      </c>
      <c r="H56" s="417">
        <v>957</v>
      </c>
      <c r="I56" s="417">
        <f t="shared" si="5"/>
        <v>3474</v>
      </c>
    </row>
    <row r="57" spans="1:9" s="413" customFormat="1" x14ac:dyDescent="0.2">
      <c r="A57" s="691">
        <v>49</v>
      </c>
      <c r="B57" s="692" t="s">
        <v>136</v>
      </c>
      <c r="C57" s="135" t="s">
        <v>137</v>
      </c>
      <c r="D57" s="417">
        <f t="shared" si="1"/>
        <v>2391</v>
      </c>
      <c r="E57" s="417">
        <f t="shared" si="1"/>
        <v>9667</v>
      </c>
      <c r="F57" s="417">
        <v>118</v>
      </c>
      <c r="G57" s="417">
        <f t="shared" si="3"/>
        <v>1416</v>
      </c>
      <c r="H57" s="417">
        <v>2273</v>
      </c>
      <c r="I57" s="417">
        <f t="shared" si="5"/>
        <v>8251</v>
      </c>
    </row>
    <row r="58" spans="1:9" s="413" customFormat="1" x14ac:dyDescent="0.2">
      <c r="A58" s="691">
        <v>50</v>
      </c>
      <c r="B58" s="692" t="s">
        <v>138</v>
      </c>
      <c r="C58" s="135" t="s">
        <v>139</v>
      </c>
      <c r="D58" s="417">
        <f t="shared" si="1"/>
        <v>362</v>
      </c>
      <c r="E58" s="417">
        <f t="shared" si="1"/>
        <v>1523</v>
      </c>
      <c r="F58" s="417">
        <v>25</v>
      </c>
      <c r="G58" s="417">
        <f t="shared" si="3"/>
        <v>300</v>
      </c>
      <c r="H58" s="417">
        <v>337</v>
      </c>
      <c r="I58" s="417">
        <f t="shared" si="5"/>
        <v>1223</v>
      </c>
    </row>
    <row r="59" spans="1:9" s="413" customFormat="1" x14ac:dyDescent="0.2">
      <c r="A59" s="691">
        <v>51</v>
      </c>
      <c r="B59" s="692" t="s">
        <v>140</v>
      </c>
      <c r="C59" s="135" t="s">
        <v>141</v>
      </c>
      <c r="D59" s="417">
        <f t="shared" si="1"/>
        <v>436</v>
      </c>
      <c r="E59" s="417">
        <f t="shared" si="1"/>
        <v>1733</v>
      </c>
      <c r="F59" s="417">
        <v>18</v>
      </c>
      <c r="G59" s="417">
        <f t="shared" si="3"/>
        <v>216</v>
      </c>
      <c r="H59" s="417">
        <v>418</v>
      </c>
      <c r="I59" s="417">
        <f t="shared" si="5"/>
        <v>1517</v>
      </c>
    </row>
    <row r="60" spans="1:9" s="413" customFormat="1" x14ac:dyDescent="0.2">
      <c r="A60" s="691">
        <v>52</v>
      </c>
      <c r="B60" s="418" t="s">
        <v>142</v>
      </c>
      <c r="C60" s="135" t="s">
        <v>143</v>
      </c>
      <c r="D60" s="417">
        <f t="shared" si="1"/>
        <v>538</v>
      </c>
      <c r="E60" s="417">
        <f t="shared" si="1"/>
        <v>2145</v>
      </c>
      <c r="F60" s="417">
        <v>23</v>
      </c>
      <c r="G60" s="417">
        <f t="shared" si="3"/>
        <v>276</v>
      </c>
      <c r="H60" s="417">
        <v>515</v>
      </c>
      <c r="I60" s="417">
        <f t="shared" si="5"/>
        <v>1869</v>
      </c>
    </row>
    <row r="61" spans="1:9" s="413" customFormat="1" x14ac:dyDescent="0.2">
      <c r="A61" s="691">
        <v>53</v>
      </c>
      <c r="B61" s="692" t="s">
        <v>144</v>
      </c>
      <c r="C61" s="135" t="s">
        <v>145</v>
      </c>
      <c r="D61" s="417"/>
      <c r="E61" s="417"/>
      <c r="F61" s="417"/>
      <c r="G61" s="417"/>
      <c r="H61" s="417"/>
      <c r="I61" s="417"/>
    </row>
    <row r="62" spans="1:9" s="413" customFormat="1" x14ac:dyDescent="0.2">
      <c r="A62" s="691">
        <v>54</v>
      </c>
      <c r="B62" s="692" t="s">
        <v>146</v>
      </c>
      <c r="C62" s="135" t="s">
        <v>147</v>
      </c>
      <c r="D62" s="417"/>
      <c r="E62" s="417"/>
      <c r="F62" s="417"/>
      <c r="G62" s="417"/>
      <c r="H62" s="417"/>
      <c r="I62" s="417"/>
    </row>
    <row r="63" spans="1:9" s="413" customFormat="1" x14ac:dyDescent="0.2">
      <c r="A63" s="691">
        <v>55</v>
      </c>
      <c r="B63" s="692" t="s">
        <v>148</v>
      </c>
      <c r="C63" s="135" t="s">
        <v>149</v>
      </c>
      <c r="D63" s="417"/>
      <c r="E63" s="417"/>
      <c r="F63" s="417"/>
      <c r="G63" s="417"/>
      <c r="H63" s="417"/>
      <c r="I63" s="417"/>
    </row>
    <row r="64" spans="1:9" s="413" customFormat="1" x14ac:dyDescent="0.2">
      <c r="A64" s="691">
        <v>56</v>
      </c>
      <c r="B64" s="418" t="s">
        <v>150</v>
      </c>
      <c r="C64" s="135" t="s">
        <v>151</v>
      </c>
      <c r="D64" s="417"/>
      <c r="E64" s="417"/>
      <c r="F64" s="417"/>
      <c r="G64" s="417"/>
      <c r="H64" s="417"/>
      <c r="I64" s="417"/>
    </row>
    <row r="65" spans="1:9" s="413" customFormat="1" x14ac:dyDescent="0.2">
      <c r="A65" s="691">
        <v>57</v>
      </c>
      <c r="B65" s="416" t="s">
        <v>152</v>
      </c>
      <c r="C65" s="135" t="s">
        <v>153</v>
      </c>
      <c r="D65" s="417"/>
      <c r="E65" s="417"/>
      <c r="F65" s="417"/>
      <c r="G65" s="417"/>
      <c r="H65" s="417"/>
      <c r="I65" s="417"/>
    </row>
    <row r="66" spans="1:9" s="413" customFormat="1" x14ac:dyDescent="0.2">
      <c r="A66" s="691">
        <v>58</v>
      </c>
      <c r="B66" s="418" t="s">
        <v>154</v>
      </c>
      <c r="C66" s="135" t="s">
        <v>155</v>
      </c>
      <c r="D66" s="417"/>
      <c r="E66" s="417"/>
      <c r="F66" s="417"/>
      <c r="G66" s="417"/>
      <c r="H66" s="417"/>
      <c r="I66" s="417"/>
    </row>
    <row r="67" spans="1:9" s="413" customFormat="1" x14ac:dyDescent="0.2">
      <c r="A67" s="691">
        <v>59</v>
      </c>
      <c r="B67" s="692" t="s">
        <v>156</v>
      </c>
      <c r="C67" s="135" t="s">
        <v>157</v>
      </c>
      <c r="D67" s="417"/>
      <c r="E67" s="417"/>
      <c r="F67" s="417"/>
      <c r="G67" s="417"/>
      <c r="H67" s="417"/>
      <c r="I67" s="417"/>
    </row>
    <row r="68" spans="1:9" s="413" customFormat="1" ht="15" customHeight="1" x14ac:dyDescent="0.2">
      <c r="A68" s="691">
        <v>60</v>
      </c>
      <c r="B68" s="416" t="s">
        <v>158</v>
      </c>
      <c r="C68" s="135" t="s">
        <v>159</v>
      </c>
      <c r="D68" s="417"/>
      <c r="E68" s="417"/>
      <c r="F68" s="417"/>
      <c r="G68" s="417"/>
      <c r="H68" s="417"/>
      <c r="I68" s="417"/>
    </row>
    <row r="69" spans="1:9" s="413" customFormat="1" ht="15" customHeight="1" x14ac:dyDescent="0.2">
      <c r="A69" s="691">
        <v>61</v>
      </c>
      <c r="B69" s="416" t="s">
        <v>160</v>
      </c>
      <c r="C69" s="135" t="s">
        <v>161</v>
      </c>
      <c r="D69" s="417"/>
      <c r="E69" s="417"/>
      <c r="F69" s="417"/>
      <c r="G69" s="417"/>
      <c r="H69" s="417"/>
      <c r="I69" s="417"/>
    </row>
    <row r="70" spans="1:9" s="413" customFormat="1" x14ac:dyDescent="0.2">
      <c r="A70" s="691">
        <v>62</v>
      </c>
      <c r="B70" s="418" t="s">
        <v>162</v>
      </c>
      <c r="C70" s="135" t="s">
        <v>163</v>
      </c>
      <c r="D70" s="417">
        <f t="shared" si="1"/>
        <v>1706</v>
      </c>
      <c r="E70" s="417">
        <f t="shared" si="1"/>
        <v>7030</v>
      </c>
      <c r="F70" s="417">
        <v>100</v>
      </c>
      <c r="G70" s="417">
        <f t="shared" si="3"/>
        <v>1200</v>
      </c>
      <c r="H70" s="417">
        <v>1606</v>
      </c>
      <c r="I70" s="417">
        <f t="shared" ref="I70:I72" si="6">ROUND(H70*3.6299,0)</f>
        <v>5830</v>
      </c>
    </row>
    <row r="71" spans="1:9" s="413" customFormat="1" x14ac:dyDescent="0.2">
      <c r="A71" s="691">
        <v>63</v>
      </c>
      <c r="B71" s="418" t="s">
        <v>164</v>
      </c>
      <c r="C71" s="135" t="s">
        <v>165</v>
      </c>
      <c r="D71" s="417">
        <f t="shared" si="1"/>
        <v>1130</v>
      </c>
      <c r="E71" s="417">
        <f t="shared" si="1"/>
        <v>4629</v>
      </c>
      <c r="F71" s="417">
        <v>63</v>
      </c>
      <c r="G71" s="417">
        <f t="shared" si="3"/>
        <v>756</v>
      </c>
      <c r="H71" s="417">
        <v>1067</v>
      </c>
      <c r="I71" s="417">
        <f t="shared" si="6"/>
        <v>3873</v>
      </c>
    </row>
    <row r="72" spans="1:9" s="413" customFormat="1" x14ac:dyDescent="0.2">
      <c r="A72" s="691">
        <v>64</v>
      </c>
      <c r="B72" s="418" t="s">
        <v>166</v>
      </c>
      <c r="C72" s="135" t="s">
        <v>167</v>
      </c>
      <c r="D72" s="417">
        <f t="shared" si="1"/>
        <v>2322</v>
      </c>
      <c r="E72" s="417">
        <f t="shared" si="1"/>
        <v>9391</v>
      </c>
      <c r="F72" s="417">
        <v>115</v>
      </c>
      <c r="G72" s="417">
        <f t="shared" si="3"/>
        <v>1380</v>
      </c>
      <c r="H72" s="417">
        <v>2207</v>
      </c>
      <c r="I72" s="417">
        <f t="shared" si="6"/>
        <v>8011</v>
      </c>
    </row>
    <row r="73" spans="1:9" s="413" customFormat="1" x14ac:dyDescent="0.2">
      <c r="A73" s="691">
        <v>65</v>
      </c>
      <c r="B73" s="418" t="s">
        <v>168</v>
      </c>
      <c r="C73" s="135" t="s">
        <v>169</v>
      </c>
      <c r="D73" s="417"/>
      <c r="E73" s="417"/>
      <c r="F73" s="417"/>
      <c r="G73" s="417"/>
      <c r="H73" s="417"/>
      <c r="I73" s="417"/>
    </row>
    <row r="74" spans="1:9" s="413" customFormat="1" x14ac:dyDescent="0.2">
      <c r="A74" s="691">
        <v>66</v>
      </c>
      <c r="B74" s="416" t="s">
        <v>170</v>
      </c>
      <c r="C74" s="135" t="s">
        <v>171</v>
      </c>
      <c r="D74" s="417"/>
      <c r="E74" s="417"/>
      <c r="F74" s="417"/>
      <c r="G74" s="417"/>
      <c r="H74" s="417"/>
      <c r="I74" s="417"/>
    </row>
    <row r="75" spans="1:9" s="413" customFormat="1" x14ac:dyDescent="0.2">
      <c r="A75" s="691">
        <v>67</v>
      </c>
      <c r="B75" s="418" t="s">
        <v>172</v>
      </c>
      <c r="C75" s="135" t="s">
        <v>173</v>
      </c>
      <c r="D75" s="417"/>
      <c r="E75" s="417"/>
      <c r="F75" s="417"/>
      <c r="G75" s="417"/>
      <c r="H75" s="417"/>
      <c r="I75" s="417"/>
    </row>
    <row r="76" spans="1:9" s="413" customFormat="1" x14ac:dyDescent="0.2">
      <c r="A76" s="691">
        <v>68</v>
      </c>
      <c r="B76" s="418" t="s">
        <v>174</v>
      </c>
      <c r="C76" s="135" t="s">
        <v>175</v>
      </c>
      <c r="D76" s="417"/>
      <c r="E76" s="417"/>
      <c r="F76" s="417"/>
      <c r="G76" s="417"/>
      <c r="H76" s="417"/>
      <c r="I76" s="417"/>
    </row>
    <row r="77" spans="1:9" s="413" customFormat="1" x14ac:dyDescent="0.2">
      <c r="A77" s="691">
        <v>69</v>
      </c>
      <c r="B77" s="416" t="s">
        <v>176</v>
      </c>
      <c r="C77" s="135" t="s">
        <v>177</v>
      </c>
      <c r="D77" s="417"/>
      <c r="E77" s="417"/>
      <c r="F77" s="417"/>
      <c r="G77" s="417"/>
      <c r="H77" s="417"/>
      <c r="I77" s="417"/>
    </row>
    <row r="78" spans="1:9" s="413" customFormat="1" x14ac:dyDescent="0.2">
      <c r="A78" s="691">
        <v>70</v>
      </c>
      <c r="B78" s="416" t="s">
        <v>178</v>
      </c>
      <c r="C78" s="135" t="s">
        <v>179</v>
      </c>
      <c r="D78" s="417"/>
      <c r="E78" s="417"/>
      <c r="F78" s="417"/>
      <c r="G78" s="417"/>
      <c r="H78" s="417"/>
      <c r="I78" s="417"/>
    </row>
    <row r="79" spans="1:9" s="413" customFormat="1" x14ac:dyDescent="0.2">
      <c r="A79" s="691">
        <v>71</v>
      </c>
      <c r="B79" s="416" t="s">
        <v>180</v>
      </c>
      <c r="C79" s="135" t="s">
        <v>181</v>
      </c>
      <c r="D79" s="417"/>
      <c r="E79" s="417"/>
      <c r="F79" s="417"/>
      <c r="G79" s="417"/>
      <c r="H79" s="417"/>
      <c r="I79" s="417"/>
    </row>
    <row r="80" spans="1:9" s="413" customFormat="1" x14ac:dyDescent="0.2">
      <c r="A80" s="691">
        <v>72</v>
      </c>
      <c r="B80" s="692" t="s">
        <v>182</v>
      </c>
      <c r="C80" s="135" t="s">
        <v>183</v>
      </c>
      <c r="D80" s="417">
        <f t="shared" ref="D80:D136" si="7">F80+H80</f>
        <v>1297</v>
      </c>
      <c r="E80" s="417">
        <f t="shared" ref="E80:E136" si="8">G80+I80</f>
        <v>5411</v>
      </c>
      <c r="F80" s="417">
        <v>84</v>
      </c>
      <c r="G80" s="417">
        <f t="shared" ref="G80:G136" si="9">F80*12</f>
        <v>1008</v>
      </c>
      <c r="H80" s="417">
        <v>1213</v>
      </c>
      <c r="I80" s="417">
        <f t="shared" ref="I80:I84" si="10">ROUND(H80*3.6299,0)</f>
        <v>4403</v>
      </c>
    </row>
    <row r="81" spans="1:9" s="413" customFormat="1" x14ac:dyDescent="0.2">
      <c r="A81" s="691">
        <v>73</v>
      </c>
      <c r="B81" s="416" t="s">
        <v>184</v>
      </c>
      <c r="C81" s="135" t="s">
        <v>185</v>
      </c>
      <c r="D81" s="417">
        <f t="shared" si="7"/>
        <v>2658</v>
      </c>
      <c r="E81" s="417">
        <f t="shared" si="8"/>
        <v>10937</v>
      </c>
      <c r="F81" s="417">
        <v>154</v>
      </c>
      <c r="G81" s="417">
        <f t="shared" si="9"/>
        <v>1848</v>
      </c>
      <c r="H81" s="417">
        <v>2504</v>
      </c>
      <c r="I81" s="417">
        <f t="shared" si="10"/>
        <v>9089</v>
      </c>
    </row>
    <row r="82" spans="1:9" s="413" customFormat="1" x14ac:dyDescent="0.2">
      <c r="A82" s="691">
        <v>74</v>
      </c>
      <c r="B82" s="692" t="s">
        <v>186</v>
      </c>
      <c r="C82" s="135" t="s">
        <v>187</v>
      </c>
      <c r="D82" s="417">
        <f t="shared" si="7"/>
        <v>1925</v>
      </c>
      <c r="E82" s="417">
        <f t="shared" si="8"/>
        <v>7808</v>
      </c>
      <c r="F82" s="417">
        <v>98</v>
      </c>
      <c r="G82" s="417">
        <f t="shared" si="9"/>
        <v>1176</v>
      </c>
      <c r="H82" s="417">
        <v>1827</v>
      </c>
      <c r="I82" s="417">
        <f t="shared" si="10"/>
        <v>6632</v>
      </c>
    </row>
    <row r="83" spans="1:9" s="413" customFormat="1" x14ac:dyDescent="0.2">
      <c r="A83" s="691">
        <v>75</v>
      </c>
      <c r="B83" s="416" t="s">
        <v>188</v>
      </c>
      <c r="C83" s="135" t="s">
        <v>461</v>
      </c>
      <c r="D83" s="417">
        <f t="shared" si="7"/>
        <v>1085</v>
      </c>
      <c r="E83" s="417">
        <f t="shared" si="8"/>
        <v>4499</v>
      </c>
      <c r="F83" s="417">
        <v>67</v>
      </c>
      <c r="G83" s="417">
        <f t="shared" si="9"/>
        <v>804</v>
      </c>
      <c r="H83" s="417">
        <v>1018</v>
      </c>
      <c r="I83" s="417">
        <f t="shared" si="10"/>
        <v>3695</v>
      </c>
    </row>
    <row r="84" spans="1:9" s="413" customFormat="1" x14ac:dyDescent="0.2">
      <c r="A84" s="691">
        <v>76</v>
      </c>
      <c r="B84" s="416" t="s">
        <v>190</v>
      </c>
      <c r="C84" s="135" t="s">
        <v>191</v>
      </c>
      <c r="D84" s="417">
        <f t="shared" si="7"/>
        <v>3084</v>
      </c>
      <c r="E84" s="417">
        <f t="shared" si="8"/>
        <v>12726</v>
      </c>
      <c r="F84" s="417">
        <v>183</v>
      </c>
      <c r="G84" s="417">
        <f t="shared" si="9"/>
        <v>2196</v>
      </c>
      <c r="H84" s="417">
        <v>2901</v>
      </c>
      <c r="I84" s="417">
        <f t="shared" si="10"/>
        <v>10530</v>
      </c>
    </row>
    <row r="85" spans="1:9" s="413" customFormat="1" x14ac:dyDescent="0.2">
      <c r="A85" s="691">
        <v>77</v>
      </c>
      <c r="B85" s="416" t="s">
        <v>192</v>
      </c>
      <c r="C85" s="135" t="s">
        <v>193</v>
      </c>
      <c r="D85" s="417"/>
      <c r="E85" s="417"/>
      <c r="F85" s="417"/>
      <c r="G85" s="417"/>
      <c r="H85" s="417"/>
      <c r="I85" s="417"/>
    </row>
    <row r="86" spans="1:9" s="413" customFormat="1" x14ac:dyDescent="0.2">
      <c r="A86" s="691">
        <v>78</v>
      </c>
      <c r="B86" s="416" t="s">
        <v>194</v>
      </c>
      <c r="C86" s="135" t="s">
        <v>195</v>
      </c>
      <c r="D86" s="417">
        <f t="shared" si="7"/>
        <v>2502</v>
      </c>
      <c r="E86" s="417">
        <f t="shared" si="8"/>
        <v>10095</v>
      </c>
      <c r="F86" s="417">
        <v>121</v>
      </c>
      <c r="G86" s="417">
        <f t="shared" si="9"/>
        <v>1452</v>
      </c>
      <c r="H86" s="417">
        <v>2381</v>
      </c>
      <c r="I86" s="417">
        <f t="shared" ref="I86" si="11">ROUND(H86*3.6299,0)</f>
        <v>8643</v>
      </c>
    </row>
    <row r="87" spans="1:9" s="413" customFormat="1" x14ac:dyDescent="0.2">
      <c r="A87" s="691">
        <v>79</v>
      </c>
      <c r="B87" s="416" t="s">
        <v>196</v>
      </c>
      <c r="C87" s="135" t="s">
        <v>197</v>
      </c>
      <c r="D87" s="417"/>
      <c r="E87" s="417"/>
      <c r="F87" s="417"/>
      <c r="G87" s="417"/>
      <c r="H87" s="417"/>
      <c r="I87" s="417"/>
    </row>
    <row r="88" spans="1:9" s="413" customFormat="1" x14ac:dyDescent="0.2">
      <c r="A88" s="691">
        <v>80</v>
      </c>
      <c r="B88" s="418" t="s">
        <v>30</v>
      </c>
      <c r="C88" s="135" t="s">
        <v>198</v>
      </c>
      <c r="D88" s="417"/>
      <c r="E88" s="417"/>
      <c r="F88" s="417"/>
      <c r="G88" s="417"/>
      <c r="H88" s="417"/>
      <c r="I88" s="417"/>
    </row>
    <row r="89" spans="1:9" s="413" customFormat="1" ht="16.5" customHeight="1" x14ac:dyDescent="0.2">
      <c r="A89" s="1120">
        <v>81</v>
      </c>
      <c r="B89" s="1121" t="s">
        <v>199</v>
      </c>
      <c r="C89" s="693" t="s">
        <v>200</v>
      </c>
      <c r="D89" s="420">
        <f t="shared" si="7"/>
        <v>15</v>
      </c>
      <c r="E89" s="417">
        <f t="shared" si="8"/>
        <v>54</v>
      </c>
      <c r="F89" s="420"/>
      <c r="G89" s="417"/>
      <c r="H89" s="420">
        <v>15</v>
      </c>
      <c r="I89" s="417">
        <f t="shared" ref="I89:I90" si="12">ROUND(H89*3.6299,0)</f>
        <v>54</v>
      </c>
    </row>
    <row r="90" spans="1:9" s="413" customFormat="1" ht="28.5" customHeight="1" x14ac:dyDescent="0.2">
      <c r="A90" s="1120"/>
      <c r="B90" s="1121"/>
      <c r="C90" s="135" t="s">
        <v>201</v>
      </c>
      <c r="D90" s="417">
        <f t="shared" si="7"/>
        <v>15</v>
      </c>
      <c r="E90" s="417">
        <f t="shared" si="8"/>
        <v>54</v>
      </c>
      <c r="F90" s="417"/>
      <c r="G90" s="417"/>
      <c r="H90" s="417">
        <v>15</v>
      </c>
      <c r="I90" s="417">
        <f t="shared" si="12"/>
        <v>54</v>
      </c>
    </row>
    <row r="91" spans="1:9" s="413" customFormat="1" x14ac:dyDescent="0.2">
      <c r="A91" s="1120"/>
      <c r="B91" s="1121"/>
      <c r="C91" s="135" t="s">
        <v>202</v>
      </c>
      <c r="D91" s="417"/>
      <c r="E91" s="417"/>
      <c r="F91" s="417"/>
      <c r="G91" s="417"/>
      <c r="H91" s="417"/>
      <c r="I91" s="417"/>
    </row>
    <row r="92" spans="1:9" s="413" customFormat="1" ht="25.5" x14ac:dyDescent="0.2">
      <c r="A92" s="1120"/>
      <c r="B92" s="1121"/>
      <c r="C92" s="694" t="s">
        <v>203</v>
      </c>
      <c r="D92" s="417"/>
      <c r="E92" s="417"/>
      <c r="F92" s="417"/>
      <c r="G92" s="417"/>
      <c r="H92" s="417"/>
      <c r="I92" s="417"/>
    </row>
    <row r="93" spans="1:9" s="413" customFormat="1" x14ac:dyDescent="0.2">
      <c r="A93" s="691">
        <v>82</v>
      </c>
      <c r="B93" s="418" t="s">
        <v>204</v>
      </c>
      <c r="C93" s="135" t="s">
        <v>205</v>
      </c>
      <c r="D93" s="417"/>
      <c r="E93" s="417"/>
      <c r="F93" s="417"/>
      <c r="G93" s="417"/>
      <c r="H93" s="417"/>
      <c r="I93" s="417"/>
    </row>
    <row r="94" spans="1:9" s="413" customFormat="1" x14ac:dyDescent="0.2">
      <c r="A94" s="691">
        <v>83</v>
      </c>
      <c r="B94" s="418" t="s">
        <v>206</v>
      </c>
      <c r="C94" s="135" t="s">
        <v>207</v>
      </c>
      <c r="D94" s="417">
        <f t="shared" si="7"/>
        <v>134</v>
      </c>
      <c r="E94" s="417">
        <f t="shared" si="8"/>
        <v>537</v>
      </c>
      <c r="F94" s="417">
        <v>6</v>
      </c>
      <c r="G94" s="417">
        <f t="shared" si="9"/>
        <v>72</v>
      </c>
      <c r="H94" s="417">
        <v>128</v>
      </c>
      <c r="I94" s="417">
        <f t="shared" ref="I94:I107" si="13">ROUND(H94*3.6299,0)</f>
        <v>465</v>
      </c>
    </row>
    <row r="95" spans="1:9" s="413" customFormat="1" x14ac:dyDescent="0.2">
      <c r="A95" s="691">
        <v>84</v>
      </c>
      <c r="B95" s="692" t="s">
        <v>208</v>
      </c>
      <c r="C95" s="135" t="s">
        <v>209</v>
      </c>
      <c r="D95" s="417">
        <f t="shared" si="7"/>
        <v>701</v>
      </c>
      <c r="E95" s="417">
        <f t="shared" si="8"/>
        <v>2930</v>
      </c>
      <c r="F95" s="417">
        <v>46</v>
      </c>
      <c r="G95" s="417">
        <f t="shared" si="9"/>
        <v>552</v>
      </c>
      <c r="H95" s="417">
        <v>655</v>
      </c>
      <c r="I95" s="417">
        <f t="shared" si="13"/>
        <v>2378</v>
      </c>
    </row>
    <row r="96" spans="1:9" s="413" customFormat="1" x14ac:dyDescent="0.2">
      <c r="A96" s="691">
        <v>85</v>
      </c>
      <c r="B96" s="418" t="s">
        <v>210</v>
      </c>
      <c r="C96" s="135" t="s">
        <v>211</v>
      </c>
      <c r="D96" s="417">
        <f t="shared" si="7"/>
        <v>344</v>
      </c>
      <c r="E96" s="417">
        <f t="shared" si="8"/>
        <v>1366</v>
      </c>
      <c r="F96" s="417">
        <v>14</v>
      </c>
      <c r="G96" s="417">
        <f t="shared" si="9"/>
        <v>168</v>
      </c>
      <c r="H96" s="417">
        <v>330</v>
      </c>
      <c r="I96" s="417">
        <f t="shared" si="13"/>
        <v>1198</v>
      </c>
    </row>
    <row r="97" spans="1:9" s="413" customFormat="1" x14ac:dyDescent="0.2">
      <c r="A97" s="691">
        <v>86</v>
      </c>
      <c r="B97" s="692" t="s">
        <v>212</v>
      </c>
      <c r="C97" s="135" t="s">
        <v>213</v>
      </c>
      <c r="D97" s="417">
        <f t="shared" si="7"/>
        <v>367</v>
      </c>
      <c r="E97" s="417">
        <f t="shared" si="8"/>
        <v>1458</v>
      </c>
      <c r="F97" s="417">
        <v>15</v>
      </c>
      <c r="G97" s="417">
        <f t="shared" si="9"/>
        <v>180</v>
      </c>
      <c r="H97" s="417">
        <v>352</v>
      </c>
      <c r="I97" s="417">
        <f t="shared" si="13"/>
        <v>1278</v>
      </c>
    </row>
    <row r="98" spans="1:9" s="413" customFormat="1" x14ac:dyDescent="0.2">
      <c r="A98" s="691">
        <v>87</v>
      </c>
      <c r="B98" s="692" t="s">
        <v>214</v>
      </c>
      <c r="C98" s="135" t="s">
        <v>215</v>
      </c>
      <c r="D98" s="417">
        <f t="shared" si="7"/>
        <v>918</v>
      </c>
      <c r="E98" s="417">
        <f t="shared" si="8"/>
        <v>3701</v>
      </c>
      <c r="F98" s="417">
        <v>44</v>
      </c>
      <c r="G98" s="417">
        <f t="shared" si="9"/>
        <v>528</v>
      </c>
      <c r="H98" s="417">
        <v>874</v>
      </c>
      <c r="I98" s="417">
        <f t="shared" si="13"/>
        <v>3173</v>
      </c>
    </row>
    <row r="99" spans="1:9" s="413" customFormat="1" x14ac:dyDescent="0.2">
      <c r="A99" s="691">
        <v>88</v>
      </c>
      <c r="B99" s="418" t="s">
        <v>216</v>
      </c>
      <c r="C99" s="135" t="s">
        <v>217</v>
      </c>
      <c r="D99" s="417">
        <f t="shared" si="7"/>
        <v>458</v>
      </c>
      <c r="E99" s="417">
        <f t="shared" si="8"/>
        <v>1830</v>
      </c>
      <c r="F99" s="417">
        <v>20</v>
      </c>
      <c r="G99" s="417">
        <f t="shared" si="9"/>
        <v>240</v>
      </c>
      <c r="H99" s="417">
        <v>438</v>
      </c>
      <c r="I99" s="417">
        <f t="shared" si="13"/>
        <v>1590</v>
      </c>
    </row>
    <row r="100" spans="1:9" s="413" customFormat="1" x14ac:dyDescent="0.2">
      <c r="A100" s="691">
        <v>89</v>
      </c>
      <c r="B100" s="416" t="s">
        <v>218</v>
      </c>
      <c r="C100" s="135" t="s">
        <v>219</v>
      </c>
      <c r="D100" s="417">
        <f t="shared" si="7"/>
        <v>922</v>
      </c>
      <c r="E100" s="417">
        <f t="shared" si="8"/>
        <v>3815</v>
      </c>
      <c r="F100" s="417">
        <v>56</v>
      </c>
      <c r="G100" s="417">
        <f t="shared" si="9"/>
        <v>672</v>
      </c>
      <c r="H100" s="417">
        <v>866</v>
      </c>
      <c r="I100" s="417">
        <f t="shared" si="13"/>
        <v>3143</v>
      </c>
    </row>
    <row r="101" spans="1:9" s="413" customFormat="1" x14ac:dyDescent="0.2">
      <c r="A101" s="691">
        <v>90</v>
      </c>
      <c r="B101" s="416" t="s">
        <v>220</v>
      </c>
      <c r="C101" s="135" t="s">
        <v>221</v>
      </c>
      <c r="D101" s="417">
        <f t="shared" si="7"/>
        <v>781</v>
      </c>
      <c r="E101" s="417">
        <f t="shared" si="8"/>
        <v>3237</v>
      </c>
      <c r="F101" s="417">
        <v>48</v>
      </c>
      <c r="G101" s="417">
        <f t="shared" si="9"/>
        <v>576</v>
      </c>
      <c r="H101" s="417">
        <v>733</v>
      </c>
      <c r="I101" s="417">
        <f t="shared" si="13"/>
        <v>2661</v>
      </c>
    </row>
    <row r="102" spans="1:9" s="413" customFormat="1" x14ac:dyDescent="0.2">
      <c r="A102" s="691">
        <v>91</v>
      </c>
      <c r="B102" s="692" t="s">
        <v>222</v>
      </c>
      <c r="C102" s="135" t="s">
        <v>223</v>
      </c>
      <c r="D102" s="417">
        <f t="shared" si="7"/>
        <v>341</v>
      </c>
      <c r="E102" s="417">
        <f t="shared" si="8"/>
        <v>1355</v>
      </c>
      <c r="F102" s="417">
        <v>14</v>
      </c>
      <c r="G102" s="417">
        <f t="shared" si="9"/>
        <v>168</v>
      </c>
      <c r="H102" s="417">
        <v>327</v>
      </c>
      <c r="I102" s="417">
        <f t="shared" si="13"/>
        <v>1187</v>
      </c>
    </row>
    <row r="103" spans="1:9" s="413" customFormat="1" x14ac:dyDescent="0.2">
      <c r="A103" s="691">
        <v>92</v>
      </c>
      <c r="B103" s="416" t="s">
        <v>224</v>
      </c>
      <c r="C103" s="135" t="s">
        <v>225</v>
      </c>
      <c r="D103" s="417">
        <f t="shared" si="7"/>
        <v>621</v>
      </c>
      <c r="E103" s="417">
        <f t="shared" si="8"/>
        <v>2539</v>
      </c>
      <c r="F103" s="417">
        <v>34</v>
      </c>
      <c r="G103" s="417">
        <f t="shared" si="9"/>
        <v>408</v>
      </c>
      <c r="H103" s="417">
        <v>587</v>
      </c>
      <c r="I103" s="417">
        <f t="shared" si="13"/>
        <v>2131</v>
      </c>
    </row>
    <row r="104" spans="1:9" s="413" customFormat="1" x14ac:dyDescent="0.2">
      <c r="A104" s="691">
        <v>93</v>
      </c>
      <c r="B104" s="416" t="s">
        <v>226</v>
      </c>
      <c r="C104" s="135" t="s">
        <v>227</v>
      </c>
      <c r="D104" s="417">
        <f t="shared" si="7"/>
        <v>479</v>
      </c>
      <c r="E104" s="417">
        <f t="shared" si="8"/>
        <v>1956</v>
      </c>
      <c r="F104" s="417">
        <v>26</v>
      </c>
      <c r="G104" s="417">
        <f t="shared" si="9"/>
        <v>312</v>
      </c>
      <c r="H104" s="417">
        <v>453</v>
      </c>
      <c r="I104" s="417">
        <f t="shared" si="13"/>
        <v>1644</v>
      </c>
    </row>
    <row r="105" spans="1:9" s="413" customFormat="1" x14ac:dyDescent="0.2">
      <c r="A105" s="691">
        <v>94</v>
      </c>
      <c r="B105" s="418" t="s">
        <v>32</v>
      </c>
      <c r="C105" s="135" t="s">
        <v>33</v>
      </c>
      <c r="D105" s="417">
        <f t="shared" si="7"/>
        <v>539</v>
      </c>
      <c r="E105" s="417">
        <f t="shared" si="8"/>
        <v>2216</v>
      </c>
      <c r="F105" s="417">
        <v>31</v>
      </c>
      <c r="G105" s="417">
        <f t="shared" si="9"/>
        <v>372</v>
      </c>
      <c r="H105" s="417">
        <v>508</v>
      </c>
      <c r="I105" s="417">
        <f t="shared" si="13"/>
        <v>1844</v>
      </c>
    </row>
    <row r="106" spans="1:9" s="413" customFormat="1" x14ac:dyDescent="0.2">
      <c r="A106" s="691">
        <v>95</v>
      </c>
      <c r="B106" s="692" t="s">
        <v>228</v>
      </c>
      <c r="C106" s="135" t="s">
        <v>229</v>
      </c>
      <c r="D106" s="417">
        <f t="shared" si="7"/>
        <v>308</v>
      </c>
      <c r="E106" s="417">
        <f t="shared" si="8"/>
        <v>1244</v>
      </c>
      <c r="F106" s="417">
        <v>15</v>
      </c>
      <c r="G106" s="417">
        <f t="shared" si="9"/>
        <v>180</v>
      </c>
      <c r="H106" s="417">
        <v>293</v>
      </c>
      <c r="I106" s="417">
        <f t="shared" si="13"/>
        <v>1064</v>
      </c>
    </row>
    <row r="107" spans="1:9" s="413" customFormat="1" x14ac:dyDescent="0.2">
      <c r="A107" s="691">
        <v>96</v>
      </c>
      <c r="B107" s="416" t="s">
        <v>230</v>
      </c>
      <c r="C107" s="135" t="s">
        <v>231</v>
      </c>
      <c r="D107" s="417">
        <f t="shared" si="7"/>
        <v>984</v>
      </c>
      <c r="E107" s="417">
        <f t="shared" si="8"/>
        <v>3923</v>
      </c>
      <c r="F107" s="417">
        <v>42</v>
      </c>
      <c r="G107" s="417">
        <f t="shared" si="9"/>
        <v>504</v>
      </c>
      <c r="H107" s="417">
        <v>942</v>
      </c>
      <c r="I107" s="417">
        <f t="shared" si="13"/>
        <v>3419</v>
      </c>
    </row>
    <row r="108" spans="1:9" s="413" customFormat="1" x14ac:dyDescent="0.2">
      <c r="A108" s="691">
        <v>97</v>
      </c>
      <c r="B108" s="416" t="s">
        <v>232</v>
      </c>
      <c r="C108" s="135" t="s">
        <v>233</v>
      </c>
      <c r="D108" s="417"/>
      <c r="E108" s="417"/>
      <c r="F108" s="417"/>
      <c r="G108" s="417"/>
      <c r="H108" s="417"/>
      <c r="I108" s="417"/>
    </row>
    <row r="109" spans="1:9" s="413" customFormat="1" x14ac:dyDescent="0.2">
      <c r="A109" s="691">
        <v>98</v>
      </c>
      <c r="B109" s="416" t="s">
        <v>234</v>
      </c>
      <c r="C109" s="135" t="s">
        <v>235</v>
      </c>
      <c r="D109" s="417"/>
      <c r="E109" s="417"/>
      <c r="F109" s="417"/>
      <c r="G109" s="417"/>
      <c r="H109" s="417"/>
      <c r="I109" s="417"/>
    </row>
    <row r="110" spans="1:9" s="413" customFormat="1" x14ac:dyDescent="0.2">
      <c r="A110" s="691">
        <v>99</v>
      </c>
      <c r="B110" s="692" t="s">
        <v>236</v>
      </c>
      <c r="C110" s="135" t="s">
        <v>237</v>
      </c>
      <c r="D110" s="417"/>
      <c r="E110" s="417"/>
      <c r="F110" s="417"/>
      <c r="G110" s="417"/>
      <c r="H110" s="417"/>
      <c r="I110" s="417"/>
    </row>
    <row r="111" spans="1:9" s="413" customFormat="1" x14ac:dyDescent="0.2">
      <c r="A111" s="691">
        <v>100</v>
      </c>
      <c r="B111" s="692" t="s">
        <v>238</v>
      </c>
      <c r="C111" s="135" t="s">
        <v>239</v>
      </c>
      <c r="D111" s="417"/>
      <c r="E111" s="417"/>
      <c r="F111" s="417"/>
      <c r="G111" s="417"/>
      <c r="H111" s="417"/>
      <c r="I111" s="417"/>
    </row>
    <row r="112" spans="1:9" s="413" customFormat="1" x14ac:dyDescent="0.2">
      <c r="A112" s="691">
        <v>101</v>
      </c>
      <c r="B112" s="692" t="s">
        <v>240</v>
      </c>
      <c r="C112" s="135" t="s">
        <v>241</v>
      </c>
      <c r="D112" s="417"/>
      <c r="E112" s="417"/>
      <c r="F112" s="417"/>
      <c r="G112" s="417"/>
      <c r="H112" s="417"/>
      <c r="I112" s="417"/>
    </row>
    <row r="113" spans="1:9" s="413" customFormat="1" x14ac:dyDescent="0.2">
      <c r="A113" s="691">
        <v>102</v>
      </c>
      <c r="B113" s="692" t="s">
        <v>242</v>
      </c>
      <c r="C113" s="135" t="s">
        <v>243</v>
      </c>
      <c r="D113" s="417"/>
      <c r="E113" s="417"/>
      <c r="F113" s="417"/>
      <c r="G113" s="417"/>
      <c r="H113" s="417"/>
      <c r="I113" s="417"/>
    </row>
    <row r="114" spans="1:9" s="413" customFormat="1" x14ac:dyDescent="0.2">
      <c r="A114" s="691">
        <v>103</v>
      </c>
      <c r="B114" s="692" t="s">
        <v>244</v>
      </c>
      <c r="C114" s="135" t="s">
        <v>245</v>
      </c>
      <c r="D114" s="417"/>
      <c r="E114" s="417"/>
      <c r="F114" s="417"/>
      <c r="G114" s="417"/>
      <c r="H114" s="417"/>
      <c r="I114" s="417"/>
    </row>
    <row r="115" spans="1:9" s="413" customFormat="1" x14ac:dyDescent="0.2">
      <c r="A115" s="691">
        <v>104</v>
      </c>
      <c r="B115" s="421" t="s">
        <v>246</v>
      </c>
      <c r="C115" s="690" t="s">
        <v>247</v>
      </c>
      <c r="D115" s="417"/>
      <c r="E115" s="417"/>
      <c r="F115" s="417"/>
      <c r="G115" s="417"/>
      <c r="H115" s="417"/>
      <c r="I115" s="417"/>
    </row>
    <row r="116" spans="1:9" s="413" customFormat="1" x14ac:dyDescent="0.2">
      <c r="A116" s="691">
        <v>105</v>
      </c>
      <c r="B116" s="418" t="s">
        <v>248</v>
      </c>
      <c r="C116" s="135" t="s">
        <v>249</v>
      </c>
      <c r="D116" s="417"/>
      <c r="E116" s="417"/>
      <c r="F116" s="417"/>
      <c r="G116" s="417"/>
      <c r="H116" s="417"/>
      <c r="I116" s="417"/>
    </row>
    <row r="117" spans="1:9" s="413" customFormat="1" x14ac:dyDescent="0.2">
      <c r="A117" s="691">
        <v>106</v>
      </c>
      <c r="B117" s="692" t="s">
        <v>250</v>
      </c>
      <c r="C117" s="135" t="s">
        <v>251</v>
      </c>
      <c r="D117" s="417"/>
      <c r="E117" s="417"/>
      <c r="F117" s="417"/>
      <c r="G117" s="417"/>
      <c r="H117" s="417"/>
      <c r="I117" s="417"/>
    </row>
    <row r="118" spans="1:9" s="413" customFormat="1" x14ac:dyDescent="0.2">
      <c r="A118" s="691">
        <v>107</v>
      </c>
      <c r="B118" s="416" t="s">
        <v>252</v>
      </c>
      <c r="C118" s="695" t="s">
        <v>253</v>
      </c>
      <c r="D118" s="417"/>
      <c r="E118" s="417"/>
      <c r="F118" s="417"/>
      <c r="G118" s="417"/>
      <c r="H118" s="417"/>
      <c r="I118" s="417"/>
    </row>
    <row r="119" spans="1:9" s="413" customFormat="1" x14ac:dyDescent="0.2">
      <c r="A119" s="691">
        <v>108</v>
      </c>
      <c r="B119" s="692" t="s">
        <v>254</v>
      </c>
      <c r="C119" s="135" t="s">
        <v>255</v>
      </c>
      <c r="D119" s="417"/>
      <c r="E119" s="417"/>
      <c r="F119" s="417"/>
      <c r="G119" s="417"/>
      <c r="H119" s="417"/>
      <c r="I119" s="417"/>
    </row>
    <row r="120" spans="1:9" s="413" customFormat="1" x14ac:dyDescent="0.2">
      <c r="A120" s="691">
        <v>109</v>
      </c>
      <c r="B120" s="418" t="s">
        <v>256</v>
      </c>
      <c r="C120" s="135" t="s">
        <v>257</v>
      </c>
      <c r="D120" s="417"/>
      <c r="E120" s="417"/>
      <c r="F120" s="417"/>
      <c r="G120" s="417"/>
      <c r="H120" s="417"/>
      <c r="I120" s="417"/>
    </row>
    <row r="121" spans="1:9" s="413" customFormat="1" x14ac:dyDescent="0.2">
      <c r="A121" s="691">
        <v>110</v>
      </c>
      <c r="B121" s="416" t="s">
        <v>258</v>
      </c>
      <c r="C121" s="135" t="s">
        <v>259</v>
      </c>
      <c r="D121" s="417"/>
      <c r="E121" s="417"/>
      <c r="F121" s="417"/>
      <c r="G121" s="417"/>
      <c r="H121" s="417"/>
      <c r="I121" s="417"/>
    </row>
    <row r="122" spans="1:9" s="413" customFormat="1" x14ac:dyDescent="0.2">
      <c r="A122" s="691">
        <v>111</v>
      </c>
      <c r="B122" s="438" t="s">
        <v>551</v>
      </c>
      <c r="C122" s="439" t="s">
        <v>552</v>
      </c>
      <c r="D122" s="417"/>
      <c r="E122" s="417"/>
      <c r="F122" s="417"/>
      <c r="G122" s="417"/>
      <c r="H122" s="417"/>
      <c r="I122" s="417"/>
    </row>
    <row r="123" spans="1:9" s="413" customFormat="1" x14ac:dyDescent="0.2">
      <c r="A123" s="691">
        <v>112</v>
      </c>
      <c r="B123" s="418" t="s">
        <v>260</v>
      </c>
      <c r="C123" s="135" t="s">
        <v>261</v>
      </c>
      <c r="D123" s="417"/>
      <c r="E123" s="417"/>
      <c r="F123" s="417"/>
      <c r="G123" s="417"/>
      <c r="H123" s="417"/>
      <c r="I123" s="417"/>
    </row>
    <row r="124" spans="1:9" s="413" customFormat="1" x14ac:dyDescent="0.2">
      <c r="A124" s="691">
        <v>113</v>
      </c>
      <c r="B124" s="692" t="s">
        <v>262</v>
      </c>
      <c r="C124" s="135" t="s">
        <v>263</v>
      </c>
      <c r="D124" s="417"/>
      <c r="E124" s="417"/>
      <c r="F124" s="417"/>
      <c r="G124" s="417"/>
      <c r="H124" s="417"/>
      <c r="I124" s="417"/>
    </row>
    <row r="125" spans="1:9" s="413" customFormat="1" x14ac:dyDescent="0.2">
      <c r="A125" s="691">
        <v>114</v>
      </c>
      <c r="B125" s="692" t="s">
        <v>264</v>
      </c>
      <c r="C125" s="696" t="s">
        <v>265</v>
      </c>
      <c r="D125" s="417"/>
      <c r="E125" s="417"/>
      <c r="F125" s="417"/>
      <c r="G125" s="417"/>
      <c r="H125" s="417"/>
      <c r="I125" s="417"/>
    </row>
    <row r="126" spans="1:9" s="413" customFormat="1" x14ac:dyDescent="0.2">
      <c r="A126" s="691">
        <v>115</v>
      </c>
      <c r="B126" s="692" t="s">
        <v>266</v>
      </c>
      <c r="C126" s="135" t="s">
        <v>267</v>
      </c>
      <c r="D126" s="417"/>
      <c r="E126" s="417"/>
      <c r="F126" s="417"/>
      <c r="G126" s="417"/>
      <c r="H126" s="417"/>
      <c r="I126" s="417"/>
    </row>
    <row r="127" spans="1:9" s="413" customFormat="1" x14ac:dyDescent="0.2">
      <c r="A127" s="691">
        <v>116</v>
      </c>
      <c r="B127" s="692" t="s">
        <v>268</v>
      </c>
      <c r="C127" s="135" t="s">
        <v>269</v>
      </c>
      <c r="D127" s="417"/>
      <c r="E127" s="417"/>
      <c r="F127" s="417"/>
      <c r="G127" s="417"/>
      <c r="H127" s="417"/>
      <c r="I127" s="417"/>
    </row>
    <row r="128" spans="1:9" s="413" customFormat="1" x14ac:dyDescent="0.2">
      <c r="A128" s="691">
        <v>117</v>
      </c>
      <c r="B128" s="692" t="s">
        <v>270</v>
      </c>
      <c r="C128" s="135" t="s">
        <v>271</v>
      </c>
      <c r="D128" s="417"/>
      <c r="E128" s="417"/>
      <c r="F128" s="417"/>
      <c r="G128" s="417"/>
      <c r="H128" s="417"/>
      <c r="I128" s="417"/>
    </row>
    <row r="129" spans="1:9" s="413" customFormat="1" x14ac:dyDescent="0.2">
      <c r="A129" s="691">
        <v>118</v>
      </c>
      <c r="B129" s="416" t="s">
        <v>272</v>
      </c>
      <c r="C129" s="135" t="s">
        <v>273</v>
      </c>
      <c r="D129" s="417"/>
      <c r="E129" s="417"/>
      <c r="F129" s="417"/>
      <c r="G129" s="417"/>
      <c r="H129" s="417"/>
      <c r="I129" s="417"/>
    </row>
    <row r="130" spans="1:9" s="413" customFormat="1" x14ac:dyDescent="0.2">
      <c r="A130" s="691">
        <v>119</v>
      </c>
      <c r="B130" s="416" t="s">
        <v>274</v>
      </c>
      <c r="C130" s="135" t="s">
        <v>275</v>
      </c>
      <c r="D130" s="417"/>
      <c r="E130" s="417"/>
      <c r="F130" s="417"/>
      <c r="G130" s="417"/>
      <c r="H130" s="417"/>
      <c r="I130" s="417"/>
    </row>
    <row r="131" spans="1:9" s="413" customFormat="1" x14ac:dyDescent="0.2">
      <c r="A131" s="691">
        <v>120</v>
      </c>
      <c r="B131" s="416" t="s">
        <v>276</v>
      </c>
      <c r="C131" s="135" t="s">
        <v>277</v>
      </c>
      <c r="D131" s="417"/>
      <c r="E131" s="417"/>
      <c r="F131" s="417"/>
      <c r="G131" s="417"/>
      <c r="H131" s="417"/>
      <c r="I131" s="417"/>
    </row>
    <row r="132" spans="1:9" s="413" customFormat="1" x14ac:dyDescent="0.2">
      <c r="A132" s="691">
        <v>121</v>
      </c>
      <c r="B132" s="692" t="s">
        <v>278</v>
      </c>
      <c r="C132" s="135" t="s">
        <v>279</v>
      </c>
      <c r="D132" s="417"/>
      <c r="E132" s="417"/>
      <c r="F132" s="417"/>
      <c r="G132" s="417"/>
      <c r="H132" s="417"/>
      <c r="I132" s="417"/>
    </row>
    <row r="133" spans="1:9" s="413" customFormat="1" x14ac:dyDescent="0.2">
      <c r="A133" s="691">
        <v>122</v>
      </c>
      <c r="B133" s="692" t="s">
        <v>280</v>
      </c>
      <c r="C133" s="135" t="s">
        <v>281</v>
      </c>
      <c r="D133" s="417"/>
      <c r="E133" s="417"/>
      <c r="F133" s="417"/>
      <c r="G133" s="417"/>
      <c r="H133" s="417"/>
      <c r="I133" s="417"/>
    </row>
    <row r="134" spans="1:9" s="413" customFormat="1" x14ac:dyDescent="0.2">
      <c r="A134" s="691">
        <v>123</v>
      </c>
      <c r="B134" s="692" t="s">
        <v>282</v>
      </c>
      <c r="C134" s="135" t="s">
        <v>783</v>
      </c>
      <c r="D134" s="417"/>
      <c r="E134" s="417"/>
      <c r="F134" s="417"/>
      <c r="G134" s="417"/>
      <c r="H134" s="417"/>
      <c r="I134" s="417"/>
    </row>
    <row r="135" spans="1:9" s="413" customFormat="1" x14ac:dyDescent="0.2">
      <c r="A135" s="691">
        <v>124</v>
      </c>
      <c r="B135" s="416" t="s">
        <v>283</v>
      </c>
      <c r="C135" s="135" t="s">
        <v>284</v>
      </c>
      <c r="D135" s="417">
        <f t="shared" si="7"/>
        <v>1097</v>
      </c>
      <c r="E135" s="417">
        <f t="shared" si="8"/>
        <v>4526</v>
      </c>
      <c r="F135" s="417">
        <v>65</v>
      </c>
      <c r="G135" s="417">
        <f t="shared" si="9"/>
        <v>780</v>
      </c>
      <c r="H135" s="417">
        <v>1032</v>
      </c>
      <c r="I135" s="417">
        <f t="shared" ref="I135:I136" si="14">ROUND(H135*3.6299,0)</f>
        <v>3746</v>
      </c>
    </row>
    <row r="136" spans="1:9" s="413" customFormat="1" x14ac:dyDescent="0.2">
      <c r="A136" s="691">
        <v>125</v>
      </c>
      <c r="B136" s="418" t="s">
        <v>285</v>
      </c>
      <c r="C136" s="135" t="s">
        <v>737</v>
      </c>
      <c r="D136" s="417">
        <f t="shared" si="7"/>
        <v>1199</v>
      </c>
      <c r="E136" s="417">
        <f t="shared" si="8"/>
        <v>5198</v>
      </c>
      <c r="F136" s="417">
        <v>101</v>
      </c>
      <c r="G136" s="417">
        <f t="shared" si="9"/>
        <v>1212</v>
      </c>
      <c r="H136" s="417">
        <v>1098</v>
      </c>
      <c r="I136" s="417">
        <f t="shared" si="14"/>
        <v>3986</v>
      </c>
    </row>
    <row r="137" spans="1:9" s="413" customFormat="1" x14ac:dyDescent="0.2">
      <c r="A137" s="691">
        <v>126</v>
      </c>
      <c r="B137" s="692" t="s">
        <v>286</v>
      </c>
      <c r="C137" s="135" t="s">
        <v>287</v>
      </c>
      <c r="D137" s="417"/>
      <c r="E137" s="417"/>
      <c r="F137" s="417"/>
      <c r="G137" s="417"/>
      <c r="H137" s="417"/>
      <c r="I137" s="417"/>
    </row>
    <row r="138" spans="1:9" s="413" customFormat="1" x14ac:dyDescent="0.2">
      <c r="A138" s="691">
        <v>127</v>
      </c>
      <c r="B138" s="416" t="s">
        <v>288</v>
      </c>
      <c r="C138" s="135" t="s">
        <v>289</v>
      </c>
      <c r="D138" s="417"/>
      <c r="E138" s="417"/>
      <c r="F138" s="417"/>
      <c r="G138" s="417"/>
      <c r="H138" s="417"/>
      <c r="I138" s="417"/>
    </row>
    <row r="139" spans="1:9" s="413" customFormat="1" x14ac:dyDescent="0.2">
      <c r="A139" s="691">
        <v>128</v>
      </c>
      <c r="B139" s="692" t="s">
        <v>290</v>
      </c>
      <c r="C139" s="135" t="s">
        <v>291</v>
      </c>
      <c r="D139" s="417"/>
      <c r="E139" s="417"/>
      <c r="F139" s="417"/>
      <c r="G139" s="417"/>
      <c r="H139" s="417"/>
      <c r="I139" s="417"/>
    </row>
    <row r="140" spans="1:9" s="413" customFormat="1" x14ac:dyDescent="0.2">
      <c r="A140" s="691">
        <v>129</v>
      </c>
      <c r="B140" s="136" t="s">
        <v>292</v>
      </c>
      <c r="C140" s="139" t="s">
        <v>293</v>
      </c>
      <c r="D140" s="417"/>
      <c r="E140" s="417"/>
      <c r="F140" s="417"/>
      <c r="G140" s="417"/>
      <c r="H140" s="417"/>
      <c r="I140" s="417"/>
    </row>
    <row r="141" spans="1:9" s="413" customFormat="1" x14ac:dyDescent="0.2">
      <c r="A141" s="691">
        <v>130</v>
      </c>
      <c r="B141" s="138" t="s">
        <v>294</v>
      </c>
      <c r="C141" s="139" t="s">
        <v>295</v>
      </c>
      <c r="D141" s="417"/>
      <c r="E141" s="417"/>
      <c r="F141" s="417"/>
      <c r="G141" s="417"/>
      <c r="H141" s="417"/>
      <c r="I141" s="417"/>
    </row>
    <row r="142" spans="1:9" s="413" customFormat="1" x14ac:dyDescent="0.2">
      <c r="A142" s="691">
        <v>131</v>
      </c>
      <c r="B142" s="136" t="s">
        <v>296</v>
      </c>
      <c r="C142" s="139" t="s">
        <v>323</v>
      </c>
      <c r="D142" s="417"/>
      <c r="E142" s="417"/>
      <c r="F142" s="417"/>
      <c r="G142" s="417"/>
      <c r="H142" s="417"/>
      <c r="I142" s="417"/>
    </row>
    <row r="143" spans="1:9" s="413" customFormat="1" x14ac:dyDescent="0.2">
      <c r="A143" s="691">
        <v>132</v>
      </c>
      <c r="B143" s="691" t="s">
        <v>298</v>
      </c>
      <c r="C143" s="697" t="s">
        <v>299</v>
      </c>
      <c r="D143" s="417"/>
      <c r="E143" s="417"/>
      <c r="F143" s="417"/>
      <c r="G143" s="417"/>
      <c r="H143" s="417"/>
      <c r="I143" s="417"/>
    </row>
    <row r="144" spans="1:9" s="413" customFormat="1" x14ac:dyDescent="0.2">
      <c r="A144" s="691">
        <v>133</v>
      </c>
      <c r="B144" s="424" t="s">
        <v>300</v>
      </c>
      <c r="C144" s="697" t="s">
        <v>301</v>
      </c>
      <c r="D144" s="417"/>
      <c r="E144" s="417"/>
      <c r="F144" s="417"/>
      <c r="G144" s="417"/>
      <c r="H144" s="417"/>
      <c r="I144" s="417"/>
    </row>
    <row r="145" spans="1:10" s="413" customFormat="1" x14ac:dyDescent="0.2">
      <c r="A145" s="691">
        <v>134</v>
      </c>
      <c r="B145" s="425" t="s">
        <v>302</v>
      </c>
      <c r="C145" s="698" t="s">
        <v>303</v>
      </c>
      <c r="D145" s="417"/>
      <c r="E145" s="417"/>
      <c r="F145" s="417"/>
      <c r="G145" s="417"/>
      <c r="H145" s="417"/>
      <c r="I145" s="417"/>
    </row>
    <row r="146" spans="1:10" s="413" customFormat="1" x14ac:dyDescent="0.2">
      <c r="A146" s="699">
        <v>135</v>
      </c>
      <c r="B146" s="262" t="s">
        <v>304</v>
      </c>
      <c r="C146" s="261" t="s">
        <v>305</v>
      </c>
      <c r="D146" s="417"/>
      <c r="E146" s="417"/>
      <c r="F146" s="417"/>
      <c r="G146" s="417"/>
      <c r="H146" s="417"/>
      <c r="I146" s="417"/>
    </row>
    <row r="148" spans="1:10" s="413" customFormat="1" x14ac:dyDescent="0.2">
      <c r="A148" s="412"/>
      <c r="B148" s="412"/>
      <c r="C148" s="412"/>
      <c r="D148" s="412"/>
      <c r="E148" s="412"/>
      <c r="F148" s="412"/>
      <c r="G148" s="412"/>
      <c r="J148" s="412"/>
    </row>
  </sheetData>
  <mergeCells count="13">
    <mergeCell ref="A1:I1"/>
    <mergeCell ref="D2:I2"/>
    <mergeCell ref="D3:I3"/>
    <mergeCell ref="D4:E5"/>
    <mergeCell ref="F4:I4"/>
    <mergeCell ref="F5:G5"/>
    <mergeCell ref="H5:I5"/>
    <mergeCell ref="A8:C8"/>
    <mergeCell ref="A89:A92"/>
    <mergeCell ref="B89:B92"/>
    <mergeCell ref="A2:A6"/>
    <mergeCell ref="B2:B6"/>
    <mergeCell ref="C2:C6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124" activePane="bottomRight" state="frozen"/>
      <selection pane="topRight" activeCell="D1" sqref="D1"/>
      <selection pane="bottomLeft" activeCell="A9" sqref="A9"/>
      <selection pane="bottomRight" activeCell="C136" sqref="C1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</row>
    <row r="3" spans="1:16" x14ac:dyDescent="0.25">
      <c r="C3" s="6"/>
      <c r="E3" s="32"/>
      <c r="M3" s="1138"/>
      <c r="N3" s="1138"/>
      <c r="O3" s="1138"/>
    </row>
    <row r="4" spans="1:16" s="10" customFormat="1" ht="12" customHeight="1" x14ac:dyDescent="0.25">
      <c r="A4" s="1130" t="s">
        <v>0</v>
      </c>
      <c r="B4" s="1130" t="s">
        <v>1</v>
      </c>
      <c r="C4" s="1135" t="s">
        <v>2</v>
      </c>
      <c r="D4" s="1127" t="s">
        <v>504</v>
      </c>
      <c r="E4" s="1128"/>
      <c r="F4" s="1128"/>
      <c r="G4" s="1128"/>
      <c r="H4" s="1129"/>
      <c r="I4" s="1127" t="s">
        <v>505</v>
      </c>
      <c r="J4" s="1128"/>
      <c r="K4" s="1128"/>
      <c r="L4" s="1129"/>
      <c r="M4" s="1130" t="s">
        <v>506</v>
      </c>
      <c r="N4" s="1132" t="s">
        <v>507</v>
      </c>
      <c r="O4" s="1133"/>
      <c r="P4" s="1134"/>
    </row>
    <row r="5" spans="1:16" ht="24" x14ac:dyDescent="0.25">
      <c r="A5" s="1137"/>
      <c r="B5" s="1137"/>
      <c r="C5" s="1136"/>
      <c r="D5" s="265" t="s">
        <v>508</v>
      </c>
      <c r="E5" s="265" t="s">
        <v>509</v>
      </c>
      <c r="F5" s="265" t="s">
        <v>510</v>
      </c>
      <c r="G5" s="265" t="s">
        <v>511</v>
      </c>
      <c r="H5" s="266" t="s">
        <v>13</v>
      </c>
      <c r="I5" s="265" t="s">
        <v>509</v>
      </c>
      <c r="J5" s="265" t="s">
        <v>510</v>
      </c>
      <c r="K5" s="265" t="s">
        <v>511</v>
      </c>
      <c r="L5" s="266" t="s">
        <v>13</v>
      </c>
      <c r="M5" s="1131"/>
      <c r="N5" s="254" t="s">
        <v>512</v>
      </c>
      <c r="O5" s="271" t="s">
        <v>513</v>
      </c>
      <c r="P5" s="254" t="s">
        <v>13</v>
      </c>
    </row>
    <row r="6" spans="1:16" x14ac:dyDescent="0.25">
      <c r="A6" s="1139" t="s">
        <v>13</v>
      </c>
      <c r="B6" s="1139"/>
      <c r="C6" s="1139"/>
      <c r="D6" s="269">
        <f>D7+D9+D8</f>
        <v>11988</v>
      </c>
      <c r="E6" s="269">
        <f t="shared" ref="E6:P6" si="0">E7+E9+E8</f>
        <v>169686</v>
      </c>
      <c r="F6" s="269">
        <f t="shared" si="0"/>
        <v>1644</v>
      </c>
      <c r="G6" s="269">
        <f t="shared" si="0"/>
        <v>38144</v>
      </c>
      <c r="H6" s="269">
        <f t="shared" si="0"/>
        <v>221462</v>
      </c>
      <c r="I6" s="269">
        <f t="shared" si="0"/>
        <v>75195</v>
      </c>
      <c r="J6" s="269">
        <f t="shared" si="0"/>
        <v>4018</v>
      </c>
      <c r="K6" s="269">
        <f t="shared" si="0"/>
        <v>5306</v>
      </c>
      <c r="L6" s="269">
        <f t="shared" si="0"/>
        <v>84519</v>
      </c>
      <c r="M6" s="269">
        <f t="shared" si="0"/>
        <v>7983</v>
      </c>
      <c r="N6" s="269">
        <f t="shared" si="0"/>
        <v>11341</v>
      </c>
      <c r="O6" s="269">
        <f t="shared" si="0"/>
        <v>3171</v>
      </c>
      <c r="P6" s="269">
        <f t="shared" si="0"/>
        <v>14512</v>
      </c>
    </row>
    <row r="7" spans="1:16" x14ac:dyDescent="0.25">
      <c r="A7" s="16"/>
      <c r="B7" s="16"/>
      <c r="C7" s="17" t="s">
        <v>14</v>
      </c>
      <c r="D7" s="243"/>
      <c r="E7" s="243">
        <v>1900</v>
      </c>
      <c r="F7" s="243"/>
      <c r="G7" s="243"/>
      <c r="H7" s="243">
        <f>E7+F7+G7+D7</f>
        <v>1900</v>
      </c>
      <c r="I7" s="243"/>
      <c r="J7" s="243">
        <v>660</v>
      </c>
      <c r="K7" s="243"/>
      <c r="L7" s="243">
        <f>I7+J7+K7</f>
        <v>660</v>
      </c>
      <c r="M7" s="272"/>
      <c r="N7" s="272"/>
      <c r="O7" s="243"/>
      <c r="P7" s="243">
        <f>M7+N7+O7</f>
        <v>0</v>
      </c>
    </row>
    <row r="8" spans="1:16" x14ac:dyDescent="0.25">
      <c r="A8" s="16"/>
      <c r="B8" s="16"/>
      <c r="C8" s="17" t="s">
        <v>554</v>
      </c>
      <c r="D8" s="243"/>
      <c r="E8" s="243"/>
      <c r="F8" s="243"/>
      <c r="G8" s="243">
        <v>273</v>
      </c>
      <c r="H8" s="243">
        <f>E8+F8+G8+D8</f>
        <v>273</v>
      </c>
      <c r="I8" s="243">
        <v>322</v>
      </c>
      <c r="J8" s="243">
        <v>15</v>
      </c>
      <c r="K8" s="243"/>
      <c r="L8" s="243">
        <f>I8+J8+K8</f>
        <v>337</v>
      </c>
      <c r="M8" s="272"/>
      <c r="N8" s="272"/>
      <c r="O8" s="243"/>
      <c r="P8" s="243">
        <f>M8+N8+O8</f>
        <v>0</v>
      </c>
    </row>
    <row r="9" spans="1:16" s="10" customFormat="1" x14ac:dyDescent="0.25">
      <c r="A9" s="1139" t="s">
        <v>15</v>
      </c>
      <c r="B9" s="1139"/>
      <c r="C9" s="1139"/>
      <c r="D9" s="269">
        <f>SUM(D10:D147)-D90</f>
        <v>11988</v>
      </c>
      <c r="E9" s="269">
        <f t="shared" ref="E9:P9" si="1">SUM(E10:E147)-E90</f>
        <v>167786</v>
      </c>
      <c r="F9" s="269">
        <f t="shared" si="1"/>
        <v>1644</v>
      </c>
      <c r="G9" s="269">
        <f t="shared" si="1"/>
        <v>37871</v>
      </c>
      <c r="H9" s="269">
        <f t="shared" si="1"/>
        <v>219289</v>
      </c>
      <c r="I9" s="269">
        <f t="shared" si="1"/>
        <v>74873</v>
      </c>
      <c r="J9" s="269">
        <f t="shared" si="1"/>
        <v>3343</v>
      </c>
      <c r="K9" s="269">
        <f t="shared" si="1"/>
        <v>5306</v>
      </c>
      <c r="L9" s="269">
        <f t="shared" si="1"/>
        <v>83522</v>
      </c>
      <c r="M9" s="269">
        <f t="shared" si="1"/>
        <v>7983</v>
      </c>
      <c r="N9" s="269">
        <f t="shared" si="1"/>
        <v>11341</v>
      </c>
      <c r="O9" s="269">
        <f t="shared" si="1"/>
        <v>3171</v>
      </c>
      <c r="P9" s="269">
        <f t="shared" si="1"/>
        <v>14512</v>
      </c>
    </row>
    <row r="10" spans="1:16" s="20" customFormat="1" x14ac:dyDescent="0.25">
      <c r="A10" s="242">
        <v>1</v>
      </c>
      <c r="B10" s="49" t="s">
        <v>54</v>
      </c>
      <c r="C10" s="50" t="s">
        <v>55</v>
      </c>
      <c r="D10" s="243">
        <v>0</v>
      </c>
      <c r="E10" s="243">
        <v>0</v>
      </c>
      <c r="F10" s="243">
        <v>0</v>
      </c>
      <c r="G10" s="243">
        <v>0</v>
      </c>
      <c r="H10" s="243">
        <f t="shared" ref="H10:H73" si="2">D10+E10+F10+G10</f>
        <v>0</v>
      </c>
      <c r="I10" s="243">
        <v>0</v>
      </c>
      <c r="J10" s="243">
        <v>0</v>
      </c>
      <c r="K10" s="243">
        <v>0</v>
      </c>
      <c r="L10" s="243">
        <f>I10+J10+K10</f>
        <v>0</v>
      </c>
      <c r="M10" s="243">
        <v>0</v>
      </c>
      <c r="N10" s="243">
        <v>0</v>
      </c>
      <c r="O10" s="243">
        <v>0</v>
      </c>
      <c r="P10" s="243">
        <f>N10+O10</f>
        <v>0</v>
      </c>
    </row>
    <row r="11" spans="1:16" s="20" customFormat="1" x14ac:dyDescent="0.25">
      <c r="A11" s="242">
        <v>2</v>
      </c>
      <c r="B11" s="52" t="s">
        <v>56</v>
      </c>
      <c r="C11" s="50" t="s">
        <v>57</v>
      </c>
      <c r="D11" s="243">
        <v>0</v>
      </c>
      <c r="E11" s="243">
        <v>0</v>
      </c>
      <c r="F11" s="243">
        <v>0</v>
      </c>
      <c r="G11" s="243">
        <v>0</v>
      </c>
      <c r="H11" s="243">
        <f t="shared" si="2"/>
        <v>0</v>
      </c>
      <c r="I11" s="243">
        <v>0</v>
      </c>
      <c r="J11" s="243">
        <v>0</v>
      </c>
      <c r="K11" s="243">
        <v>0</v>
      </c>
      <c r="L11" s="243">
        <f t="shared" ref="L11:L74" si="3">I11+J11+K11</f>
        <v>0</v>
      </c>
      <c r="M11" s="243">
        <v>0</v>
      </c>
      <c r="N11" s="243">
        <v>0</v>
      </c>
      <c r="O11" s="243">
        <v>0</v>
      </c>
      <c r="P11" s="243">
        <f t="shared" ref="P11:P74" si="4">N11+O11</f>
        <v>0</v>
      </c>
    </row>
    <row r="12" spans="1:16" s="10" customFormat="1" x14ac:dyDescent="0.25">
      <c r="A12" s="242">
        <v>3</v>
      </c>
      <c r="B12" s="264" t="s">
        <v>16</v>
      </c>
      <c r="C12" s="50" t="s">
        <v>17</v>
      </c>
      <c r="D12" s="243">
        <v>0</v>
      </c>
      <c r="E12" s="243">
        <v>4044</v>
      </c>
      <c r="F12" s="243">
        <v>0</v>
      </c>
      <c r="G12" s="243">
        <v>660</v>
      </c>
      <c r="H12" s="243">
        <f t="shared" si="2"/>
        <v>4704</v>
      </c>
      <c r="I12" s="243">
        <v>0</v>
      </c>
      <c r="J12" s="243">
        <v>0</v>
      </c>
      <c r="K12" s="243">
        <v>0</v>
      </c>
      <c r="L12" s="243">
        <f t="shared" si="3"/>
        <v>0</v>
      </c>
      <c r="M12" s="243">
        <v>0</v>
      </c>
      <c r="N12" s="243">
        <v>0</v>
      </c>
      <c r="O12" s="243">
        <v>0</v>
      </c>
      <c r="P12" s="243">
        <f t="shared" si="4"/>
        <v>0</v>
      </c>
    </row>
    <row r="13" spans="1:16" s="27" customFormat="1" x14ac:dyDescent="0.25">
      <c r="A13" s="242">
        <v>4</v>
      </c>
      <c r="B13" s="49" t="s">
        <v>58</v>
      </c>
      <c r="C13" s="50" t="s">
        <v>59</v>
      </c>
      <c r="D13" s="243">
        <v>0</v>
      </c>
      <c r="E13" s="243">
        <v>0</v>
      </c>
      <c r="F13" s="243">
        <v>0</v>
      </c>
      <c r="G13" s="243">
        <v>0</v>
      </c>
      <c r="H13" s="243">
        <f t="shared" si="2"/>
        <v>0</v>
      </c>
      <c r="I13" s="243">
        <v>0</v>
      </c>
      <c r="J13" s="243">
        <v>0</v>
      </c>
      <c r="K13" s="243">
        <v>0</v>
      </c>
      <c r="L13" s="243">
        <f t="shared" si="3"/>
        <v>0</v>
      </c>
      <c r="M13" s="243">
        <v>0</v>
      </c>
      <c r="N13" s="243">
        <v>0</v>
      </c>
      <c r="O13" s="243">
        <v>0</v>
      </c>
      <c r="P13" s="243">
        <f t="shared" si="4"/>
        <v>0</v>
      </c>
    </row>
    <row r="14" spans="1:16" s="27" customFormat="1" x14ac:dyDescent="0.25">
      <c r="A14" s="242">
        <v>5</v>
      </c>
      <c r="B14" s="49" t="s">
        <v>60</v>
      </c>
      <c r="C14" s="50" t="s">
        <v>61</v>
      </c>
      <c r="D14" s="243">
        <v>0</v>
      </c>
      <c r="E14" s="243">
        <v>0</v>
      </c>
      <c r="F14" s="243">
        <v>0</v>
      </c>
      <c r="G14" s="243">
        <v>0</v>
      </c>
      <c r="H14" s="243">
        <f t="shared" si="2"/>
        <v>0</v>
      </c>
      <c r="I14" s="243">
        <v>0</v>
      </c>
      <c r="J14" s="243">
        <v>0</v>
      </c>
      <c r="K14" s="243">
        <v>0</v>
      </c>
      <c r="L14" s="243">
        <f t="shared" si="3"/>
        <v>0</v>
      </c>
      <c r="M14" s="243">
        <v>0</v>
      </c>
      <c r="N14" s="243">
        <v>0</v>
      </c>
      <c r="O14" s="243">
        <v>0</v>
      </c>
      <c r="P14" s="243">
        <f t="shared" si="4"/>
        <v>0</v>
      </c>
    </row>
    <row r="15" spans="1:16" s="245" customFormat="1" x14ac:dyDescent="0.25">
      <c r="A15" s="242">
        <v>6</v>
      </c>
      <c r="B15" s="264" t="s">
        <v>18</v>
      </c>
      <c r="C15" s="50" t="s">
        <v>19</v>
      </c>
      <c r="D15" s="243">
        <v>0</v>
      </c>
      <c r="E15" s="243">
        <v>6013</v>
      </c>
      <c r="F15" s="243">
        <v>108</v>
      </c>
      <c r="G15" s="243">
        <v>979</v>
      </c>
      <c r="H15" s="243">
        <f t="shared" si="2"/>
        <v>7100</v>
      </c>
      <c r="I15" s="243">
        <v>3615</v>
      </c>
      <c r="J15" s="243">
        <v>0</v>
      </c>
      <c r="K15" s="243">
        <v>0</v>
      </c>
      <c r="L15" s="243">
        <f t="shared" si="3"/>
        <v>3615</v>
      </c>
      <c r="M15" s="243">
        <v>0</v>
      </c>
      <c r="N15" s="243">
        <v>0</v>
      </c>
      <c r="O15" s="243">
        <v>0</v>
      </c>
      <c r="P15" s="243">
        <f t="shared" si="4"/>
        <v>0</v>
      </c>
    </row>
    <row r="16" spans="1:16" s="27" customFormat="1" x14ac:dyDescent="0.25">
      <c r="A16" s="242">
        <v>7</v>
      </c>
      <c r="B16" s="49" t="s">
        <v>62</v>
      </c>
      <c r="C16" s="50" t="s">
        <v>63</v>
      </c>
      <c r="D16" s="243">
        <v>0</v>
      </c>
      <c r="E16" s="243">
        <v>2294</v>
      </c>
      <c r="F16" s="243">
        <v>0</v>
      </c>
      <c r="G16" s="243">
        <v>373</v>
      </c>
      <c r="H16" s="243">
        <f t="shared" si="2"/>
        <v>2667</v>
      </c>
      <c r="I16" s="243">
        <v>0</v>
      </c>
      <c r="J16" s="243">
        <v>0</v>
      </c>
      <c r="K16" s="243">
        <v>0</v>
      </c>
      <c r="L16" s="243">
        <f t="shared" si="3"/>
        <v>0</v>
      </c>
      <c r="M16" s="243">
        <v>0</v>
      </c>
      <c r="N16" s="243">
        <v>0</v>
      </c>
      <c r="O16" s="243">
        <v>0</v>
      </c>
      <c r="P16" s="243">
        <f t="shared" si="4"/>
        <v>0</v>
      </c>
    </row>
    <row r="17" spans="1:16" s="27" customFormat="1" x14ac:dyDescent="0.25">
      <c r="A17" s="242">
        <v>8</v>
      </c>
      <c r="B17" s="264" t="s">
        <v>64</v>
      </c>
      <c r="C17" s="50" t="s">
        <v>65</v>
      </c>
      <c r="D17" s="243">
        <v>0</v>
      </c>
      <c r="E17" s="243">
        <v>0</v>
      </c>
      <c r="F17" s="243">
        <v>0</v>
      </c>
      <c r="G17" s="243">
        <v>0</v>
      </c>
      <c r="H17" s="243">
        <f t="shared" si="2"/>
        <v>0</v>
      </c>
      <c r="I17" s="243">
        <v>0</v>
      </c>
      <c r="J17" s="243">
        <v>0</v>
      </c>
      <c r="K17" s="243">
        <v>0</v>
      </c>
      <c r="L17" s="243">
        <f t="shared" si="3"/>
        <v>0</v>
      </c>
      <c r="M17" s="243">
        <v>0</v>
      </c>
      <c r="N17" s="243">
        <v>0</v>
      </c>
      <c r="O17" s="243">
        <v>0</v>
      </c>
      <c r="P17" s="243">
        <f t="shared" si="4"/>
        <v>0</v>
      </c>
    </row>
    <row r="18" spans="1:16" s="245" customFormat="1" x14ac:dyDescent="0.25">
      <c r="A18" s="242">
        <v>9</v>
      </c>
      <c r="B18" s="264" t="s">
        <v>66</v>
      </c>
      <c r="C18" s="50" t="s">
        <v>67</v>
      </c>
      <c r="D18" s="243">
        <v>0</v>
      </c>
      <c r="E18" s="243">
        <v>0</v>
      </c>
      <c r="F18" s="243">
        <v>0</v>
      </c>
      <c r="G18" s="243">
        <v>0</v>
      </c>
      <c r="H18" s="243">
        <f t="shared" si="2"/>
        <v>0</v>
      </c>
      <c r="I18" s="243">
        <v>0</v>
      </c>
      <c r="J18" s="243">
        <v>0</v>
      </c>
      <c r="K18" s="243">
        <v>0</v>
      </c>
      <c r="L18" s="243">
        <f t="shared" si="3"/>
        <v>0</v>
      </c>
      <c r="M18" s="243">
        <v>0</v>
      </c>
      <c r="N18" s="243">
        <v>0</v>
      </c>
      <c r="O18" s="243">
        <v>0</v>
      </c>
      <c r="P18" s="243">
        <f t="shared" si="4"/>
        <v>0</v>
      </c>
    </row>
    <row r="19" spans="1:16" s="27" customFormat="1" x14ac:dyDescent="0.25">
      <c r="A19" s="242">
        <v>10</v>
      </c>
      <c r="B19" s="264" t="s">
        <v>68</v>
      </c>
      <c r="C19" s="50" t="s">
        <v>69</v>
      </c>
      <c r="D19" s="243">
        <v>0</v>
      </c>
      <c r="E19" s="243">
        <v>0</v>
      </c>
      <c r="F19" s="243">
        <v>0</v>
      </c>
      <c r="G19" s="243">
        <v>0</v>
      </c>
      <c r="H19" s="243">
        <f t="shared" si="2"/>
        <v>0</v>
      </c>
      <c r="I19" s="243">
        <v>0</v>
      </c>
      <c r="J19" s="243">
        <v>0</v>
      </c>
      <c r="K19" s="243">
        <v>0</v>
      </c>
      <c r="L19" s="243">
        <f t="shared" si="3"/>
        <v>0</v>
      </c>
      <c r="M19" s="243">
        <v>0</v>
      </c>
      <c r="N19" s="243">
        <v>0</v>
      </c>
      <c r="O19" s="243">
        <v>0</v>
      </c>
      <c r="P19" s="243">
        <f t="shared" si="4"/>
        <v>0</v>
      </c>
    </row>
    <row r="20" spans="1:16" s="27" customFormat="1" x14ac:dyDescent="0.25">
      <c r="A20" s="242">
        <v>11</v>
      </c>
      <c r="B20" s="264" t="s">
        <v>70</v>
      </c>
      <c r="C20" s="50" t="s">
        <v>71</v>
      </c>
      <c r="D20" s="243">
        <v>0</v>
      </c>
      <c r="E20" s="243">
        <v>0</v>
      </c>
      <c r="F20" s="243">
        <v>0</v>
      </c>
      <c r="G20" s="243">
        <v>0</v>
      </c>
      <c r="H20" s="243">
        <f t="shared" si="2"/>
        <v>0</v>
      </c>
      <c r="I20" s="243">
        <v>0</v>
      </c>
      <c r="J20" s="243">
        <v>0</v>
      </c>
      <c r="K20" s="243">
        <v>0</v>
      </c>
      <c r="L20" s="243">
        <f t="shared" si="3"/>
        <v>0</v>
      </c>
      <c r="M20" s="243">
        <v>0</v>
      </c>
      <c r="N20" s="243">
        <v>0</v>
      </c>
      <c r="O20" s="243">
        <v>0</v>
      </c>
      <c r="P20" s="243">
        <f t="shared" si="4"/>
        <v>0</v>
      </c>
    </row>
    <row r="21" spans="1:16" s="27" customFormat="1" x14ac:dyDescent="0.25">
      <c r="A21" s="242">
        <v>12</v>
      </c>
      <c r="B21" s="264" t="s">
        <v>72</v>
      </c>
      <c r="C21" s="50" t="s">
        <v>73</v>
      </c>
      <c r="D21" s="243">
        <v>0</v>
      </c>
      <c r="E21" s="243">
        <v>1114</v>
      </c>
      <c r="F21" s="243">
        <v>0</v>
      </c>
      <c r="G21" s="243">
        <v>182</v>
      </c>
      <c r="H21" s="243">
        <f t="shared" si="2"/>
        <v>1296</v>
      </c>
      <c r="I21" s="243">
        <v>0</v>
      </c>
      <c r="J21" s="243">
        <v>0</v>
      </c>
      <c r="K21" s="243">
        <v>0</v>
      </c>
      <c r="L21" s="243">
        <f t="shared" si="3"/>
        <v>0</v>
      </c>
      <c r="M21" s="243">
        <v>0</v>
      </c>
      <c r="N21" s="243">
        <v>0</v>
      </c>
      <c r="O21" s="243">
        <v>0</v>
      </c>
      <c r="P21" s="243">
        <f t="shared" si="4"/>
        <v>0</v>
      </c>
    </row>
    <row r="22" spans="1:16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v>0</v>
      </c>
      <c r="G22" s="243">
        <v>0</v>
      </c>
      <c r="H22" s="243">
        <f t="shared" si="2"/>
        <v>0</v>
      </c>
      <c r="I22" s="243">
        <v>0</v>
      </c>
      <c r="J22" s="243">
        <v>0</v>
      </c>
      <c r="K22" s="243">
        <v>0</v>
      </c>
      <c r="L22" s="243">
        <f t="shared" si="3"/>
        <v>0</v>
      </c>
      <c r="M22" s="243">
        <v>0</v>
      </c>
      <c r="N22" s="243">
        <v>0</v>
      </c>
      <c r="O22" s="243">
        <v>0</v>
      </c>
      <c r="P22" s="243">
        <f t="shared" si="4"/>
        <v>0</v>
      </c>
    </row>
    <row r="23" spans="1:16" s="27" customFormat="1" x14ac:dyDescent="0.25">
      <c r="A23" s="242">
        <v>14</v>
      </c>
      <c r="B23" s="264" t="s">
        <v>76</v>
      </c>
      <c r="C23" s="50" t="s">
        <v>77</v>
      </c>
      <c r="D23" s="243">
        <v>0</v>
      </c>
      <c r="E23" s="243">
        <v>0</v>
      </c>
      <c r="F23" s="243">
        <v>0</v>
      </c>
      <c r="G23" s="243">
        <v>0</v>
      </c>
      <c r="H23" s="243">
        <f t="shared" si="2"/>
        <v>0</v>
      </c>
      <c r="I23" s="243">
        <v>0</v>
      </c>
      <c r="J23" s="243">
        <v>0</v>
      </c>
      <c r="K23" s="243">
        <v>0</v>
      </c>
      <c r="L23" s="243">
        <f t="shared" si="3"/>
        <v>0</v>
      </c>
      <c r="M23" s="243">
        <v>0</v>
      </c>
      <c r="N23" s="243">
        <v>0</v>
      </c>
      <c r="O23" s="243">
        <v>0</v>
      </c>
      <c r="P23" s="243">
        <f t="shared" si="4"/>
        <v>0</v>
      </c>
    </row>
    <row r="24" spans="1:16" s="27" customFormat="1" x14ac:dyDescent="0.25">
      <c r="A24" s="242">
        <v>15</v>
      </c>
      <c r="B24" s="264" t="s">
        <v>78</v>
      </c>
      <c r="C24" s="50" t="s">
        <v>79</v>
      </c>
      <c r="D24" s="243">
        <v>0</v>
      </c>
      <c r="E24" s="243">
        <v>998</v>
      </c>
      <c r="F24" s="243">
        <v>18</v>
      </c>
      <c r="G24" s="243">
        <v>0</v>
      </c>
      <c r="H24" s="243">
        <f t="shared" si="2"/>
        <v>1016</v>
      </c>
      <c r="I24" s="243">
        <v>0</v>
      </c>
      <c r="J24" s="243">
        <v>0</v>
      </c>
      <c r="K24" s="243">
        <v>0</v>
      </c>
      <c r="L24" s="243">
        <f t="shared" si="3"/>
        <v>0</v>
      </c>
      <c r="M24" s="243">
        <v>0</v>
      </c>
      <c r="N24" s="243">
        <v>0</v>
      </c>
      <c r="O24" s="243">
        <v>0</v>
      </c>
      <c r="P24" s="243">
        <f t="shared" si="4"/>
        <v>0</v>
      </c>
    </row>
    <row r="25" spans="1:16" s="27" customFormat="1" x14ac:dyDescent="0.25">
      <c r="A25" s="242">
        <v>16</v>
      </c>
      <c r="B25" s="264" t="s">
        <v>80</v>
      </c>
      <c r="C25" s="50" t="s">
        <v>81</v>
      </c>
      <c r="D25" s="243">
        <v>0</v>
      </c>
      <c r="E25" s="243">
        <v>1649</v>
      </c>
      <c r="F25" s="243">
        <v>31</v>
      </c>
      <c r="G25" s="243">
        <v>269</v>
      </c>
      <c r="H25" s="243">
        <f t="shared" si="2"/>
        <v>1949</v>
      </c>
      <c r="I25" s="243">
        <v>0</v>
      </c>
      <c r="J25" s="243">
        <v>0</v>
      </c>
      <c r="K25" s="243">
        <v>0</v>
      </c>
      <c r="L25" s="243">
        <f t="shared" si="3"/>
        <v>0</v>
      </c>
      <c r="M25" s="243">
        <v>0</v>
      </c>
      <c r="N25" s="243">
        <v>0</v>
      </c>
      <c r="O25" s="243">
        <v>0</v>
      </c>
      <c r="P25" s="243">
        <f t="shared" si="4"/>
        <v>0</v>
      </c>
    </row>
    <row r="26" spans="1:16" s="27" customFormat="1" x14ac:dyDescent="0.25">
      <c r="A26" s="242">
        <v>17</v>
      </c>
      <c r="B26" s="264" t="s">
        <v>20</v>
      </c>
      <c r="C26" s="50" t="s">
        <v>21</v>
      </c>
      <c r="D26" s="243">
        <v>0</v>
      </c>
      <c r="E26" s="243">
        <v>3407</v>
      </c>
      <c r="F26" s="243">
        <v>0</v>
      </c>
      <c r="G26" s="243">
        <v>822</v>
      </c>
      <c r="H26" s="243">
        <f t="shared" si="2"/>
        <v>4229</v>
      </c>
      <c r="I26" s="243">
        <v>2562</v>
      </c>
      <c r="J26" s="243">
        <v>0</v>
      </c>
      <c r="K26" s="243">
        <v>0</v>
      </c>
      <c r="L26" s="243">
        <f t="shared" si="3"/>
        <v>2562</v>
      </c>
      <c r="M26" s="243">
        <v>0</v>
      </c>
      <c r="N26" s="243">
        <v>0</v>
      </c>
      <c r="O26" s="243">
        <v>0</v>
      </c>
      <c r="P26" s="243">
        <f t="shared" si="4"/>
        <v>0</v>
      </c>
    </row>
    <row r="27" spans="1:16" s="27" customFormat="1" x14ac:dyDescent="0.25">
      <c r="A27" s="242">
        <v>18</v>
      </c>
      <c r="B27" s="49" t="s">
        <v>82</v>
      </c>
      <c r="C27" s="50" t="s">
        <v>83</v>
      </c>
      <c r="D27" s="243">
        <v>0</v>
      </c>
      <c r="E27" s="243">
        <v>0</v>
      </c>
      <c r="F27" s="243">
        <v>0</v>
      </c>
      <c r="G27" s="243">
        <v>0</v>
      </c>
      <c r="H27" s="243">
        <f t="shared" si="2"/>
        <v>0</v>
      </c>
      <c r="I27" s="243">
        <v>0</v>
      </c>
      <c r="J27" s="243">
        <v>0</v>
      </c>
      <c r="K27" s="243">
        <v>0</v>
      </c>
      <c r="L27" s="243">
        <f t="shared" si="3"/>
        <v>0</v>
      </c>
      <c r="M27" s="243">
        <v>0</v>
      </c>
      <c r="N27" s="243">
        <v>0</v>
      </c>
      <c r="O27" s="243">
        <v>0</v>
      </c>
      <c r="P27" s="243">
        <f t="shared" si="4"/>
        <v>0</v>
      </c>
    </row>
    <row r="28" spans="1:16" s="27" customFormat="1" x14ac:dyDescent="0.25">
      <c r="A28" s="242">
        <v>19</v>
      </c>
      <c r="B28" s="49" t="s">
        <v>84</v>
      </c>
      <c r="C28" s="50" t="s">
        <v>85</v>
      </c>
      <c r="D28" s="243">
        <v>0</v>
      </c>
      <c r="E28" s="243">
        <v>0</v>
      </c>
      <c r="F28" s="243">
        <v>0</v>
      </c>
      <c r="G28" s="243">
        <v>0</v>
      </c>
      <c r="H28" s="243">
        <f t="shared" si="2"/>
        <v>0</v>
      </c>
      <c r="I28" s="243">
        <v>0</v>
      </c>
      <c r="J28" s="243">
        <v>0</v>
      </c>
      <c r="K28" s="243">
        <v>0</v>
      </c>
      <c r="L28" s="243">
        <f t="shared" si="3"/>
        <v>0</v>
      </c>
      <c r="M28" s="243">
        <v>0</v>
      </c>
      <c r="N28" s="243">
        <v>0</v>
      </c>
      <c r="O28" s="243">
        <v>0</v>
      </c>
      <c r="P28" s="243">
        <f t="shared" si="4"/>
        <v>0</v>
      </c>
    </row>
    <row r="29" spans="1:16" s="245" customFormat="1" x14ac:dyDescent="0.25">
      <c r="A29" s="242">
        <v>20</v>
      </c>
      <c r="B29" s="49" t="s">
        <v>86</v>
      </c>
      <c r="C29" s="50" t="s">
        <v>87</v>
      </c>
      <c r="D29" s="243">
        <v>0</v>
      </c>
      <c r="E29" s="243">
        <v>1776</v>
      </c>
      <c r="F29" s="243">
        <v>0</v>
      </c>
      <c r="G29" s="243">
        <v>0</v>
      </c>
      <c r="H29" s="243">
        <f t="shared" si="2"/>
        <v>1776</v>
      </c>
      <c r="I29" s="243">
        <v>0</v>
      </c>
      <c r="J29" s="243">
        <v>0</v>
      </c>
      <c r="K29" s="243">
        <v>0</v>
      </c>
      <c r="L29" s="243">
        <f t="shared" si="3"/>
        <v>0</v>
      </c>
      <c r="M29" s="243">
        <v>0</v>
      </c>
      <c r="N29" s="243">
        <v>0</v>
      </c>
      <c r="O29" s="243">
        <v>0</v>
      </c>
      <c r="P29" s="243">
        <f t="shared" si="4"/>
        <v>0</v>
      </c>
    </row>
    <row r="30" spans="1:16" s="27" customFormat="1" x14ac:dyDescent="0.25">
      <c r="A30" s="242">
        <v>21</v>
      </c>
      <c r="B30" s="49" t="s">
        <v>22</v>
      </c>
      <c r="C30" s="50" t="s">
        <v>23</v>
      </c>
      <c r="D30" s="243">
        <v>0</v>
      </c>
      <c r="E30" s="243">
        <v>2281</v>
      </c>
      <c r="F30" s="243">
        <v>39</v>
      </c>
      <c r="G30" s="243">
        <v>355</v>
      </c>
      <c r="H30" s="243">
        <f t="shared" si="2"/>
        <v>2675</v>
      </c>
      <c r="I30" s="243">
        <v>1117</v>
      </c>
      <c r="J30" s="243">
        <v>86</v>
      </c>
      <c r="K30" s="243">
        <v>25</v>
      </c>
      <c r="L30" s="243">
        <f t="shared" si="3"/>
        <v>1228</v>
      </c>
      <c r="M30" s="243">
        <v>0</v>
      </c>
      <c r="N30" s="243">
        <v>0</v>
      </c>
      <c r="O30" s="243">
        <v>0</v>
      </c>
      <c r="P30" s="243">
        <f t="shared" si="4"/>
        <v>0</v>
      </c>
    </row>
    <row r="31" spans="1:16" s="27" customFormat="1" x14ac:dyDescent="0.25">
      <c r="A31" s="242">
        <v>22</v>
      </c>
      <c r="B31" s="264" t="s">
        <v>24</v>
      </c>
      <c r="C31" s="50" t="s">
        <v>25</v>
      </c>
      <c r="D31" s="243">
        <v>0</v>
      </c>
      <c r="E31" s="243">
        <v>0</v>
      </c>
      <c r="F31" s="243">
        <v>0</v>
      </c>
      <c r="G31" s="243">
        <v>0</v>
      </c>
      <c r="H31" s="243">
        <f t="shared" si="2"/>
        <v>0</v>
      </c>
      <c r="I31" s="243">
        <v>0</v>
      </c>
      <c r="J31" s="243">
        <v>0</v>
      </c>
      <c r="K31" s="243">
        <v>0</v>
      </c>
      <c r="L31" s="243">
        <f t="shared" si="3"/>
        <v>0</v>
      </c>
      <c r="M31" s="243">
        <v>0</v>
      </c>
      <c r="N31" s="243">
        <v>0</v>
      </c>
      <c r="O31" s="243">
        <v>0</v>
      </c>
      <c r="P31" s="243">
        <f t="shared" si="4"/>
        <v>0</v>
      </c>
    </row>
    <row r="32" spans="1:16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v>0</v>
      </c>
      <c r="G32" s="243">
        <v>0</v>
      </c>
      <c r="H32" s="243">
        <f t="shared" si="2"/>
        <v>0</v>
      </c>
      <c r="I32" s="243">
        <v>874</v>
      </c>
      <c r="J32" s="243">
        <v>86</v>
      </c>
      <c r="K32" s="243">
        <v>24</v>
      </c>
      <c r="L32" s="243">
        <f t="shared" si="3"/>
        <v>984</v>
      </c>
      <c r="M32" s="243">
        <v>0</v>
      </c>
      <c r="N32" s="243">
        <v>0</v>
      </c>
      <c r="O32" s="243">
        <v>0</v>
      </c>
      <c r="P32" s="243">
        <f t="shared" si="4"/>
        <v>0</v>
      </c>
    </row>
    <row r="33" spans="1:16" s="245" customFormat="1" ht="12.75" customHeigh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v>0</v>
      </c>
      <c r="G33" s="243">
        <v>0</v>
      </c>
      <c r="H33" s="243">
        <f t="shared" si="2"/>
        <v>0</v>
      </c>
      <c r="I33" s="243">
        <v>0</v>
      </c>
      <c r="J33" s="243">
        <v>0</v>
      </c>
      <c r="K33" s="243">
        <v>0</v>
      </c>
      <c r="L33" s="243">
        <f t="shared" si="3"/>
        <v>0</v>
      </c>
      <c r="M33" s="243">
        <v>0</v>
      </c>
      <c r="N33" s="243">
        <v>0</v>
      </c>
      <c r="O33" s="243">
        <v>0</v>
      </c>
      <c r="P33" s="243">
        <f t="shared" si="4"/>
        <v>0</v>
      </c>
    </row>
    <row r="34" spans="1:16" s="245" customFormat="1" x14ac:dyDescent="0.25">
      <c r="A34" s="242">
        <v>25</v>
      </c>
      <c r="B34" s="49" t="s">
        <v>92</v>
      </c>
      <c r="C34" s="50" t="s">
        <v>93</v>
      </c>
      <c r="D34" s="243">
        <v>2910</v>
      </c>
      <c r="E34" s="243">
        <v>9127</v>
      </c>
      <c r="F34" s="243">
        <v>165</v>
      </c>
      <c r="G34" s="243">
        <v>1312</v>
      </c>
      <c r="H34" s="243">
        <f t="shared" si="2"/>
        <v>13514</v>
      </c>
      <c r="I34" s="243">
        <v>5576</v>
      </c>
      <c r="J34" s="243">
        <v>485</v>
      </c>
      <c r="K34" s="243">
        <v>0</v>
      </c>
      <c r="L34" s="243">
        <f t="shared" si="3"/>
        <v>6061</v>
      </c>
      <c r="M34" s="243">
        <v>0</v>
      </c>
      <c r="N34" s="243">
        <v>0</v>
      </c>
      <c r="O34" s="243">
        <v>0</v>
      </c>
      <c r="P34" s="243">
        <f t="shared" si="4"/>
        <v>0</v>
      </c>
    </row>
    <row r="35" spans="1:16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v>0</v>
      </c>
      <c r="G35" s="243">
        <v>0</v>
      </c>
      <c r="H35" s="243">
        <f t="shared" si="2"/>
        <v>0</v>
      </c>
      <c r="I35" s="243">
        <v>0</v>
      </c>
      <c r="J35" s="243">
        <v>0</v>
      </c>
      <c r="K35" s="243">
        <v>0</v>
      </c>
      <c r="L35" s="243">
        <f t="shared" si="3"/>
        <v>0</v>
      </c>
      <c r="M35" s="243">
        <v>0</v>
      </c>
      <c r="N35" s="243">
        <v>0</v>
      </c>
      <c r="O35" s="243">
        <v>0</v>
      </c>
      <c r="P35" s="243">
        <f t="shared" si="4"/>
        <v>0</v>
      </c>
    </row>
    <row r="36" spans="1:16" s="27" customFormat="1" x14ac:dyDescent="0.25">
      <c r="A36" s="242">
        <v>27</v>
      </c>
      <c r="B36" s="52" t="s">
        <v>96</v>
      </c>
      <c r="C36" s="50" t="s">
        <v>97</v>
      </c>
      <c r="D36" s="243">
        <v>0</v>
      </c>
      <c r="E36" s="243">
        <v>0</v>
      </c>
      <c r="F36" s="243">
        <v>0</v>
      </c>
      <c r="G36" s="243">
        <v>0</v>
      </c>
      <c r="H36" s="243">
        <f t="shared" si="2"/>
        <v>0</v>
      </c>
      <c r="I36" s="243">
        <v>0</v>
      </c>
      <c r="J36" s="243">
        <v>0</v>
      </c>
      <c r="K36" s="243">
        <v>0</v>
      </c>
      <c r="L36" s="243">
        <f t="shared" si="3"/>
        <v>0</v>
      </c>
      <c r="M36" s="243">
        <v>0</v>
      </c>
      <c r="N36" s="243">
        <v>0</v>
      </c>
      <c r="O36" s="243">
        <v>0</v>
      </c>
      <c r="P36" s="243">
        <f t="shared" si="4"/>
        <v>0</v>
      </c>
    </row>
    <row r="37" spans="1:16" s="27" customFormat="1" x14ac:dyDescent="0.25">
      <c r="A37" s="242">
        <v>28</v>
      </c>
      <c r="B37" s="52" t="s">
        <v>26</v>
      </c>
      <c r="C37" s="50" t="s">
        <v>27</v>
      </c>
      <c r="D37" s="243">
        <v>0</v>
      </c>
      <c r="E37" s="243">
        <v>5954</v>
      </c>
      <c r="F37" s="243">
        <v>0</v>
      </c>
      <c r="G37" s="243">
        <v>970</v>
      </c>
      <c r="H37" s="243">
        <f t="shared" si="2"/>
        <v>6924</v>
      </c>
      <c r="I37" s="243">
        <v>0</v>
      </c>
      <c r="J37" s="243">
        <v>0</v>
      </c>
      <c r="K37" s="243">
        <v>0</v>
      </c>
      <c r="L37" s="243">
        <f t="shared" si="3"/>
        <v>0</v>
      </c>
      <c r="M37" s="243">
        <v>0</v>
      </c>
      <c r="N37" s="243">
        <v>0</v>
      </c>
      <c r="O37" s="243">
        <v>0</v>
      </c>
      <c r="P37" s="243">
        <f t="shared" si="4"/>
        <v>0</v>
      </c>
    </row>
    <row r="38" spans="1:16" s="27" customFormat="1" x14ac:dyDescent="0.25">
      <c r="A38" s="242">
        <v>29</v>
      </c>
      <c r="B38" s="49" t="s">
        <v>98</v>
      </c>
      <c r="C38" s="50" t="s">
        <v>99</v>
      </c>
      <c r="D38" s="243">
        <v>0</v>
      </c>
      <c r="E38" s="243">
        <v>4240</v>
      </c>
      <c r="F38" s="243">
        <v>78</v>
      </c>
      <c r="G38" s="243">
        <v>0</v>
      </c>
      <c r="H38" s="243">
        <f t="shared" si="2"/>
        <v>4318</v>
      </c>
      <c r="I38" s="243">
        <v>0</v>
      </c>
      <c r="J38" s="243">
        <v>0</v>
      </c>
      <c r="K38" s="243">
        <v>0</v>
      </c>
      <c r="L38" s="243">
        <f t="shared" si="3"/>
        <v>0</v>
      </c>
      <c r="M38" s="243">
        <v>0</v>
      </c>
      <c r="N38" s="243">
        <v>0</v>
      </c>
      <c r="O38" s="243">
        <v>0</v>
      </c>
      <c r="P38" s="243">
        <f t="shared" si="4"/>
        <v>0</v>
      </c>
    </row>
    <row r="39" spans="1:16" s="27" customFormat="1" x14ac:dyDescent="0.25">
      <c r="A39" s="242">
        <v>30</v>
      </c>
      <c r="B39" s="52" t="s">
        <v>100</v>
      </c>
      <c r="C39" s="50" t="s">
        <v>101</v>
      </c>
      <c r="D39" s="243">
        <v>0</v>
      </c>
      <c r="E39" s="243">
        <v>0</v>
      </c>
      <c r="F39" s="243">
        <v>0</v>
      </c>
      <c r="G39" s="243">
        <v>0</v>
      </c>
      <c r="H39" s="243">
        <f t="shared" si="2"/>
        <v>0</v>
      </c>
      <c r="I39" s="243">
        <v>0</v>
      </c>
      <c r="J39" s="243">
        <v>0</v>
      </c>
      <c r="K39" s="243">
        <v>0</v>
      </c>
      <c r="L39" s="243">
        <f t="shared" si="3"/>
        <v>0</v>
      </c>
      <c r="M39" s="243">
        <v>0</v>
      </c>
      <c r="N39" s="243">
        <v>0</v>
      </c>
      <c r="O39" s="243">
        <v>0</v>
      </c>
      <c r="P39" s="243">
        <f t="shared" si="4"/>
        <v>0</v>
      </c>
    </row>
    <row r="40" spans="1:16" s="245" customFormat="1" x14ac:dyDescent="0.25">
      <c r="A40" s="242">
        <v>31</v>
      </c>
      <c r="B40" s="264" t="s">
        <v>102</v>
      </c>
      <c r="C40" s="50" t="s">
        <v>103</v>
      </c>
      <c r="D40" s="243">
        <v>0</v>
      </c>
      <c r="E40" s="243">
        <v>2186</v>
      </c>
      <c r="F40" s="243">
        <v>55</v>
      </c>
      <c r="G40" s="243">
        <v>0</v>
      </c>
      <c r="H40" s="243">
        <f t="shared" si="2"/>
        <v>2241</v>
      </c>
      <c r="I40" s="243">
        <v>0</v>
      </c>
      <c r="J40" s="243">
        <v>0</v>
      </c>
      <c r="K40" s="243">
        <v>0</v>
      </c>
      <c r="L40" s="243">
        <f t="shared" si="3"/>
        <v>0</v>
      </c>
      <c r="M40" s="243">
        <v>0</v>
      </c>
      <c r="N40" s="243">
        <v>0</v>
      </c>
      <c r="O40" s="243">
        <v>0</v>
      </c>
      <c r="P40" s="243">
        <f t="shared" si="4"/>
        <v>0</v>
      </c>
    </row>
    <row r="41" spans="1:16" x14ac:dyDescent="0.25">
      <c r="A41" s="242">
        <v>32</v>
      </c>
      <c r="B41" s="52" t="s">
        <v>104</v>
      </c>
      <c r="C41" s="50" t="s">
        <v>105</v>
      </c>
      <c r="D41" s="243">
        <v>0</v>
      </c>
      <c r="E41" s="243">
        <v>0</v>
      </c>
      <c r="F41" s="243">
        <v>0</v>
      </c>
      <c r="G41" s="243">
        <v>0</v>
      </c>
      <c r="H41" s="243">
        <f t="shared" si="2"/>
        <v>0</v>
      </c>
      <c r="I41" s="243">
        <v>0</v>
      </c>
      <c r="J41" s="243">
        <v>0</v>
      </c>
      <c r="K41" s="243">
        <v>0</v>
      </c>
      <c r="L41" s="243">
        <f t="shared" si="3"/>
        <v>0</v>
      </c>
      <c r="M41" s="243">
        <v>0</v>
      </c>
      <c r="N41" s="243">
        <v>0</v>
      </c>
      <c r="O41" s="243">
        <v>0</v>
      </c>
      <c r="P41" s="243">
        <f t="shared" si="4"/>
        <v>0</v>
      </c>
    </row>
    <row r="42" spans="1:16" s="27" customFormat="1" x14ac:dyDescent="0.25">
      <c r="A42" s="242">
        <v>33</v>
      </c>
      <c r="B42" s="49" t="s">
        <v>106</v>
      </c>
      <c r="C42" s="50" t="s">
        <v>107</v>
      </c>
      <c r="D42" s="243">
        <v>0</v>
      </c>
      <c r="E42" s="243">
        <v>0</v>
      </c>
      <c r="F42" s="243">
        <v>0</v>
      </c>
      <c r="G42" s="243">
        <v>0</v>
      </c>
      <c r="H42" s="243">
        <f t="shared" si="2"/>
        <v>0</v>
      </c>
      <c r="I42" s="243">
        <v>0</v>
      </c>
      <c r="J42" s="243">
        <v>0</v>
      </c>
      <c r="K42" s="243">
        <v>0</v>
      </c>
      <c r="L42" s="243">
        <f t="shared" si="3"/>
        <v>0</v>
      </c>
      <c r="M42" s="243">
        <v>0</v>
      </c>
      <c r="N42" s="243">
        <v>0</v>
      </c>
      <c r="O42" s="243">
        <v>0</v>
      </c>
      <c r="P42" s="243">
        <f t="shared" si="4"/>
        <v>0</v>
      </c>
    </row>
    <row r="43" spans="1:16" s="27" customFormat="1" x14ac:dyDescent="0.25">
      <c r="A43" s="242">
        <v>34</v>
      </c>
      <c r="B43" s="246" t="s">
        <v>108</v>
      </c>
      <c r="C43" s="247" t="s">
        <v>109</v>
      </c>
      <c r="D43" s="243">
        <v>0</v>
      </c>
      <c r="E43" s="243">
        <v>0</v>
      </c>
      <c r="F43" s="243">
        <v>0</v>
      </c>
      <c r="G43" s="243">
        <v>0</v>
      </c>
      <c r="H43" s="243">
        <f t="shared" si="2"/>
        <v>0</v>
      </c>
      <c r="I43" s="243">
        <v>0</v>
      </c>
      <c r="J43" s="243">
        <v>0</v>
      </c>
      <c r="K43" s="243">
        <v>0</v>
      </c>
      <c r="L43" s="243">
        <f t="shared" si="3"/>
        <v>0</v>
      </c>
      <c r="M43" s="243">
        <v>0</v>
      </c>
      <c r="N43" s="243">
        <v>0</v>
      </c>
      <c r="O43" s="243">
        <v>0</v>
      </c>
      <c r="P43" s="243">
        <f t="shared" si="4"/>
        <v>0</v>
      </c>
    </row>
    <row r="44" spans="1:16" s="27" customFormat="1" x14ac:dyDescent="0.25">
      <c r="A44" s="242">
        <v>35</v>
      </c>
      <c r="B44" s="49" t="s">
        <v>110</v>
      </c>
      <c r="C44" s="50" t="s">
        <v>111</v>
      </c>
      <c r="D44" s="243">
        <v>0</v>
      </c>
      <c r="E44" s="243">
        <v>0</v>
      </c>
      <c r="F44" s="243">
        <v>0</v>
      </c>
      <c r="G44" s="243">
        <v>0</v>
      </c>
      <c r="H44" s="243">
        <f t="shared" si="2"/>
        <v>0</v>
      </c>
      <c r="I44" s="243">
        <v>0</v>
      </c>
      <c r="J44" s="243">
        <v>0</v>
      </c>
      <c r="K44" s="243">
        <v>0</v>
      </c>
      <c r="L44" s="243">
        <f t="shared" si="3"/>
        <v>0</v>
      </c>
      <c r="M44" s="243">
        <v>0</v>
      </c>
      <c r="N44" s="243">
        <v>0</v>
      </c>
      <c r="O44" s="243">
        <v>0</v>
      </c>
      <c r="P44" s="243">
        <f t="shared" si="4"/>
        <v>0</v>
      </c>
    </row>
    <row r="45" spans="1:16" x14ac:dyDescent="0.25">
      <c r="A45" s="242">
        <v>36</v>
      </c>
      <c r="B45" s="49" t="s">
        <v>112</v>
      </c>
      <c r="C45" s="50" t="s">
        <v>113</v>
      </c>
      <c r="D45" s="243">
        <v>0</v>
      </c>
      <c r="E45" s="243">
        <v>821</v>
      </c>
      <c r="F45" s="243">
        <v>0</v>
      </c>
      <c r="G45" s="243">
        <v>0</v>
      </c>
      <c r="H45" s="243">
        <f t="shared" si="2"/>
        <v>821</v>
      </c>
      <c r="I45" s="243">
        <v>0</v>
      </c>
      <c r="J45" s="243">
        <v>0</v>
      </c>
      <c r="K45" s="243">
        <v>0</v>
      </c>
      <c r="L45" s="243">
        <f t="shared" si="3"/>
        <v>0</v>
      </c>
      <c r="M45" s="243">
        <v>0</v>
      </c>
      <c r="N45" s="243">
        <v>0</v>
      </c>
      <c r="O45" s="243">
        <v>0</v>
      </c>
      <c r="P45" s="243">
        <f t="shared" si="4"/>
        <v>0</v>
      </c>
    </row>
    <row r="46" spans="1:16" s="27" customFormat="1" x14ac:dyDescent="0.25">
      <c r="A46" s="242">
        <v>37</v>
      </c>
      <c r="B46" s="264" t="s">
        <v>114</v>
      </c>
      <c r="C46" s="50" t="s">
        <v>115</v>
      </c>
      <c r="D46" s="243">
        <v>0</v>
      </c>
      <c r="E46" s="243">
        <v>0</v>
      </c>
      <c r="F46" s="243">
        <v>0</v>
      </c>
      <c r="G46" s="243">
        <v>0</v>
      </c>
      <c r="H46" s="243">
        <f t="shared" si="2"/>
        <v>0</v>
      </c>
      <c r="I46" s="243">
        <v>0</v>
      </c>
      <c r="J46" s="243">
        <v>0</v>
      </c>
      <c r="K46" s="243">
        <v>0</v>
      </c>
      <c r="L46" s="243">
        <f t="shared" si="3"/>
        <v>0</v>
      </c>
      <c r="M46" s="243">
        <v>0</v>
      </c>
      <c r="N46" s="243">
        <v>0</v>
      </c>
      <c r="O46" s="243">
        <v>0</v>
      </c>
      <c r="P46" s="243">
        <f t="shared" si="4"/>
        <v>0</v>
      </c>
    </row>
    <row r="47" spans="1:16" s="27" customFormat="1" x14ac:dyDescent="0.25">
      <c r="A47" s="242">
        <v>38</v>
      </c>
      <c r="B47" s="52" t="s">
        <v>116</v>
      </c>
      <c r="C47" s="50" t="s">
        <v>117</v>
      </c>
      <c r="D47" s="243">
        <v>0</v>
      </c>
      <c r="E47" s="243">
        <v>541</v>
      </c>
      <c r="F47" s="243">
        <v>10</v>
      </c>
      <c r="G47" s="243">
        <v>87</v>
      </c>
      <c r="H47" s="243">
        <f t="shared" si="2"/>
        <v>638</v>
      </c>
      <c r="I47" s="243">
        <v>245</v>
      </c>
      <c r="J47" s="243">
        <v>0</v>
      </c>
      <c r="K47" s="243">
        <v>0</v>
      </c>
      <c r="L47" s="243">
        <f t="shared" si="3"/>
        <v>245</v>
      </c>
      <c r="M47" s="243">
        <v>0</v>
      </c>
      <c r="N47" s="243">
        <v>0</v>
      </c>
      <c r="O47" s="243">
        <v>0</v>
      </c>
      <c r="P47" s="243">
        <f t="shared" si="4"/>
        <v>0</v>
      </c>
    </row>
    <row r="48" spans="1:16" s="27" customFormat="1" x14ac:dyDescent="0.25">
      <c r="A48" s="242">
        <v>39</v>
      </c>
      <c r="B48" s="264" t="s">
        <v>28</v>
      </c>
      <c r="C48" s="50" t="s">
        <v>29</v>
      </c>
      <c r="D48" s="243">
        <v>0</v>
      </c>
      <c r="E48" s="243">
        <v>4960</v>
      </c>
      <c r="F48" s="243">
        <v>90</v>
      </c>
      <c r="G48" s="243">
        <v>0</v>
      </c>
      <c r="H48" s="243">
        <f t="shared" si="2"/>
        <v>5050</v>
      </c>
      <c r="I48" s="243">
        <v>3239</v>
      </c>
      <c r="J48" s="243">
        <v>80</v>
      </c>
      <c r="K48" s="243">
        <v>30</v>
      </c>
      <c r="L48" s="243">
        <f t="shared" si="3"/>
        <v>3349</v>
      </c>
      <c r="M48" s="243">
        <v>0</v>
      </c>
      <c r="N48" s="243">
        <v>0</v>
      </c>
      <c r="O48" s="243">
        <v>0</v>
      </c>
      <c r="P48" s="243">
        <f t="shared" si="4"/>
        <v>0</v>
      </c>
    </row>
    <row r="49" spans="1:16" s="27" customFormat="1" x14ac:dyDescent="0.25">
      <c r="A49" s="242">
        <v>40</v>
      </c>
      <c r="B49" s="49" t="s">
        <v>118</v>
      </c>
      <c r="C49" s="50" t="s">
        <v>119</v>
      </c>
      <c r="D49" s="243">
        <v>0</v>
      </c>
      <c r="E49" s="243">
        <v>0</v>
      </c>
      <c r="F49" s="243">
        <v>0</v>
      </c>
      <c r="G49" s="243">
        <v>0</v>
      </c>
      <c r="H49" s="243">
        <f t="shared" si="2"/>
        <v>0</v>
      </c>
      <c r="I49" s="243">
        <v>0</v>
      </c>
      <c r="J49" s="243">
        <v>0</v>
      </c>
      <c r="K49" s="243">
        <v>0</v>
      </c>
      <c r="L49" s="243">
        <f t="shared" si="3"/>
        <v>0</v>
      </c>
      <c r="M49" s="243">
        <v>0</v>
      </c>
      <c r="N49" s="243">
        <v>0</v>
      </c>
      <c r="O49" s="243">
        <v>0</v>
      </c>
      <c r="P49" s="243">
        <f t="shared" si="4"/>
        <v>0</v>
      </c>
    </row>
    <row r="50" spans="1:16" s="27" customFormat="1" x14ac:dyDescent="0.25">
      <c r="A50" s="242">
        <v>41</v>
      </c>
      <c r="B50" s="49" t="s">
        <v>120</v>
      </c>
      <c r="C50" s="50" t="s">
        <v>121</v>
      </c>
      <c r="D50" s="243">
        <v>0</v>
      </c>
      <c r="E50" s="243">
        <v>129</v>
      </c>
      <c r="F50" s="243">
        <v>2</v>
      </c>
      <c r="G50" s="243">
        <v>0</v>
      </c>
      <c r="H50" s="243">
        <f t="shared" si="2"/>
        <v>131</v>
      </c>
      <c r="I50" s="243">
        <v>0</v>
      </c>
      <c r="J50" s="243">
        <v>0</v>
      </c>
      <c r="K50" s="243">
        <v>0</v>
      </c>
      <c r="L50" s="243">
        <f t="shared" si="3"/>
        <v>0</v>
      </c>
      <c r="M50" s="243">
        <v>0</v>
      </c>
      <c r="N50" s="243">
        <v>0</v>
      </c>
      <c r="O50" s="243">
        <v>0</v>
      </c>
      <c r="P50" s="243">
        <f t="shared" si="4"/>
        <v>0</v>
      </c>
    </row>
    <row r="51" spans="1:16" s="245" customFormat="1" x14ac:dyDescent="0.25">
      <c r="A51" s="242">
        <v>42</v>
      </c>
      <c r="B51" s="264" t="s">
        <v>122</v>
      </c>
      <c r="C51" s="50" t="s">
        <v>123</v>
      </c>
      <c r="D51" s="243">
        <v>0</v>
      </c>
      <c r="E51" s="243">
        <v>0</v>
      </c>
      <c r="F51" s="243">
        <v>0</v>
      </c>
      <c r="G51" s="243">
        <v>0</v>
      </c>
      <c r="H51" s="243">
        <f t="shared" si="2"/>
        <v>0</v>
      </c>
      <c r="I51" s="243">
        <v>0</v>
      </c>
      <c r="J51" s="243">
        <v>0</v>
      </c>
      <c r="K51" s="243">
        <v>0</v>
      </c>
      <c r="L51" s="243">
        <f t="shared" si="3"/>
        <v>0</v>
      </c>
      <c r="M51" s="243">
        <v>0</v>
      </c>
      <c r="N51" s="243">
        <v>0</v>
      </c>
      <c r="O51" s="243">
        <v>0</v>
      </c>
      <c r="P51" s="243">
        <f t="shared" si="4"/>
        <v>0</v>
      </c>
    </row>
    <row r="52" spans="1:16" s="27" customFormat="1" x14ac:dyDescent="0.25">
      <c r="A52" s="242">
        <v>43</v>
      </c>
      <c r="B52" s="52" t="s">
        <v>124</v>
      </c>
      <c r="C52" s="50" t="s">
        <v>125</v>
      </c>
      <c r="D52" s="243">
        <v>0</v>
      </c>
      <c r="E52" s="243">
        <v>681</v>
      </c>
      <c r="F52" s="243">
        <v>12</v>
      </c>
      <c r="G52" s="243">
        <v>110</v>
      </c>
      <c r="H52" s="243">
        <f t="shared" si="2"/>
        <v>803</v>
      </c>
      <c r="I52" s="243">
        <v>0</v>
      </c>
      <c r="J52" s="243">
        <v>0</v>
      </c>
      <c r="K52" s="243">
        <v>0</v>
      </c>
      <c r="L52" s="243">
        <f t="shared" si="3"/>
        <v>0</v>
      </c>
      <c r="M52" s="243">
        <v>0</v>
      </c>
      <c r="N52" s="243">
        <v>0</v>
      </c>
      <c r="O52" s="243">
        <v>0</v>
      </c>
      <c r="P52" s="243">
        <f t="shared" si="4"/>
        <v>0</v>
      </c>
    </row>
    <row r="53" spans="1:16" s="27" customFormat="1" x14ac:dyDescent="0.25">
      <c r="A53" s="242">
        <v>44</v>
      </c>
      <c r="B53" s="264" t="s">
        <v>126</v>
      </c>
      <c r="C53" s="50" t="s">
        <v>127</v>
      </c>
      <c r="D53" s="243">
        <v>0</v>
      </c>
      <c r="E53" s="243">
        <v>0</v>
      </c>
      <c r="F53" s="243">
        <v>0</v>
      </c>
      <c r="G53" s="243">
        <v>0</v>
      </c>
      <c r="H53" s="243">
        <f t="shared" si="2"/>
        <v>0</v>
      </c>
      <c r="I53" s="243">
        <v>0</v>
      </c>
      <c r="J53" s="243">
        <v>0</v>
      </c>
      <c r="K53" s="243">
        <v>0</v>
      </c>
      <c r="L53" s="243">
        <f t="shared" si="3"/>
        <v>0</v>
      </c>
      <c r="M53" s="243">
        <v>0</v>
      </c>
      <c r="N53" s="243">
        <v>0</v>
      </c>
      <c r="O53" s="243">
        <v>0</v>
      </c>
      <c r="P53" s="243">
        <f t="shared" si="4"/>
        <v>0</v>
      </c>
    </row>
    <row r="54" spans="1:16" s="27" customFormat="1" x14ac:dyDescent="0.25">
      <c r="A54" s="242">
        <v>45</v>
      </c>
      <c r="B54" s="52" t="s">
        <v>128</v>
      </c>
      <c r="C54" s="50" t="s">
        <v>129</v>
      </c>
      <c r="D54" s="243">
        <v>0</v>
      </c>
      <c r="E54" s="243">
        <v>1913</v>
      </c>
      <c r="F54" s="243">
        <v>0</v>
      </c>
      <c r="G54" s="243">
        <v>0</v>
      </c>
      <c r="H54" s="243">
        <f t="shared" si="2"/>
        <v>1913</v>
      </c>
      <c r="I54" s="243">
        <v>0</v>
      </c>
      <c r="J54" s="243">
        <v>0</v>
      </c>
      <c r="K54" s="243">
        <v>0</v>
      </c>
      <c r="L54" s="243">
        <f t="shared" si="3"/>
        <v>0</v>
      </c>
      <c r="M54" s="243">
        <v>0</v>
      </c>
      <c r="N54" s="243">
        <v>0</v>
      </c>
      <c r="O54" s="243">
        <v>0</v>
      </c>
      <c r="P54" s="243">
        <f t="shared" si="4"/>
        <v>0</v>
      </c>
    </row>
    <row r="55" spans="1:16" s="27" customFormat="1" x14ac:dyDescent="0.25">
      <c r="A55" s="242">
        <v>46</v>
      </c>
      <c r="B55" s="264" t="s">
        <v>130</v>
      </c>
      <c r="C55" s="50" t="s">
        <v>131</v>
      </c>
      <c r="D55" s="243">
        <v>0</v>
      </c>
      <c r="E55" s="243">
        <v>0</v>
      </c>
      <c r="F55" s="243">
        <v>0</v>
      </c>
      <c r="G55" s="243">
        <v>0</v>
      </c>
      <c r="H55" s="243">
        <f t="shared" si="2"/>
        <v>0</v>
      </c>
      <c r="I55" s="243">
        <v>0</v>
      </c>
      <c r="J55" s="243">
        <v>0</v>
      </c>
      <c r="K55" s="243">
        <v>0</v>
      </c>
      <c r="L55" s="243">
        <f t="shared" si="3"/>
        <v>0</v>
      </c>
      <c r="M55" s="243">
        <v>0</v>
      </c>
      <c r="N55" s="243">
        <v>0</v>
      </c>
      <c r="O55" s="243">
        <v>0</v>
      </c>
      <c r="P55" s="243">
        <f t="shared" si="4"/>
        <v>0</v>
      </c>
    </row>
    <row r="56" spans="1:16" s="27" customFormat="1" x14ac:dyDescent="0.25">
      <c r="A56" s="242">
        <v>47</v>
      </c>
      <c r="B56" s="52" t="s">
        <v>132</v>
      </c>
      <c r="C56" s="50" t="s">
        <v>133</v>
      </c>
      <c r="D56" s="243">
        <v>0</v>
      </c>
      <c r="E56" s="243">
        <v>0</v>
      </c>
      <c r="F56" s="243">
        <v>0</v>
      </c>
      <c r="G56" s="243">
        <v>0</v>
      </c>
      <c r="H56" s="243">
        <f t="shared" si="2"/>
        <v>0</v>
      </c>
      <c r="I56" s="243">
        <v>0</v>
      </c>
      <c r="J56" s="243">
        <v>0</v>
      </c>
      <c r="K56" s="243">
        <v>0</v>
      </c>
      <c r="L56" s="243">
        <f t="shared" si="3"/>
        <v>0</v>
      </c>
      <c r="M56" s="243">
        <v>0</v>
      </c>
      <c r="N56" s="243">
        <v>0</v>
      </c>
      <c r="O56" s="243">
        <v>0</v>
      </c>
      <c r="P56" s="243">
        <f t="shared" si="4"/>
        <v>0</v>
      </c>
    </row>
    <row r="57" spans="1:16" s="27" customFormat="1" x14ac:dyDescent="0.25">
      <c r="A57" s="242">
        <v>48</v>
      </c>
      <c r="B57" s="264" t="s">
        <v>134</v>
      </c>
      <c r="C57" s="50" t="s">
        <v>135</v>
      </c>
      <c r="D57" s="243">
        <v>0</v>
      </c>
      <c r="E57" s="243">
        <v>0</v>
      </c>
      <c r="F57" s="243">
        <v>0</v>
      </c>
      <c r="G57" s="243">
        <v>0</v>
      </c>
      <c r="H57" s="243">
        <f t="shared" si="2"/>
        <v>0</v>
      </c>
      <c r="I57" s="243">
        <v>0</v>
      </c>
      <c r="J57" s="243">
        <v>0</v>
      </c>
      <c r="K57" s="243">
        <v>0</v>
      </c>
      <c r="L57" s="243">
        <f t="shared" si="3"/>
        <v>0</v>
      </c>
      <c r="M57" s="243">
        <v>0</v>
      </c>
      <c r="N57" s="243">
        <v>0</v>
      </c>
      <c r="O57" s="243">
        <v>0</v>
      </c>
      <c r="P57" s="243">
        <f t="shared" si="4"/>
        <v>0</v>
      </c>
    </row>
    <row r="58" spans="1:16" s="27" customFormat="1" x14ac:dyDescent="0.25">
      <c r="A58" s="242">
        <v>49</v>
      </c>
      <c r="B58" s="264" t="s">
        <v>136</v>
      </c>
      <c r="C58" s="50" t="s">
        <v>137</v>
      </c>
      <c r="D58" s="243">
        <v>0</v>
      </c>
      <c r="E58" s="243">
        <v>4482</v>
      </c>
      <c r="F58" s="243">
        <v>0</v>
      </c>
      <c r="G58" s="243">
        <v>0</v>
      </c>
      <c r="H58" s="243">
        <f t="shared" si="2"/>
        <v>4482</v>
      </c>
      <c r="I58" s="243">
        <v>0</v>
      </c>
      <c r="J58" s="243">
        <v>0</v>
      </c>
      <c r="K58" s="243">
        <v>0</v>
      </c>
      <c r="L58" s="243">
        <f t="shared" si="3"/>
        <v>0</v>
      </c>
      <c r="M58" s="243">
        <v>0</v>
      </c>
      <c r="N58" s="243">
        <v>0</v>
      </c>
      <c r="O58" s="243">
        <v>0</v>
      </c>
      <c r="P58" s="243">
        <f t="shared" si="4"/>
        <v>0</v>
      </c>
    </row>
    <row r="59" spans="1:16" s="27" customFormat="1" x14ac:dyDescent="0.25">
      <c r="A59" s="242">
        <v>50</v>
      </c>
      <c r="B59" s="264" t="s">
        <v>138</v>
      </c>
      <c r="C59" s="50" t="s">
        <v>139</v>
      </c>
      <c r="D59" s="243">
        <v>0</v>
      </c>
      <c r="E59" s="243">
        <v>0</v>
      </c>
      <c r="F59" s="243">
        <v>0</v>
      </c>
      <c r="G59" s="243">
        <v>0</v>
      </c>
      <c r="H59" s="243">
        <f t="shared" si="2"/>
        <v>0</v>
      </c>
      <c r="I59" s="243">
        <v>0</v>
      </c>
      <c r="J59" s="243">
        <v>0</v>
      </c>
      <c r="K59" s="243">
        <v>0</v>
      </c>
      <c r="L59" s="243">
        <f t="shared" si="3"/>
        <v>0</v>
      </c>
      <c r="M59" s="243">
        <v>0</v>
      </c>
      <c r="N59" s="243">
        <v>0</v>
      </c>
      <c r="O59" s="243">
        <v>0</v>
      </c>
      <c r="P59" s="243">
        <f t="shared" si="4"/>
        <v>0</v>
      </c>
    </row>
    <row r="60" spans="1:16" s="27" customFormat="1" x14ac:dyDescent="0.25">
      <c r="A60" s="242">
        <v>51</v>
      </c>
      <c r="B60" s="264" t="s">
        <v>140</v>
      </c>
      <c r="C60" s="50" t="s">
        <v>141</v>
      </c>
      <c r="D60" s="243">
        <v>0</v>
      </c>
      <c r="E60" s="243">
        <v>0</v>
      </c>
      <c r="F60" s="243">
        <v>0</v>
      </c>
      <c r="G60" s="243">
        <v>0</v>
      </c>
      <c r="H60" s="243">
        <f t="shared" si="2"/>
        <v>0</v>
      </c>
      <c r="I60" s="243">
        <v>0</v>
      </c>
      <c r="J60" s="243">
        <v>0</v>
      </c>
      <c r="K60" s="243">
        <v>0</v>
      </c>
      <c r="L60" s="243">
        <f t="shared" si="3"/>
        <v>0</v>
      </c>
      <c r="M60" s="243">
        <v>0</v>
      </c>
      <c r="N60" s="243">
        <v>0</v>
      </c>
      <c r="O60" s="243">
        <v>0</v>
      </c>
      <c r="P60" s="243">
        <f t="shared" si="4"/>
        <v>0</v>
      </c>
    </row>
    <row r="61" spans="1:16" s="27" customFormat="1" x14ac:dyDescent="0.25">
      <c r="A61" s="242">
        <v>52</v>
      </c>
      <c r="B61" s="52" t="s">
        <v>142</v>
      </c>
      <c r="C61" s="50" t="s">
        <v>143</v>
      </c>
      <c r="D61" s="243">
        <v>0</v>
      </c>
      <c r="E61" s="243">
        <v>553</v>
      </c>
      <c r="F61" s="243">
        <v>10</v>
      </c>
      <c r="G61" s="243">
        <v>0</v>
      </c>
      <c r="H61" s="243">
        <f t="shared" si="2"/>
        <v>563</v>
      </c>
      <c r="I61" s="243">
        <v>0</v>
      </c>
      <c r="J61" s="243">
        <v>0</v>
      </c>
      <c r="K61" s="243">
        <v>0</v>
      </c>
      <c r="L61" s="243">
        <f t="shared" si="3"/>
        <v>0</v>
      </c>
      <c r="M61" s="243">
        <v>0</v>
      </c>
      <c r="N61" s="243">
        <v>0</v>
      </c>
      <c r="O61" s="243">
        <v>0</v>
      </c>
      <c r="P61" s="243">
        <f t="shared" si="4"/>
        <v>0</v>
      </c>
    </row>
    <row r="62" spans="1:16" s="27" customFormat="1" x14ac:dyDescent="0.25">
      <c r="A62" s="242">
        <v>53</v>
      </c>
      <c r="B62" s="264" t="s">
        <v>144</v>
      </c>
      <c r="C62" s="50" t="s">
        <v>145</v>
      </c>
      <c r="D62" s="243">
        <v>0</v>
      </c>
      <c r="E62" s="243">
        <v>0</v>
      </c>
      <c r="F62" s="243">
        <v>0</v>
      </c>
      <c r="G62" s="243">
        <v>0</v>
      </c>
      <c r="H62" s="243">
        <f t="shared" si="2"/>
        <v>0</v>
      </c>
      <c r="I62" s="243">
        <v>0</v>
      </c>
      <c r="J62" s="243">
        <v>0</v>
      </c>
      <c r="K62" s="243">
        <v>0</v>
      </c>
      <c r="L62" s="243">
        <f t="shared" si="3"/>
        <v>0</v>
      </c>
      <c r="M62" s="243">
        <v>0</v>
      </c>
      <c r="N62" s="243">
        <v>0</v>
      </c>
      <c r="O62" s="243">
        <v>0</v>
      </c>
      <c r="P62" s="243">
        <f t="shared" si="4"/>
        <v>0</v>
      </c>
    </row>
    <row r="63" spans="1:16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v>0</v>
      </c>
      <c r="G63" s="243">
        <v>0</v>
      </c>
      <c r="H63" s="243">
        <f t="shared" si="2"/>
        <v>0</v>
      </c>
      <c r="I63" s="243">
        <v>0</v>
      </c>
      <c r="J63" s="243">
        <v>0</v>
      </c>
      <c r="K63" s="243">
        <v>0</v>
      </c>
      <c r="L63" s="243">
        <f t="shared" si="3"/>
        <v>0</v>
      </c>
      <c r="M63" s="243">
        <v>0</v>
      </c>
      <c r="N63" s="243">
        <v>0</v>
      </c>
      <c r="O63" s="243">
        <v>0</v>
      </c>
      <c r="P63" s="243">
        <f t="shared" si="4"/>
        <v>0</v>
      </c>
    </row>
    <row r="64" spans="1:16" s="27" customFormat="1" x14ac:dyDescent="0.25">
      <c r="A64" s="242">
        <v>55</v>
      </c>
      <c r="B64" s="264" t="s">
        <v>148</v>
      </c>
      <c r="C64" s="50" t="s">
        <v>149</v>
      </c>
      <c r="D64" s="243">
        <v>0</v>
      </c>
      <c r="E64" s="243">
        <v>0</v>
      </c>
      <c r="F64" s="243">
        <v>0</v>
      </c>
      <c r="G64" s="243">
        <v>0</v>
      </c>
      <c r="H64" s="243">
        <f t="shared" si="2"/>
        <v>0</v>
      </c>
      <c r="I64" s="243">
        <v>0</v>
      </c>
      <c r="J64" s="243">
        <v>0</v>
      </c>
      <c r="K64" s="243">
        <v>0</v>
      </c>
      <c r="L64" s="243">
        <f t="shared" si="3"/>
        <v>0</v>
      </c>
      <c r="M64" s="243">
        <v>0</v>
      </c>
      <c r="N64" s="243">
        <v>0</v>
      </c>
      <c r="O64" s="243">
        <v>0</v>
      </c>
      <c r="P64" s="243">
        <f t="shared" si="4"/>
        <v>0</v>
      </c>
    </row>
    <row r="65" spans="1:16" s="27" customFormat="1" x14ac:dyDescent="0.25">
      <c r="A65" s="242">
        <v>56</v>
      </c>
      <c r="B65" s="52" t="s">
        <v>150</v>
      </c>
      <c r="C65" s="50" t="s">
        <v>151</v>
      </c>
      <c r="D65" s="243">
        <v>0</v>
      </c>
      <c r="E65" s="243">
        <v>0</v>
      </c>
      <c r="F65" s="243">
        <v>0</v>
      </c>
      <c r="G65" s="243">
        <v>0</v>
      </c>
      <c r="H65" s="243">
        <f t="shared" si="2"/>
        <v>0</v>
      </c>
      <c r="I65" s="243">
        <v>0</v>
      </c>
      <c r="J65" s="243">
        <v>0</v>
      </c>
      <c r="K65" s="243">
        <v>0</v>
      </c>
      <c r="L65" s="243">
        <f t="shared" si="3"/>
        <v>0</v>
      </c>
      <c r="M65" s="243">
        <v>0</v>
      </c>
      <c r="N65" s="243">
        <v>0</v>
      </c>
      <c r="O65" s="243">
        <v>0</v>
      </c>
      <c r="P65" s="243">
        <f t="shared" si="4"/>
        <v>0</v>
      </c>
    </row>
    <row r="66" spans="1:16" s="27" customFormat="1" x14ac:dyDescent="0.25">
      <c r="A66" s="242">
        <v>57</v>
      </c>
      <c r="B66" s="49" t="s">
        <v>152</v>
      </c>
      <c r="C66" s="50" t="s">
        <v>557</v>
      </c>
      <c r="D66" s="243">
        <v>0</v>
      </c>
      <c r="E66" s="243">
        <v>0</v>
      </c>
      <c r="F66" s="243">
        <v>0</v>
      </c>
      <c r="G66" s="243">
        <v>0</v>
      </c>
      <c r="H66" s="243">
        <f t="shared" si="2"/>
        <v>0</v>
      </c>
      <c r="I66" s="243">
        <v>0</v>
      </c>
      <c r="J66" s="243">
        <v>0</v>
      </c>
      <c r="K66" s="243">
        <v>0</v>
      </c>
      <c r="L66" s="243">
        <f t="shared" si="3"/>
        <v>0</v>
      </c>
      <c r="M66" s="243">
        <v>0</v>
      </c>
      <c r="N66" s="243">
        <v>0</v>
      </c>
      <c r="O66" s="243">
        <v>0</v>
      </c>
      <c r="P66" s="243">
        <f t="shared" si="4"/>
        <v>0</v>
      </c>
    </row>
    <row r="67" spans="1:16" s="27" customFormat="1" x14ac:dyDescent="0.25">
      <c r="A67" s="242">
        <v>58</v>
      </c>
      <c r="B67" s="52" t="s">
        <v>154</v>
      </c>
      <c r="C67" s="50" t="s">
        <v>155</v>
      </c>
      <c r="D67" s="243">
        <v>0</v>
      </c>
      <c r="E67" s="243">
        <v>0</v>
      </c>
      <c r="F67" s="243">
        <v>0</v>
      </c>
      <c r="G67" s="243">
        <v>0</v>
      </c>
      <c r="H67" s="243">
        <f t="shared" si="2"/>
        <v>0</v>
      </c>
      <c r="I67" s="243">
        <v>0</v>
      </c>
      <c r="J67" s="243">
        <v>0</v>
      </c>
      <c r="K67" s="243">
        <v>0</v>
      </c>
      <c r="L67" s="243">
        <f t="shared" si="3"/>
        <v>0</v>
      </c>
      <c r="M67" s="243">
        <v>0</v>
      </c>
      <c r="N67" s="243">
        <v>0</v>
      </c>
      <c r="O67" s="243">
        <v>0</v>
      </c>
      <c r="P67" s="243">
        <f t="shared" si="4"/>
        <v>0</v>
      </c>
    </row>
    <row r="68" spans="1:16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v>0</v>
      </c>
      <c r="G68" s="243">
        <v>0</v>
      </c>
      <c r="H68" s="243">
        <f t="shared" si="2"/>
        <v>0</v>
      </c>
      <c r="I68" s="243">
        <v>0</v>
      </c>
      <c r="J68" s="243">
        <v>0</v>
      </c>
      <c r="K68" s="243">
        <v>0</v>
      </c>
      <c r="L68" s="243">
        <f t="shared" si="3"/>
        <v>0</v>
      </c>
      <c r="M68" s="243">
        <v>0</v>
      </c>
      <c r="N68" s="243">
        <v>0</v>
      </c>
      <c r="O68" s="243">
        <v>0</v>
      </c>
      <c r="P68" s="243">
        <f t="shared" si="4"/>
        <v>0</v>
      </c>
    </row>
    <row r="69" spans="1:16" s="27" customFormat="1" ht="24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v>0</v>
      </c>
      <c r="G69" s="243">
        <v>0</v>
      </c>
      <c r="H69" s="243">
        <f t="shared" si="2"/>
        <v>0</v>
      </c>
      <c r="I69" s="243">
        <v>0</v>
      </c>
      <c r="J69" s="243">
        <v>0</v>
      </c>
      <c r="K69" s="243">
        <v>0</v>
      </c>
      <c r="L69" s="243">
        <f t="shared" si="3"/>
        <v>0</v>
      </c>
      <c r="M69" s="243">
        <v>0</v>
      </c>
      <c r="N69" s="243">
        <v>0</v>
      </c>
      <c r="O69" s="243">
        <v>0</v>
      </c>
      <c r="P69" s="243">
        <f t="shared" si="4"/>
        <v>0</v>
      </c>
    </row>
    <row r="70" spans="1:16" s="27" customFormat="1" ht="24" x14ac:dyDescent="0.25">
      <c r="A70" s="242">
        <v>61</v>
      </c>
      <c r="B70" s="49" t="s">
        <v>160</v>
      </c>
      <c r="C70" s="50" t="s">
        <v>161</v>
      </c>
      <c r="D70" s="243">
        <v>0</v>
      </c>
      <c r="E70" s="243">
        <v>0</v>
      </c>
      <c r="F70" s="243">
        <v>0</v>
      </c>
      <c r="G70" s="243">
        <v>0</v>
      </c>
      <c r="H70" s="243">
        <f t="shared" si="2"/>
        <v>0</v>
      </c>
      <c r="I70" s="243">
        <v>0</v>
      </c>
      <c r="J70" s="243">
        <v>0</v>
      </c>
      <c r="K70" s="243">
        <v>0</v>
      </c>
      <c r="L70" s="243">
        <f t="shared" si="3"/>
        <v>0</v>
      </c>
      <c r="M70" s="243">
        <v>0</v>
      </c>
      <c r="N70" s="243">
        <v>0</v>
      </c>
      <c r="O70" s="243">
        <v>0</v>
      </c>
      <c r="P70" s="243">
        <f t="shared" si="4"/>
        <v>0</v>
      </c>
    </row>
    <row r="71" spans="1:16" s="27" customFormat="1" x14ac:dyDescent="0.25">
      <c r="A71" s="242">
        <v>62</v>
      </c>
      <c r="B71" s="52" t="s">
        <v>162</v>
      </c>
      <c r="C71" s="50" t="s">
        <v>163</v>
      </c>
      <c r="D71" s="243">
        <v>0</v>
      </c>
      <c r="E71" s="243">
        <v>0</v>
      </c>
      <c r="F71" s="243">
        <v>0</v>
      </c>
      <c r="G71" s="243">
        <v>0</v>
      </c>
      <c r="H71" s="243">
        <f t="shared" si="2"/>
        <v>0</v>
      </c>
      <c r="I71" s="243">
        <v>0</v>
      </c>
      <c r="J71" s="243">
        <v>0</v>
      </c>
      <c r="K71" s="243">
        <v>0</v>
      </c>
      <c r="L71" s="243">
        <f t="shared" si="3"/>
        <v>0</v>
      </c>
      <c r="M71" s="243">
        <v>0</v>
      </c>
      <c r="N71" s="243">
        <v>0</v>
      </c>
      <c r="O71" s="243">
        <v>0</v>
      </c>
      <c r="P71" s="243">
        <f t="shared" si="4"/>
        <v>0</v>
      </c>
    </row>
    <row r="72" spans="1:16" s="27" customFormat="1" x14ac:dyDescent="0.25">
      <c r="A72" s="242">
        <v>63</v>
      </c>
      <c r="B72" s="52" t="s">
        <v>164</v>
      </c>
      <c r="C72" s="50" t="s">
        <v>165</v>
      </c>
      <c r="D72" s="243">
        <v>0</v>
      </c>
      <c r="E72" s="243">
        <v>1694</v>
      </c>
      <c r="F72" s="243">
        <v>0</v>
      </c>
      <c r="G72" s="243">
        <v>0</v>
      </c>
      <c r="H72" s="243">
        <f t="shared" si="2"/>
        <v>1694</v>
      </c>
      <c r="I72" s="243">
        <v>0</v>
      </c>
      <c r="J72" s="243">
        <v>0</v>
      </c>
      <c r="K72" s="243">
        <v>0</v>
      </c>
      <c r="L72" s="243">
        <f t="shared" si="3"/>
        <v>0</v>
      </c>
      <c r="M72" s="243">
        <v>0</v>
      </c>
      <c r="N72" s="243">
        <v>0</v>
      </c>
      <c r="O72" s="243">
        <v>0</v>
      </c>
      <c r="P72" s="243">
        <f t="shared" si="4"/>
        <v>0</v>
      </c>
    </row>
    <row r="73" spans="1:16" s="27" customFormat="1" x14ac:dyDescent="0.25">
      <c r="A73" s="242">
        <v>64</v>
      </c>
      <c r="B73" s="52" t="s">
        <v>166</v>
      </c>
      <c r="C73" s="50" t="s">
        <v>167</v>
      </c>
      <c r="D73" s="243">
        <v>0</v>
      </c>
      <c r="E73" s="243">
        <v>0</v>
      </c>
      <c r="F73" s="243">
        <v>0</v>
      </c>
      <c r="G73" s="243">
        <v>0</v>
      </c>
      <c r="H73" s="243">
        <f t="shared" si="2"/>
        <v>0</v>
      </c>
      <c r="I73" s="243">
        <v>0</v>
      </c>
      <c r="J73" s="243">
        <v>0</v>
      </c>
      <c r="K73" s="243">
        <v>0</v>
      </c>
      <c r="L73" s="243">
        <f t="shared" si="3"/>
        <v>0</v>
      </c>
      <c r="M73" s="243">
        <v>0</v>
      </c>
      <c r="N73" s="243">
        <v>0</v>
      </c>
      <c r="O73" s="243">
        <v>0</v>
      </c>
      <c r="P73" s="243">
        <f t="shared" si="4"/>
        <v>0</v>
      </c>
    </row>
    <row r="74" spans="1:16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v>0</v>
      </c>
      <c r="G74" s="243">
        <v>0</v>
      </c>
      <c r="H74" s="243">
        <f t="shared" ref="H74:H137" si="5">D74+E74+F74+G74</f>
        <v>0</v>
      </c>
      <c r="I74" s="243">
        <v>0</v>
      </c>
      <c r="J74" s="243">
        <v>0</v>
      </c>
      <c r="K74" s="243">
        <v>0</v>
      </c>
      <c r="L74" s="243">
        <f t="shared" si="3"/>
        <v>0</v>
      </c>
      <c r="M74" s="243">
        <v>0</v>
      </c>
      <c r="N74" s="243">
        <v>0</v>
      </c>
      <c r="O74" s="243">
        <v>0</v>
      </c>
      <c r="P74" s="243">
        <f t="shared" si="4"/>
        <v>0</v>
      </c>
    </row>
    <row r="75" spans="1:16" s="27" customFormat="1" x14ac:dyDescent="0.25">
      <c r="A75" s="242">
        <v>66</v>
      </c>
      <c r="B75" s="49" t="s">
        <v>170</v>
      </c>
      <c r="C75" s="50" t="s">
        <v>171</v>
      </c>
      <c r="D75" s="243">
        <v>0</v>
      </c>
      <c r="E75" s="243">
        <v>0</v>
      </c>
      <c r="F75" s="243">
        <v>0</v>
      </c>
      <c r="G75" s="243">
        <v>0</v>
      </c>
      <c r="H75" s="243">
        <f t="shared" si="5"/>
        <v>0</v>
      </c>
      <c r="I75" s="243">
        <v>0</v>
      </c>
      <c r="J75" s="243">
        <v>0</v>
      </c>
      <c r="K75" s="243">
        <v>0</v>
      </c>
      <c r="L75" s="243">
        <f t="shared" ref="L75:L138" si="6">I75+J75+K75</f>
        <v>0</v>
      </c>
      <c r="M75" s="243">
        <v>0</v>
      </c>
      <c r="N75" s="243">
        <v>0</v>
      </c>
      <c r="O75" s="243">
        <v>0</v>
      </c>
      <c r="P75" s="243">
        <f t="shared" ref="P75:P138" si="7">N75+O75</f>
        <v>0</v>
      </c>
    </row>
    <row r="76" spans="1:16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v>0</v>
      </c>
      <c r="G76" s="243">
        <v>0</v>
      </c>
      <c r="H76" s="243">
        <f t="shared" si="5"/>
        <v>0</v>
      </c>
      <c r="I76" s="243">
        <v>0</v>
      </c>
      <c r="J76" s="243">
        <v>0</v>
      </c>
      <c r="K76" s="243">
        <v>0</v>
      </c>
      <c r="L76" s="243">
        <f t="shared" si="6"/>
        <v>0</v>
      </c>
      <c r="M76" s="243">
        <v>0</v>
      </c>
      <c r="N76" s="243">
        <v>0</v>
      </c>
      <c r="O76" s="243">
        <v>0</v>
      </c>
      <c r="P76" s="243">
        <f t="shared" si="7"/>
        <v>0</v>
      </c>
    </row>
    <row r="77" spans="1:16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v>0</v>
      </c>
      <c r="G77" s="243">
        <v>0</v>
      </c>
      <c r="H77" s="243">
        <f t="shared" si="5"/>
        <v>0</v>
      </c>
      <c r="I77" s="243">
        <v>0</v>
      </c>
      <c r="J77" s="243">
        <v>0</v>
      </c>
      <c r="K77" s="243">
        <v>0</v>
      </c>
      <c r="L77" s="243">
        <f t="shared" si="6"/>
        <v>0</v>
      </c>
      <c r="M77" s="243">
        <v>0</v>
      </c>
      <c r="N77" s="243">
        <v>0</v>
      </c>
      <c r="O77" s="243">
        <v>0</v>
      </c>
      <c r="P77" s="243">
        <f t="shared" si="7"/>
        <v>0</v>
      </c>
    </row>
    <row r="78" spans="1:16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v>0</v>
      </c>
      <c r="G78" s="243">
        <v>0</v>
      </c>
      <c r="H78" s="243">
        <f t="shared" si="5"/>
        <v>0</v>
      </c>
      <c r="I78" s="243">
        <v>0</v>
      </c>
      <c r="J78" s="243">
        <v>0</v>
      </c>
      <c r="K78" s="243">
        <v>0</v>
      </c>
      <c r="L78" s="243">
        <f t="shared" si="6"/>
        <v>0</v>
      </c>
      <c r="M78" s="243">
        <v>0</v>
      </c>
      <c r="N78" s="243">
        <v>0</v>
      </c>
      <c r="O78" s="243">
        <v>0</v>
      </c>
      <c r="P78" s="243">
        <f t="shared" si="7"/>
        <v>0</v>
      </c>
    </row>
    <row r="79" spans="1:16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v>0</v>
      </c>
      <c r="G79" s="243">
        <v>0</v>
      </c>
      <c r="H79" s="243">
        <f t="shared" si="5"/>
        <v>0</v>
      </c>
      <c r="I79" s="243">
        <v>0</v>
      </c>
      <c r="J79" s="243">
        <v>0</v>
      </c>
      <c r="K79" s="243">
        <v>0</v>
      </c>
      <c r="L79" s="243">
        <f t="shared" si="6"/>
        <v>0</v>
      </c>
      <c r="M79" s="243">
        <v>0</v>
      </c>
      <c r="N79" s="243">
        <v>0</v>
      </c>
      <c r="O79" s="243">
        <v>0</v>
      </c>
      <c r="P79" s="243">
        <f t="shared" si="7"/>
        <v>0</v>
      </c>
    </row>
    <row r="80" spans="1:16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v>0</v>
      </c>
      <c r="G80" s="243">
        <v>0</v>
      </c>
      <c r="H80" s="243">
        <f t="shared" si="5"/>
        <v>0</v>
      </c>
      <c r="I80" s="243">
        <v>0</v>
      </c>
      <c r="J80" s="243">
        <v>0</v>
      </c>
      <c r="K80" s="243">
        <v>0</v>
      </c>
      <c r="L80" s="243">
        <f t="shared" si="6"/>
        <v>0</v>
      </c>
      <c r="M80" s="243">
        <v>0</v>
      </c>
      <c r="N80" s="243">
        <v>0</v>
      </c>
      <c r="O80" s="243">
        <v>0</v>
      </c>
      <c r="P80" s="243">
        <f t="shared" si="7"/>
        <v>0</v>
      </c>
    </row>
    <row r="81" spans="1:16" s="27" customFormat="1" x14ac:dyDescent="0.25">
      <c r="A81" s="242">
        <v>72</v>
      </c>
      <c r="B81" s="264" t="s">
        <v>182</v>
      </c>
      <c r="C81" s="50" t="s">
        <v>183</v>
      </c>
      <c r="D81" s="243">
        <v>0</v>
      </c>
      <c r="E81" s="243">
        <v>2272</v>
      </c>
      <c r="F81" s="243">
        <v>41</v>
      </c>
      <c r="G81" s="243">
        <v>0</v>
      </c>
      <c r="H81" s="243">
        <f t="shared" si="5"/>
        <v>2313</v>
      </c>
      <c r="I81" s="243">
        <v>0</v>
      </c>
      <c r="J81" s="243">
        <v>0</v>
      </c>
      <c r="K81" s="243">
        <v>0</v>
      </c>
      <c r="L81" s="243">
        <f t="shared" si="6"/>
        <v>0</v>
      </c>
      <c r="M81" s="243">
        <v>0</v>
      </c>
      <c r="N81" s="243">
        <v>0</v>
      </c>
      <c r="O81" s="243">
        <v>0</v>
      </c>
      <c r="P81" s="243">
        <f t="shared" si="7"/>
        <v>0</v>
      </c>
    </row>
    <row r="82" spans="1:16" s="27" customFormat="1" x14ac:dyDescent="0.25">
      <c r="A82" s="242">
        <v>73</v>
      </c>
      <c r="B82" s="49" t="s">
        <v>184</v>
      </c>
      <c r="C82" s="50" t="s">
        <v>185</v>
      </c>
      <c r="D82" s="243">
        <v>0</v>
      </c>
      <c r="E82" s="243">
        <v>5476</v>
      </c>
      <c r="F82" s="243">
        <v>100</v>
      </c>
      <c r="G82" s="243">
        <v>891</v>
      </c>
      <c r="H82" s="243">
        <f t="shared" si="5"/>
        <v>6467</v>
      </c>
      <c r="I82" s="243">
        <v>0</v>
      </c>
      <c r="J82" s="243">
        <v>0</v>
      </c>
      <c r="K82" s="243">
        <v>0</v>
      </c>
      <c r="L82" s="243">
        <f t="shared" si="6"/>
        <v>0</v>
      </c>
      <c r="M82" s="243">
        <v>0</v>
      </c>
      <c r="N82" s="243">
        <v>0</v>
      </c>
      <c r="O82" s="243">
        <v>0</v>
      </c>
      <c r="P82" s="243">
        <f t="shared" si="7"/>
        <v>0</v>
      </c>
    </row>
    <row r="83" spans="1:16" s="27" customFormat="1" x14ac:dyDescent="0.25">
      <c r="A83" s="242">
        <v>74</v>
      </c>
      <c r="B83" s="264" t="s">
        <v>186</v>
      </c>
      <c r="C83" s="50" t="s">
        <v>187</v>
      </c>
      <c r="D83" s="243">
        <v>4919</v>
      </c>
      <c r="E83" s="243">
        <v>2977</v>
      </c>
      <c r="F83" s="243">
        <v>54</v>
      </c>
      <c r="G83" s="243">
        <v>485</v>
      </c>
      <c r="H83" s="243">
        <f t="shared" si="5"/>
        <v>8435</v>
      </c>
      <c r="I83" s="243">
        <v>0</v>
      </c>
      <c r="J83" s="243">
        <v>0</v>
      </c>
      <c r="K83" s="243">
        <v>0</v>
      </c>
      <c r="L83" s="243">
        <f t="shared" si="6"/>
        <v>0</v>
      </c>
      <c r="M83" s="243">
        <v>0</v>
      </c>
      <c r="N83" s="243">
        <v>0</v>
      </c>
      <c r="O83" s="243">
        <v>0</v>
      </c>
      <c r="P83" s="243">
        <f t="shared" si="7"/>
        <v>0</v>
      </c>
    </row>
    <row r="84" spans="1:16" s="27" customFormat="1" x14ac:dyDescent="0.25">
      <c r="A84" s="242">
        <v>75</v>
      </c>
      <c r="B84" s="49" t="s">
        <v>188</v>
      </c>
      <c r="C84" s="50" t="s">
        <v>461</v>
      </c>
      <c r="D84" s="243">
        <v>0</v>
      </c>
      <c r="E84" s="243">
        <v>2020</v>
      </c>
      <c r="F84" s="243">
        <v>0</v>
      </c>
      <c r="G84" s="243">
        <v>0</v>
      </c>
      <c r="H84" s="243">
        <f t="shared" si="5"/>
        <v>2020</v>
      </c>
      <c r="I84" s="243">
        <v>0</v>
      </c>
      <c r="J84" s="243">
        <v>0</v>
      </c>
      <c r="K84" s="243">
        <v>0</v>
      </c>
      <c r="L84" s="243">
        <f t="shared" si="6"/>
        <v>0</v>
      </c>
      <c r="M84" s="243">
        <v>0</v>
      </c>
      <c r="N84" s="243">
        <v>0</v>
      </c>
      <c r="O84" s="243">
        <v>0</v>
      </c>
      <c r="P84" s="243">
        <f t="shared" si="7"/>
        <v>0</v>
      </c>
    </row>
    <row r="85" spans="1:16" s="27" customFormat="1" x14ac:dyDescent="0.25">
      <c r="A85" s="242">
        <v>76</v>
      </c>
      <c r="B85" s="49" t="s">
        <v>190</v>
      </c>
      <c r="C85" s="50" t="s">
        <v>191</v>
      </c>
      <c r="D85" s="243">
        <v>0</v>
      </c>
      <c r="E85" s="243">
        <v>7968</v>
      </c>
      <c r="F85" s="243">
        <v>146</v>
      </c>
      <c r="G85" s="243">
        <v>1299</v>
      </c>
      <c r="H85" s="243">
        <f t="shared" si="5"/>
        <v>9413</v>
      </c>
      <c r="I85" s="243">
        <v>0</v>
      </c>
      <c r="J85" s="243">
        <v>0</v>
      </c>
      <c r="K85" s="243">
        <v>0</v>
      </c>
      <c r="L85" s="243">
        <f t="shared" si="6"/>
        <v>0</v>
      </c>
      <c r="M85" s="243">
        <v>0</v>
      </c>
      <c r="N85" s="243">
        <v>0</v>
      </c>
      <c r="O85" s="243">
        <v>0</v>
      </c>
      <c r="P85" s="243">
        <f t="shared" si="7"/>
        <v>0</v>
      </c>
    </row>
    <row r="86" spans="1:16" s="27" customFormat="1" x14ac:dyDescent="0.25">
      <c r="A86" s="242">
        <v>77</v>
      </c>
      <c r="B86" s="49" t="s">
        <v>192</v>
      </c>
      <c r="C86" s="50" t="s">
        <v>193</v>
      </c>
      <c r="D86" s="243">
        <v>0</v>
      </c>
      <c r="E86" s="243">
        <v>4197</v>
      </c>
      <c r="F86" s="243">
        <v>0</v>
      </c>
      <c r="G86" s="243">
        <v>0</v>
      </c>
      <c r="H86" s="243">
        <f t="shared" si="5"/>
        <v>4197</v>
      </c>
      <c r="I86" s="243">
        <v>2259</v>
      </c>
      <c r="J86" s="243">
        <v>0</v>
      </c>
      <c r="K86" s="243">
        <v>0</v>
      </c>
      <c r="L86" s="243">
        <f t="shared" si="6"/>
        <v>2259</v>
      </c>
      <c r="M86" s="243">
        <v>0</v>
      </c>
      <c r="N86" s="243">
        <v>0</v>
      </c>
      <c r="O86" s="243">
        <v>0</v>
      </c>
      <c r="P86" s="243">
        <f t="shared" si="7"/>
        <v>0</v>
      </c>
    </row>
    <row r="87" spans="1:16" s="27" customFormat="1" x14ac:dyDescent="0.25">
      <c r="A87" s="242">
        <v>78</v>
      </c>
      <c r="B87" s="49" t="s">
        <v>194</v>
      </c>
      <c r="C87" s="50" t="s">
        <v>195</v>
      </c>
      <c r="D87" s="243">
        <v>0</v>
      </c>
      <c r="E87" s="243">
        <v>4058</v>
      </c>
      <c r="F87" s="243">
        <v>74</v>
      </c>
      <c r="G87" s="243">
        <v>661</v>
      </c>
      <c r="H87" s="243">
        <f t="shared" si="5"/>
        <v>4793</v>
      </c>
      <c r="I87" s="243">
        <v>0</v>
      </c>
      <c r="J87" s="243">
        <v>0</v>
      </c>
      <c r="K87" s="243">
        <v>0</v>
      </c>
      <c r="L87" s="243">
        <f t="shared" si="6"/>
        <v>0</v>
      </c>
      <c r="M87" s="243">
        <v>0</v>
      </c>
      <c r="N87" s="243">
        <v>0</v>
      </c>
      <c r="O87" s="243">
        <v>0</v>
      </c>
      <c r="P87" s="243">
        <f t="shared" si="7"/>
        <v>0</v>
      </c>
    </row>
    <row r="88" spans="1:16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v>0</v>
      </c>
      <c r="G88" s="243">
        <v>0</v>
      </c>
      <c r="H88" s="243">
        <f t="shared" si="5"/>
        <v>0</v>
      </c>
      <c r="I88" s="243">
        <v>0</v>
      </c>
      <c r="J88" s="243">
        <v>0</v>
      </c>
      <c r="K88" s="243">
        <v>0</v>
      </c>
      <c r="L88" s="243">
        <f t="shared" si="6"/>
        <v>0</v>
      </c>
      <c r="M88" s="243">
        <v>0</v>
      </c>
      <c r="N88" s="243">
        <v>0</v>
      </c>
      <c r="O88" s="243">
        <v>0</v>
      </c>
      <c r="P88" s="243">
        <f t="shared" si="7"/>
        <v>0</v>
      </c>
    </row>
    <row r="89" spans="1:16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v>0</v>
      </c>
      <c r="G89" s="243">
        <v>0</v>
      </c>
      <c r="H89" s="243">
        <f t="shared" si="5"/>
        <v>0</v>
      </c>
      <c r="I89" s="243">
        <v>0</v>
      </c>
      <c r="J89" s="243">
        <v>0</v>
      </c>
      <c r="K89" s="243">
        <v>0</v>
      </c>
      <c r="L89" s="243">
        <f t="shared" si="6"/>
        <v>0</v>
      </c>
      <c r="M89" s="243">
        <v>0</v>
      </c>
      <c r="N89" s="243">
        <v>0</v>
      </c>
      <c r="O89" s="243">
        <v>0</v>
      </c>
      <c r="P89" s="243">
        <f t="shared" si="7"/>
        <v>0</v>
      </c>
    </row>
    <row r="90" spans="1:16" s="27" customFormat="1" ht="24" x14ac:dyDescent="0.25">
      <c r="A90" s="1140">
        <v>81</v>
      </c>
      <c r="B90" s="907" t="s">
        <v>199</v>
      </c>
      <c r="C90" s="57" t="s">
        <v>200</v>
      </c>
      <c r="D90" s="243">
        <v>0</v>
      </c>
      <c r="E90" s="243">
        <v>219</v>
      </c>
      <c r="F90" s="243">
        <v>0</v>
      </c>
      <c r="G90" s="243">
        <v>36</v>
      </c>
      <c r="H90" s="243">
        <f t="shared" si="5"/>
        <v>255</v>
      </c>
      <c r="I90" s="243">
        <v>109</v>
      </c>
      <c r="J90" s="243">
        <v>10</v>
      </c>
      <c r="K90" s="243">
        <v>0</v>
      </c>
      <c r="L90" s="243">
        <f t="shared" si="6"/>
        <v>119</v>
      </c>
      <c r="M90" s="243">
        <v>0</v>
      </c>
      <c r="N90" s="243">
        <v>0</v>
      </c>
      <c r="O90" s="243">
        <v>0</v>
      </c>
      <c r="P90" s="243">
        <f t="shared" si="7"/>
        <v>0</v>
      </c>
    </row>
    <row r="91" spans="1:16" s="27" customFormat="1" ht="36" x14ac:dyDescent="0.25">
      <c r="A91" s="1141"/>
      <c r="B91" s="908"/>
      <c r="C91" s="50" t="s">
        <v>201</v>
      </c>
      <c r="D91" s="243">
        <v>0</v>
      </c>
      <c r="E91" s="243">
        <v>219</v>
      </c>
      <c r="F91" s="243">
        <v>0</v>
      </c>
      <c r="G91" s="243">
        <v>36</v>
      </c>
      <c r="H91" s="243">
        <f t="shared" si="5"/>
        <v>255</v>
      </c>
      <c r="I91" s="243">
        <v>109</v>
      </c>
      <c r="J91" s="243">
        <v>10</v>
      </c>
      <c r="K91" s="243">
        <v>0</v>
      </c>
      <c r="L91" s="243">
        <f t="shared" si="6"/>
        <v>119</v>
      </c>
      <c r="M91" s="243">
        <v>0</v>
      </c>
      <c r="N91" s="243">
        <v>0</v>
      </c>
      <c r="O91" s="243">
        <v>0</v>
      </c>
      <c r="P91" s="243">
        <f t="shared" si="7"/>
        <v>0</v>
      </c>
    </row>
    <row r="92" spans="1:16" s="27" customFormat="1" ht="24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v>0</v>
      </c>
      <c r="G92" s="243">
        <v>0</v>
      </c>
      <c r="H92" s="243">
        <f t="shared" si="5"/>
        <v>0</v>
      </c>
      <c r="I92" s="243">
        <v>0</v>
      </c>
      <c r="J92" s="243">
        <v>0</v>
      </c>
      <c r="K92" s="243">
        <v>0</v>
      </c>
      <c r="L92" s="243">
        <f t="shared" si="6"/>
        <v>0</v>
      </c>
      <c r="M92" s="243">
        <v>0</v>
      </c>
      <c r="N92" s="243">
        <v>0</v>
      </c>
      <c r="O92" s="243">
        <v>0</v>
      </c>
      <c r="P92" s="243">
        <f t="shared" si="7"/>
        <v>0</v>
      </c>
    </row>
    <row r="93" spans="1:16" s="27" customFormat="1" ht="36" x14ac:dyDescent="0.25">
      <c r="A93" s="1142"/>
      <c r="B93" s="909"/>
      <c r="C93" s="58" t="s">
        <v>203</v>
      </c>
      <c r="D93" s="243">
        <v>0</v>
      </c>
      <c r="E93" s="243">
        <v>0</v>
      </c>
      <c r="F93" s="243">
        <v>0</v>
      </c>
      <c r="G93" s="243">
        <v>0</v>
      </c>
      <c r="H93" s="243">
        <f t="shared" si="5"/>
        <v>0</v>
      </c>
      <c r="I93" s="243">
        <v>0</v>
      </c>
      <c r="J93" s="243">
        <v>0</v>
      </c>
      <c r="K93" s="243">
        <v>0</v>
      </c>
      <c r="L93" s="243">
        <f t="shared" si="6"/>
        <v>0</v>
      </c>
      <c r="M93" s="243">
        <v>0</v>
      </c>
      <c r="N93" s="243">
        <v>0</v>
      </c>
      <c r="O93" s="243">
        <v>0</v>
      </c>
      <c r="P93" s="243">
        <f t="shared" si="7"/>
        <v>0</v>
      </c>
    </row>
    <row r="94" spans="1:16" s="27" customFormat="1" ht="24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v>0</v>
      </c>
      <c r="G94" s="243">
        <v>0</v>
      </c>
      <c r="H94" s="243">
        <f t="shared" si="5"/>
        <v>0</v>
      </c>
      <c r="I94" s="243">
        <v>0</v>
      </c>
      <c r="J94" s="243">
        <v>0</v>
      </c>
      <c r="K94" s="243">
        <v>0</v>
      </c>
      <c r="L94" s="243">
        <f t="shared" si="6"/>
        <v>0</v>
      </c>
      <c r="M94" s="243">
        <v>0</v>
      </c>
      <c r="N94" s="243">
        <v>0</v>
      </c>
      <c r="O94" s="243">
        <v>0</v>
      </c>
      <c r="P94" s="243">
        <f t="shared" si="7"/>
        <v>0</v>
      </c>
    </row>
    <row r="95" spans="1:16" s="27" customFormat="1" x14ac:dyDescent="0.25">
      <c r="A95" s="242">
        <v>83</v>
      </c>
      <c r="B95" s="52" t="s">
        <v>206</v>
      </c>
      <c r="C95" s="50" t="s">
        <v>207</v>
      </c>
      <c r="D95" s="243">
        <v>0</v>
      </c>
      <c r="E95" s="243">
        <v>0</v>
      </c>
      <c r="F95" s="243">
        <v>0</v>
      </c>
      <c r="G95" s="243">
        <v>0</v>
      </c>
      <c r="H95" s="243">
        <f t="shared" si="5"/>
        <v>0</v>
      </c>
      <c r="I95" s="243">
        <v>0</v>
      </c>
      <c r="J95" s="243">
        <v>0</v>
      </c>
      <c r="K95" s="243">
        <v>0</v>
      </c>
      <c r="L95" s="243">
        <f t="shared" si="6"/>
        <v>0</v>
      </c>
      <c r="M95" s="243">
        <v>0</v>
      </c>
      <c r="N95" s="243">
        <v>0</v>
      </c>
      <c r="O95" s="243">
        <v>0</v>
      </c>
      <c r="P95" s="243">
        <f t="shared" si="7"/>
        <v>0</v>
      </c>
    </row>
    <row r="96" spans="1:16" s="27" customFormat="1" x14ac:dyDescent="0.25">
      <c r="A96" s="242">
        <v>84</v>
      </c>
      <c r="B96" s="264" t="s">
        <v>208</v>
      </c>
      <c r="C96" s="50" t="s">
        <v>209</v>
      </c>
      <c r="D96" s="243">
        <v>0</v>
      </c>
      <c r="E96" s="243">
        <v>2671</v>
      </c>
      <c r="F96" s="243">
        <v>48</v>
      </c>
      <c r="G96" s="243">
        <v>0</v>
      </c>
      <c r="H96" s="243">
        <f t="shared" si="5"/>
        <v>2719</v>
      </c>
      <c r="I96" s="243">
        <v>0</v>
      </c>
      <c r="J96" s="243">
        <v>0</v>
      </c>
      <c r="K96" s="243">
        <v>0</v>
      </c>
      <c r="L96" s="243">
        <f t="shared" si="6"/>
        <v>0</v>
      </c>
      <c r="M96" s="243">
        <v>0</v>
      </c>
      <c r="N96" s="243">
        <v>0</v>
      </c>
      <c r="O96" s="243">
        <v>0</v>
      </c>
      <c r="P96" s="243">
        <f t="shared" si="7"/>
        <v>0</v>
      </c>
    </row>
    <row r="97" spans="1:16" s="27" customFormat="1" x14ac:dyDescent="0.25">
      <c r="A97" s="242">
        <v>85</v>
      </c>
      <c r="B97" s="52" t="s">
        <v>210</v>
      </c>
      <c r="C97" s="50" t="s">
        <v>211</v>
      </c>
      <c r="D97" s="243">
        <v>0</v>
      </c>
      <c r="E97" s="243">
        <v>0</v>
      </c>
      <c r="F97" s="243">
        <v>0</v>
      </c>
      <c r="G97" s="243">
        <v>0</v>
      </c>
      <c r="H97" s="243">
        <f t="shared" si="5"/>
        <v>0</v>
      </c>
      <c r="I97" s="243">
        <v>0</v>
      </c>
      <c r="J97" s="243">
        <v>0</v>
      </c>
      <c r="K97" s="243">
        <v>0</v>
      </c>
      <c r="L97" s="243">
        <f t="shared" si="6"/>
        <v>0</v>
      </c>
      <c r="M97" s="243">
        <v>0</v>
      </c>
      <c r="N97" s="243">
        <v>0</v>
      </c>
      <c r="O97" s="243">
        <v>0</v>
      </c>
      <c r="P97" s="243">
        <f t="shared" si="7"/>
        <v>0</v>
      </c>
    </row>
    <row r="98" spans="1:16" s="27" customFormat="1" x14ac:dyDescent="0.25">
      <c r="A98" s="242">
        <v>86</v>
      </c>
      <c r="B98" s="264" t="s">
        <v>212</v>
      </c>
      <c r="C98" s="50" t="s">
        <v>213</v>
      </c>
      <c r="D98" s="243">
        <v>0</v>
      </c>
      <c r="E98" s="243">
        <v>0</v>
      </c>
      <c r="F98" s="243">
        <v>0</v>
      </c>
      <c r="G98" s="243">
        <v>0</v>
      </c>
      <c r="H98" s="243">
        <f t="shared" si="5"/>
        <v>0</v>
      </c>
      <c r="I98" s="243">
        <v>0</v>
      </c>
      <c r="J98" s="243">
        <v>0</v>
      </c>
      <c r="K98" s="243">
        <v>0</v>
      </c>
      <c r="L98" s="243">
        <f t="shared" si="6"/>
        <v>0</v>
      </c>
      <c r="M98" s="243">
        <v>0</v>
      </c>
      <c r="N98" s="243">
        <v>0</v>
      </c>
      <c r="O98" s="243">
        <v>0</v>
      </c>
      <c r="P98" s="243">
        <f t="shared" si="7"/>
        <v>0</v>
      </c>
    </row>
    <row r="99" spans="1:16" s="27" customFormat="1" x14ac:dyDescent="0.25">
      <c r="A99" s="242">
        <v>87</v>
      </c>
      <c r="B99" s="264" t="s">
        <v>214</v>
      </c>
      <c r="C99" s="50" t="s">
        <v>215</v>
      </c>
      <c r="D99" s="243">
        <v>0</v>
      </c>
      <c r="E99" s="243">
        <v>1240</v>
      </c>
      <c r="F99" s="243">
        <v>22</v>
      </c>
      <c r="G99" s="243">
        <v>0</v>
      </c>
      <c r="H99" s="243">
        <f t="shared" si="5"/>
        <v>1262</v>
      </c>
      <c r="I99" s="243">
        <v>0</v>
      </c>
      <c r="J99" s="243">
        <v>0</v>
      </c>
      <c r="K99" s="243">
        <v>0</v>
      </c>
      <c r="L99" s="243">
        <f t="shared" si="6"/>
        <v>0</v>
      </c>
      <c r="M99" s="243">
        <v>0</v>
      </c>
      <c r="N99" s="243">
        <v>0</v>
      </c>
      <c r="O99" s="243">
        <v>0</v>
      </c>
      <c r="P99" s="243">
        <f t="shared" si="7"/>
        <v>0</v>
      </c>
    </row>
    <row r="100" spans="1:16" s="27" customFormat="1" x14ac:dyDescent="0.25">
      <c r="A100" s="242">
        <v>88</v>
      </c>
      <c r="B100" s="52" t="s">
        <v>216</v>
      </c>
      <c r="C100" s="50" t="s">
        <v>217</v>
      </c>
      <c r="D100" s="243">
        <v>0</v>
      </c>
      <c r="E100" s="243">
        <v>522</v>
      </c>
      <c r="F100" s="243">
        <v>0</v>
      </c>
      <c r="G100" s="243">
        <v>0</v>
      </c>
      <c r="H100" s="243">
        <f t="shared" si="5"/>
        <v>522</v>
      </c>
      <c r="I100" s="243">
        <v>0</v>
      </c>
      <c r="J100" s="243">
        <v>0</v>
      </c>
      <c r="K100" s="243">
        <v>0</v>
      </c>
      <c r="L100" s="243">
        <f t="shared" si="6"/>
        <v>0</v>
      </c>
      <c r="M100" s="243">
        <v>0</v>
      </c>
      <c r="N100" s="243">
        <v>0</v>
      </c>
      <c r="O100" s="243">
        <v>0</v>
      </c>
      <c r="P100" s="243">
        <f t="shared" si="7"/>
        <v>0</v>
      </c>
    </row>
    <row r="101" spans="1:16" s="27" customFormat="1" x14ac:dyDescent="0.25">
      <c r="A101" s="242">
        <v>89</v>
      </c>
      <c r="B101" s="49" t="s">
        <v>218</v>
      </c>
      <c r="C101" s="50" t="s">
        <v>219</v>
      </c>
      <c r="D101" s="243">
        <v>0</v>
      </c>
      <c r="E101" s="243">
        <v>0</v>
      </c>
      <c r="F101" s="243">
        <v>0</v>
      </c>
      <c r="G101" s="243">
        <v>0</v>
      </c>
      <c r="H101" s="243">
        <f t="shared" si="5"/>
        <v>0</v>
      </c>
      <c r="I101" s="243">
        <v>0</v>
      </c>
      <c r="J101" s="243">
        <v>0</v>
      </c>
      <c r="K101" s="243">
        <v>0</v>
      </c>
      <c r="L101" s="243">
        <f t="shared" si="6"/>
        <v>0</v>
      </c>
      <c r="M101" s="243">
        <v>0</v>
      </c>
      <c r="N101" s="243">
        <v>0</v>
      </c>
      <c r="O101" s="243">
        <v>0</v>
      </c>
      <c r="P101" s="243">
        <f t="shared" si="7"/>
        <v>0</v>
      </c>
    </row>
    <row r="102" spans="1:16" s="27" customFormat="1" x14ac:dyDescent="0.25">
      <c r="A102" s="242">
        <v>90</v>
      </c>
      <c r="B102" s="49" t="s">
        <v>220</v>
      </c>
      <c r="C102" s="50" t="s">
        <v>221</v>
      </c>
      <c r="D102" s="243">
        <v>0</v>
      </c>
      <c r="E102" s="243">
        <v>0</v>
      </c>
      <c r="F102" s="243">
        <v>0</v>
      </c>
      <c r="G102" s="243">
        <v>0</v>
      </c>
      <c r="H102" s="243">
        <f t="shared" si="5"/>
        <v>0</v>
      </c>
      <c r="I102" s="243">
        <v>0</v>
      </c>
      <c r="J102" s="243">
        <v>0</v>
      </c>
      <c r="K102" s="243">
        <v>0</v>
      </c>
      <c r="L102" s="243">
        <f t="shared" si="6"/>
        <v>0</v>
      </c>
      <c r="M102" s="243">
        <v>0</v>
      </c>
      <c r="N102" s="243">
        <v>0</v>
      </c>
      <c r="O102" s="243">
        <v>0</v>
      </c>
      <c r="P102" s="243">
        <f t="shared" si="7"/>
        <v>0</v>
      </c>
    </row>
    <row r="103" spans="1:16" s="27" customFormat="1" x14ac:dyDescent="0.25">
      <c r="A103" s="242">
        <v>91</v>
      </c>
      <c r="B103" s="264" t="s">
        <v>222</v>
      </c>
      <c r="C103" s="50" t="s">
        <v>223</v>
      </c>
      <c r="D103" s="243">
        <v>0</v>
      </c>
      <c r="E103" s="243">
        <v>0</v>
      </c>
      <c r="F103" s="243">
        <v>0</v>
      </c>
      <c r="G103" s="243">
        <v>0</v>
      </c>
      <c r="H103" s="243">
        <f t="shared" si="5"/>
        <v>0</v>
      </c>
      <c r="I103" s="243">
        <v>0</v>
      </c>
      <c r="J103" s="243">
        <v>0</v>
      </c>
      <c r="K103" s="243">
        <v>0</v>
      </c>
      <c r="L103" s="243">
        <f t="shared" si="6"/>
        <v>0</v>
      </c>
      <c r="M103" s="243">
        <v>0</v>
      </c>
      <c r="N103" s="243">
        <v>0</v>
      </c>
      <c r="O103" s="243">
        <v>0</v>
      </c>
      <c r="P103" s="243">
        <f t="shared" si="7"/>
        <v>0</v>
      </c>
    </row>
    <row r="104" spans="1:16" s="27" customFormat="1" x14ac:dyDescent="0.25">
      <c r="A104" s="242">
        <v>92</v>
      </c>
      <c r="B104" s="49" t="s">
        <v>224</v>
      </c>
      <c r="C104" s="50" t="s">
        <v>225</v>
      </c>
      <c r="D104" s="243">
        <v>0</v>
      </c>
      <c r="E104" s="243">
        <v>0</v>
      </c>
      <c r="F104" s="243">
        <v>0</v>
      </c>
      <c r="G104" s="243">
        <v>0</v>
      </c>
      <c r="H104" s="243">
        <f t="shared" si="5"/>
        <v>0</v>
      </c>
      <c r="I104" s="243">
        <v>0</v>
      </c>
      <c r="J104" s="243">
        <v>0</v>
      </c>
      <c r="K104" s="243">
        <v>0</v>
      </c>
      <c r="L104" s="243">
        <f t="shared" si="6"/>
        <v>0</v>
      </c>
      <c r="M104" s="243">
        <v>0</v>
      </c>
      <c r="N104" s="243">
        <v>0</v>
      </c>
      <c r="O104" s="243">
        <v>0</v>
      </c>
      <c r="P104" s="243">
        <f t="shared" si="7"/>
        <v>0</v>
      </c>
    </row>
    <row r="105" spans="1:16" s="27" customFormat="1" x14ac:dyDescent="0.25">
      <c r="A105" s="242">
        <v>93</v>
      </c>
      <c r="B105" s="49" t="s">
        <v>226</v>
      </c>
      <c r="C105" s="50" t="s">
        <v>227</v>
      </c>
      <c r="D105" s="243">
        <v>0</v>
      </c>
      <c r="E105" s="243">
        <v>593</v>
      </c>
      <c r="F105" s="243">
        <v>0</v>
      </c>
      <c r="G105" s="243">
        <v>0</v>
      </c>
      <c r="H105" s="243">
        <f t="shared" si="5"/>
        <v>593</v>
      </c>
      <c r="I105" s="243">
        <v>0</v>
      </c>
      <c r="J105" s="243">
        <v>0</v>
      </c>
      <c r="K105" s="243">
        <v>0</v>
      </c>
      <c r="L105" s="243">
        <f t="shared" si="6"/>
        <v>0</v>
      </c>
      <c r="M105" s="243">
        <v>0</v>
      </c>
      <c r="N105" s="243">
        <v>0</v>
      </c>
      <c r="O105" s="243">
        <v>0</v>
      </c>
      <c r="P105" s="243">
        <f t="shared" si="7"/>
        <v>0</v>
      </c>
    </row>
    <row r="106" spans="1:16" s="27" customFormat="1" x14ac:dyDescent="0.25">
      <c r="A106" s="242">
        <v>94</v>
      </c>
      <c r="B106" s="52" t="s">
        <v>32</v>
      </c>
      <c r="C106" s="50" t="s">
        <v>33</v>
      </c>
      <c r="D106" s="243">
        <v>0</v>
      </c>
      <c r="E106" s="243">
        <v>1615</v>
      </c>
      <c r="F106" s="243">
        <v>74</v>
      </c>
      <c r="G106" s="243">
        <v>336</v>
      </c>
      <c r="H106" s="243">
        <f t="shared" si="5"/>
        <v>2025</v>
      </c>
      <c r="I106" s="243">
        <v>0</v>
      </c>
      <c r="J106" s="243">
        <v>0</v>
      </c>
      <c r="K106" s="243">
        <v>0</v>
      </c>
      <c r="L106" s="243">
        <f t="shared" si="6"/>
        <v>0</v>
      </c>
      <c r="M106" s="243">
        <v>0</v>
      </c>
      <c r="N106" s="243">
        <v>0</v>
      </c>
      <c r="O106" s="243">
        <v>0</v>
      </c>
      <c r="P106" s="243">
        <f t="shared" si="7"/>
        <v>0</v>
      </c>
    </row>
    <row r="107" spans="1:16" s="245" customFormat="1" x14ac:dyDescent="0.25">
      <c r="A107" s="242">
        <v>95</v>
      </c>
      <c r="B107" s="264" t="s">
        <v>228</v>
      </c>
      <c r="C107" s="50" t="s">
        <v>229</v>
      </c>
      <c r="D107" s="243">
        <v>0</v>
      </c>
      <c r="E107" s="243">
        <v>0</v>
      </c>
      <c r="F107" s="243">
        <v>0</v>
      </c>
      <c r="G107" s="243">
        <v>0</v>
      </c>
      <c r="H107" s="243">
        <f t="shared" si="5"/>
        <v>0</v>
      </c>
      <c r="I107" s="243">
        <v>0</v>
      </c>
      <c r="J107" s="243">
        <v>0</v>
      </c>
      <c r="K107" s="243">
        <v>0</v>
      </c>
      <c r="L107" s="243">
        <f t="shared" si="6"/>
        <v>0</v>
      </c>
      <c r="M107" s="243">
        <v>0</v>
      </c>
      <c r="N107" s="243">
        <v>0</v>
      </c>
      <c r="O107" s="243">
        <v>0</v>
      </c>
      <c r="P107" s="243">
        <f t="shared" si="7"/>
        <v>0</v>
      </c>
    </row>
    <row r="108" spans="1:16" s="27" customFormat="1" x14ac:dyDescent="0.25">
      <c r="A108" s="242">
        <v>96</v>
      </c>
      <c r="B108" s="49" t="s">
        <v>230</v>
      </c>
      <c r="C108" s="50" t="s">
        <v>231</v>
      </c>
      <c r="D108" s="243">
        <v>0</v>
      </c>
      <c r="E108" s="243">
        <v>1216</v>
      </c>
      <c r="F108" s="243">
        <v>0</v>
      </c>
      <c r="G108" s="243">
        <v>198</v>
      </c>
      <c r="H108" s="243">
        <f t="shared" si="5"/>
        <v>1414</v>
      </c>
      <c r="I108" s="243">
        <v>0</v>
      </c>
      <c r="J108" s="243">
        <v>0</v>
      </c>
      <c r="K108" s="243">
        <v>0</v>
      </c>
      <c r="L108" s="243">
        <f t="shared" si="6"/>
        <v>0</v>
      </c>
      <c r="M108" s="243">
        <v>0</v>
      </c>
      <c r="N108" s="243">
        <v>0</v>
      </c>
      <c r="O108" s="243">
        <v>0</v>
      </c>
      <c r="P108" s="243">
        <f t="shared" si="7"/>
        <v>0</v>
      </c>
    </row>
    <row r="109" spans="1:16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v>0</v>
      </c>
      <c r="G109" s="243">
        <v>0</v>
      </c>
      <c r="H109" s="243">
        <f t="shared" si="5"/>
        <v>0</v>
      </c>
      <c r="I109" s="243">
        <v>0</v>
      </c>
      <c r="J109" s="243">
        <v>0</v>
      </c>
      <c r="K109" s="243">
        <v>0</v>
      </c>
      <c r="L109" s="243">
        <f t="shared" si="6"/>
        <v>0</v>
      </c>
      <c r="M109" s="243">
        <v>0</v>
      </c>
      <c r="N109" s="243">
        <v>0</v>
      </c>
      <c r="O109" s="243">
        <v>0</v>
      </c>
      <c r="P109" s="243">
        <f t="shared" si="7"/>
        <v>0</v>
      </c>
    </row>
    <row r="110" spans="1:16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v>0</v>
      </c>
      <c r="G110" s="243">
        <v>0</v>
      </c>
      <c r="H110" s="243">
        <f t="shared" si="5"/>
        <v>0</v>
      </c>
      <c r="I110" s="243">
        <v>0</v>
      </c>
      <c r="J110" s="243">
        <v>0</v>
      </c>
      <c r="K110" s="243">
        <v>0</v>
      </c>
      <c r="L110" s="243">
        <f t="shared" si="6"/>
        <v>0</v>
      </c>
      <c r="M110" s="243">
        <v>0</v>
      </c>
      <c r="N110" s="243">
        <v>0</v>
      </c>
      <c r="O110" s="243">
        <v>0</v>
      </c>
      <c r="P110" s="243">
        <f t="shared" si="7"/>
        <v>0</v>
      </c>
    </row>
    <row r="111" spans="1:16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v>0</v>
      </c>
      <c r="G111" s="243">
        <v>0</v>
      </c>
      <c r="H111" s="243">
        <f t="shared" si="5"/>
        <v>0</v>
      </c>
      <c r="I111" s="243">
        <v>0</v>
      </c>
      <c r="J111" s="243">
        <v>0</v>
      </c>
      <c r="K111" s="243">
        <v>0</v>
      </c>
      <c r="L111" s="243">
        <f t="shared" si="6"/>
        <v>0</v>
      </c>
      <c r="M111" s="243">
        <v>0</v>
      </c>
      <c r="N111" s="243">
        <v>0</v>
      </c>
      <c r="O111" s="243">
        <v>0</v>
      </c>
      <c r="P111" s="243">
        <f t="shared" si="7"/>
        <v>0</v>
      </c>
    </row>
    <row r="112" spans="1:16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v>0</v>
      </c>
      <c r="G112" s="243">
        <v>0</v>
      </c>
      <c r="H112" s="243">
        <f t="shared" si="5"/>
        <v>0</v>
      </c>
      <c r="I112" s="243">
        <v>0</v>
      </c>
      <c r="J112" s="243">
        <v>0</v>
      </c>
      <c r="K112" s="243">
        <v>0</v>
      </c>
      <c r="L112" s="243">
        <f t="shared" si="6"/>
        <v>0</v>
      </c>
      <c r="M112" s="243">
        <v>0</v>
      </c>
      <c r="N112" s="243">
        <v>0</v>
      </c>
      <c r="O112" s="243">
        <v>0</v>
      </c>
      <c r="P112" s="243">
        <f t="shared" si="7"/>
        <v>0</v>
      </c>
    </row>
    <row r="113" spans="1:16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v>0</v>
      </c>
      <c r="G113" s="243">
        <v>0</v>
      </c>
      <c r="H113" s="243">
        <f t="shared" si="5"/>
        <v>0</v>
      </c>
      <c r="I113" s="243">
        <v>0</v>
      </c>
      <c r="J113" s="243">
        <v>0</v>
      </c>
      <c r="K113" s="243">
        <v>0</v>
      </c>
      <c r="L113" s="243">
        <f t="shared" si="6"/>
        <v>0</v>
      </c>
      <c r="M113" s="243">
        <v>0</v>
      </c>
      <c r="N113" s="243">
        <v>0</v>
      </c>
      <c r="O113" s="243">
        <v>0</v>
      </c>
      <c r="P113" s="243">
        <f t="shared" si="7"/>
        <v>0</v>
      </c>
    </row>
    <row r="114" spans="1:16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v>0</v>
      </c>
      <c r="G114" s="243">
        <v>0</v>
      </c>
      <c r="H114" s="243">
        <f t="shared" si="5"/>
        <v>0</v>
      </c>
      <c r="I114" s="243">
        <v>1329</v>
      </c>
      <c r="J114" s="243">
        <v>0</v>
      </c>
      <c r="K114" s="243">
        <v>0</v>
      </c>
      <c r="L114" s="243">
        <f t="shared" si="6"/>
        <v>1329</v>
      </c>
      <c r="M114" s="243">
        <v>0</v>
      </c>
      <c r="N114" s="243">
        <v>0</v>
      </c>
      <c r="O114" s="243">
        <v>0</v>
      </c>
      <c r="P114" s="243">
        <f t="shared" si="7"/>
        <v>0</v>
      </c>
    </row>
    <row r="115" spans="1:16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v>0</v>
      </c>
      <c r="G115" s="243">
        <v>0</v>
      </c>
      <c r="H115" s="243">
        <f t="shared" si="5"/>
        <v>0</v>
      </c>
      <c r="I115" s="243">
        <v>0</v>
      </c>
      <c r="J115" s="243">
        <v>0</v>
      </c>
      <c r="K115" s="243">
        <v>0</v>
      </c>
      <c r="L115" s="243">
        <f t="shared" si="6"/>
        <v>0</v>
      </c>
      <c r="M115" s="243">
        <v>0</v>
      </c>
      <c r="N115" s="243">
        <v>0</v>
      </c>
      <c r="O115" s="243">
        <v>0</v>
      </c>
      <c r="P115" s="243">
        <f t="shared" si="7"/>
        <v>0</v>
      </c>
    </row>
    <row r="116" spans="1:16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4063</v>
      </c>
      <c r="F116" s="243">
        <v>110</v>
      </c>
      <c r="G116" s="243">
        <v>991</v>
      </c>
      <c r="H116" s="243">
        <f t="shared" si="5"/>
        <v>5164</v>
      </c>
      <c r="I116" s="243">
        <v>13574</v>
      </c>
      <c r="J116" s="243">
        <v>1243</v>
      </c>
      <c r="K116" s="243">
        <v>323</v>
      </c>
      <c r="L116" s="243">
        <f t="shared" si="6"/>
        <v>15140</v>
      </c>
      <c r="M116" s="243">
        <v>0</v>
      </c>
      <c r="N116" s="243">
        <v>0</v>
      </c>
      <c r="O116" s="243">
        <v>0</v>
      </c>
      <c r="P116" s="243">
        <f t="shared" si="7"/>
        <v>0</v>
      </c>
    </row>
    <row r="117" spans="1:16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v>0</v>
      </c>
      <c r="G117" s="243">
        <v>0</v>
      </c>
      <c r="H117" s="243">
        <f t="shared" si="5"/>
        <v>0</v>
      </c>
      <c r="I117" s="243">
        <v>2420</v>
      </c>
      <c r="J117" s="243">
        <v>218</v>
      </c>
      <c r="K117" s="243">
        <v>0</v>
      </c>
      <c r="L117" s="243">
        <f t="shared" si="6"/>
        <v>2638</v>
      </c>
      <c r="M117" s="243">
        <v>0</v>
      </c>
      <c r="N117" s="243">
        <v>0</v>
      </c>
      <c r="O117" s="243">
        <v>0</v>
      </c>
      <c r="P117" s="243">
        <f t="shared" si="7"/>
        <v>0</v>
      </c>
    </row>
    <row r="118" spans="1:16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v>0</v>
      </c>
      <c r="G118" s="243">
        <v>0</v>
      </c>
      <c r="H118" s="243">
        <f t="shared" si="5"/>
        <v>0</v>
      </c>
      <c r="I118" s="243">
        <v>0</v>
      </c>
      <c r="J118" s="243">
        <v>0</v>
      </c>
      <c r="K118" s="243">
        <v>0</v>
      </c>
      <c r="L118" s="243">
        <f t="shared" si="6"/>
        <v>0</v>
      </c>
      <c r="M118" s="243">
        <v>0</v>
      </c>
      <c r="N118" s="243">
        <v>0</v>
      </c>
      <c r="O118" s="243">
        <v>0</v>
      </c>
      <c r="P118" s="243">
        <f t="shared" si="7"/>
        <v>0</v>
      </c>
    </row>
    <row r="119" spans="1:16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v>0</v>
      </c>
      <c r="G119" s="243">
        <v>0</v>
      </c>
      <c r="H119" s="243">
        <f t="shared" si="5"/>
        <v>0</v>
      </c>
      <c r="I119" s="243">
        <v>0</v>
      </c>
      <c r="J119" s="243">
        <v>0</v>
      </c>
      <c r="K119" s="243">
        <v>0</v>
      </c>
      <c r="L119" s="243">
        <f t="shared" si="6"/>
        <v>0</v>
      </c>
      <c r="M119" s="243">
        <v>0</v>
      </c>
      <c r="N119" s="243">
        <v>0</v>
      </c>
      <c r="O119" s="243">
        <v>0</v>
      </c>
      <c r="P119" s="243">
        <f t="shared" si="7"/>
        <v>0</v>
      </c>
    </row>
    <row r="120" spans="1:16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v>0</v>
      </c>
      <c r="G120" s="243">
        <v>0</v>
      </c>
      <c r="H120" s="243">
        <f t="shared" si="5"/>
        <v>0</v>
      </c>
      <c r="I120" s="243">
        <v>1595</v>
      </c>
      <c r="J120" s="243">
        <v>0</v>
      </c>
      <c r="K120" s="243">
        <v>0</v>
      </c>
      <c r="L120" s="243">
        <f t="shared" si="6"/>
        <v>1595</v>
      </c>
      <c r="M120" s="243">
        <v>0</v>
      </c>
      <c r="N120" s="243">
        <v>0</v>
      </c>
      <c r="O120" s="243">
        <v>0</v>
      </c>
      <c r="P120" s="243">
        <f t="shared" si="7"/>
        <v>0</v>
      </c>
    </row>
    <row r="121" spans="1:16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422</v>
      </c>
      <c r="F121" s="243">
        <v>25</v>
      </c>
      <c r="G121" s="243">
        <v>69</v>
      </c>
      <c r="H121" s="243">
        <f t="shared" si="5"/>
        <v>516</v>
      </c>
      <c r="I121" s="243">
        <v>1182</v>
      </c>
      <c r="J121" s="243">
        <v>92</v>
      </c>
      <c r="K121" s="243">
        <v>0</v>
      </c>
      <c r="L121" s="243">
        <f t="shared" si="6"/>
        <v>1274</v>
      </c>
      <c r="M121" s="243">
        <v>0</v>
      </c>
      <c r="N121" s="243">
        <v>0</v>
      </c>
      <c r="O121" s="243">
        <v>0</v>
      </c>
      <c r="P121" s="243">
        <f t="shared" si="7"/>
        <v>0</v>
      </c>
    </row>
    <row r="122" spans="1:16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v>0</v>
      </c>
      <c r="G122" s="243">
        <v>0</v>
      </c>
      <c r="H122" s="243">
        <f t="shared" si="5"/>
        <v>0</v>
      </c>
      <c r="I122" s="243">
        <v>0</v>
      </c>
      <c r="J122" s="243">
        <v>0</v>
      </c>
      <c r="K122" s="243">
        <v>0</v>
      </c>
      <c r="L122" s="243">
        <f t="shared" si="6"/>
        <v>0</v>
      </c>
      <c r="M122" s="243">
        <v>0</v>
      </c>
      <c r="N122" s="243">
        <v>0</v>
      </c>
      <c r="O122" s="243">
        <v>0</v>
      </c>
      <c r="P122" s="243">
        <f t="shared" si="7"/>
        <v>0</v>
      </c>
    </row>
    <row r="123" spans="1:16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v>0</v>
      </c>
      <c r="G123" s="243">
        <v>0</v>
      </c>
      <c r="H123" s="243">
        <f t="shared" si="5"/>
        <v>0</v>
      </c>
      <c r="I123" s="243">
        <v>0</v>
      </c>
      <c r="J123" s="243">
        <v>0</v>
      </c>
      <c r="K123" s="243">
        <v>0</v>
      </c>
      <c r="L123" s="243">
        <f t="shared" si="6"/>
        <v>0</v>
      </c>
      <c r="M123" s="243">
        <v>0</v>
      </c>
      <c r="N123" s="243">
        <v>0</v>
      </c>
      <c r="O123" s="243">
        <v>0</v>
      </c>
      <c r="P123" s="243">
        <f t="shared" si="7"/>
        <v>0</v>
      </c>
    </row>
    <row r="124" spans="1:16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v>0</v>
      </c>
      <c r="G124" s="243">
        <v>0</v>
      </c>
      <c r="H124" s="243">
        <f t="shared" si="5"/>
        <v>0</v>
      </c>
      <c r="I124" s="243">
        <v>0</v>
      </c>
      <c r="J124" s="243">
        <v>0</v>
      </c>
      <c r="K124" s="243">
        <v>0</v>
      </c>
      <c r="L124" s="243">
        <f t="shared" si="6"/>
        <v>0</v>
      </c>
      <c r="M124" s="243">
        <v>0</v>
      </c>
      <c r="N124" s="243">
        <v>0</v>
      </c>
      <c r="O124" s="243">
        <v>0</v>
      </c>
      <c r="P124" s="243">
        <f t="shared" si="7"/>
        <v>0</v>
      </c>
    </row>
    <row r="125" spans="1:16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v>0</v>
      </c>
      <c r="G125" s="243">
        <v>0</v>
      </c>
      <c r="H125" s="243">
        <f t="shared" si="5"/>
        <v>0</v>
      </c>
      <c r="I125" s="243">
        <v>0</v>
      </c>
      <c r="J125" s="243">
        <v>0</v>
      </c>
      <c r="K125" s="243">
        <v>0</v>
      </c>
      <c r="L125" s="243">
        <f t="shared" si="6"/>
        <v>0</v>
      </c>
      <c r="M125" s="243">
        <v>0</v>
      </c>
      <c r="N125" s="243">
        <v>0</v>
      </c>
      <c r="O125" s="243">
        <v>0</v>
      </c>
      <c r="P125" s="243">
        <f t="shared" si="7"/>
        <v>0</v>
      </c>
    </row>
    <row r="126" spans="1:16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v>0</v>
      </c>
      <c r="G126" s="243">
        <v>0</v>
      </c>
      <c r="H126" s="243">
        <f t="shared" si="5"/>
        <v>0</v>
      </c>
      <c r="I126" s="243">
        <v>0</v>
      </c>
      <c r="J126" s="243">
        <v>0</v>
      </c>
      <c r="K126" s="243">
        <v>0</v>
      </c>
      <c r="L126" s="243">
        <f t="shared" si="6"/>
        <v>0</v>
      </c>
      <c r="M126" s="243">
        <v>0</v>
      </c>
      <c r="N126" s="243">
        <v>0</v>
      </c>
      <c r="O126" s="243">
        <v>0</v>
      </c>
      <c r="P126" s="243">
        <f t="shared" si="7"/>
        <v>0</v>
      </c>
    </row>
    <row r="127" spans="1:16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10601</v>
      </c>
      <c r="F127" s="243">
        <v>0</v>
      </c>
      <c r="G127" s="243">
        <v>3829</v>
      </c>
      <c r="H127" s="243">
        <f t="shared" si="5"/>
        <v>14430</v>
      </c>
      <c r="I127" s="243">
        <v>6430</v>
      </c>
      <c r="J127" s="243">
        <v>0</v>
      </c>
      <c r="K127" s="243">
        <v>1498</v>
      </c>
      <c r="L127" s="243">
        <f t="shared" si="6"/>
        <v>7928</v>
      </c>
      <c r="M127" s="243">
        <v>0</v>
      </c>
      <c r="N127" s="243">
        <v>3161</v>
      </c>
      <c r="O127" s="243">
        <v>0</v>
      </c>
      <c r="P127" s="243">
        <f t="shared" si="7"/>
        <v>3161</v>
      </c>
    </row>
    <row r="128" spans="1:16" s="27" customFormat="1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36242</v>
      </c>
      <c r="F128" s="243">
        <v>0</v>
      </c>
      <c r="G128" s="243">
        <v>15069</v>
      </c>
      <c r="H128" s="243">
        <f t="shared" si="5"/>
        <v>51311</v>
      </c>
      <c r="I128" s="243">
        <v>14194</v>
      </c>
      <c r="J128" s="243">
        <v>0</v>
      </c>
      <c r="K128" s="243">
        <v>2354</v>
      </c>
      <c r="L128" s="243">
        <f t="shared" si="6"/>
        <v>16548</v>
      </c>
      <c r="M128" s="243">
        <v>0</v>
      </c>
      <c r="N128" s="243">
        <v>5279</v>
      </c>
      <c r="O128" s="243">
        <v>3171</v>
      </c>
      <c r="P128" s="243">
        <f t="shared" si="7"/>
        <v>8450</v>
      </c>
    </row>
    <row r="129" spans="1:16" s="27" customFormat="1" x14ac:dyDescent="0.25">
      <c r="A129" s="242">
        <v>117</v>
      </c>
      <c r="B129" s="264" t="s">
        <v>270</v>
      </c>
      <c r="C129" s="50" t="s">
        <v>271</v>
      </c>
      <c r="D129" s="243">
        <v>0</v>
      </c>
      <c r="E129" s="243">
        <v>601</v>
      </c>
      <c r="F129" s="243">
        <v>0</v>
      </c>
      <c r="G129" s="243">
        <v>2536</v>
      </c>
      <c r="H129" s="243">
        <f t="shared" si="5"/>
        <v>3137</v>
      </c>
      <c r="I129" s="243">
        <v>400</v>
      </c>
      <c r="J129" s="243">
        <v>0</v>
      </c>
      <c r="K129" s="243">
        <v>100</v>
      </c>
      <c r="L129" s="243">
        <f t="shared" si="6"/>
        <v>500</v>
      </c>
      <c r="M129" s="243">
        <v>0</v>
      </c>
      <c r="N129" s="243">
        <v>2901</v>
      </c>
      <c r="O129" s="243">
        <v>0</v>
      </c>
      <c r="P129" s="243">
        <f t="shared" si="7"/>
        <v>2901</v>
      </c>
    </row>
    <row r="130" spans="1:16" s="27" customFormat="1" x14ac:dyDescent="0.25">
      <c r="A130" s="242">
        <v>118</v>
      </c>
      <c r="B130" s="49" t="s">
        <v>272</v>
      </c>
      <c r="C130" s="50" t="s">
        <v>273</v>
      </c>
      <c r="D130" s="243">
        <v>0</v>
      </c>
      <c r="E130" s="243">
        <v>4472</v>
      </c>
      <c r="F130" s="243">
        <v>0</v>
      </c>
      <c r="G130" s="243">
        <v>0</v>
      </c>
      <c r="H130" s="243">
        <f t="shared" si="5"/>
        <v>4472</v>
      </c>
      <c r="I130" s="243">
        <v>2893</v>
      </c>
      <c r="J130" s="243">
        <v>0</v>
      </c>
      <c r="K130" s="243">
        <v>0</v>
      </c>
      <c r="L130" s="243">
        <f t="shared" si="6"/>
        <v>2893</v>
      </c>
      <c r="M130" s="243">
        <v>0</v>
      </c>
      <c r="N130" s="243">
        <v>0</v>
      </c>
      <c r="O130" s="243">
        <v>0</v>
      </c>
      <c r="P130" s="243">
        <f t="shared" si="7"/>
        <v>0</v>
      </c>
    </row>
    <row r="131" spans="1:16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v>0</v>
      </c>
      <c r="G131" s="243">
        <v>0</v>
      </c>
      <c r="H131" s="243">
        <f t="shared" si="5"/>
        <v>0</v>
      </c>
      <c r="I131" s="243">
        <v>0</v>
      </c>
      <c r="J131" s="243">
        <v>0</v>
      </c>
      <c r="K131" s="243">
        <v>0</v>
      </c>
      <c r="L131" s="243">
        <f t="shared" si="6"/>
        <v>0</v>
      </c>
      <c r="M131" s="243">
        <v>0</v>
      </c>
      <c r="N131" s="243">
        <v>0</v>
      </c>
      <c r="O131" s="243">
        <v>0</v>
      </c>
      <c r="P131" s="243">
        <f t="shared" si="7"/>
        <v>0</v>
      </c>
    </row>
    <row r="132" spans="1:16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v>0</v>
      </c>
      <c r="G132" s="243">
        <v>0</v>
      </c>
      <c r="H132" s="243">
        <f t="shared" si="5"/>
        <v>0</v>
      </c>
      <c r="I132" s="243">
        <v>3623</v>
      </c>
      <c r="J132" s="243">
        <v>0</v>
      </c>
      <c r="K132" s="243">
        <v>0</v>
      </c>
      <c r="L132" s="243">
        <f t="shared" si="6"/>
        <v>3623</v>
      </c>
      <c r="M132" s="243">
        <v>0</v>
      </c>
      <c r="N132" s="243">
        <v>0</v>
      </c>
      <c r="O132" s="243">
        <v>0</v>
      </c>
      <c r="P132" s="243">
        <f t="shared" si="7"/>
        <v>0</v>
      </c>
    </row>
    <row r="133" spans="1:16" s="27" customFormat="1" x14ac:dyDescent="0.25">
      <c r="A133" s="242">
        <v>121</v>
      </c>
      <c r="B133" s="264" t="s">
        <v>278</v>
      </c>
      <c r="C133" s="50" t="s">
        <v>279</v>
      </c>
      <c r="D133" s="243">
        <v>0</v>
      </c>
      <c r="E133" s="243">
        <v>0</v>
      </c>
      <c r="F133" s="243">
        <v>0</v>
      </c>
      <c r="G133" s="243">
        <v>0</v>
      </c>
      <c r="H133" s="243">
        <f t="shared" si="5"/>
        <v>0</v>
      </c>
      <c r="I133" s="243">
        <v>0</v>
      </c>
      <c r="J133" s="243">
        <v>0</v>
      </c>
      <c r="K133" s="243">
        <v>0</v>
      </c>
      <c r="L133" s="243">
        <f t="shared" si="6"/>
        <v>0</v>
      </c>
      <c r="M133" s="243">
        <v>0</v>
      </c>
      <c r="N133" s="243">
        <v>0</v>
      </c>
      <c r="O133" s="243">
        <v>0</v>
      </c>
      <c r="P133" s="243">
        <f t="shared" si="7"/>
        <v>0</v>
      </c>
    </row>
    <row r="134" spans="1:16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v>0</v>
      </c>
      <c r="G134" s="243">
        <v>0</v>
      </c>
      <c r="H134" s="243">
        <f t="shared" si="5"/>
        <v>0</v>
      </c>
      <c r="I134" s="243">
        <v>0</v>
      </c>
      <c r="J134" s="243">
        <v>0</v>
      </c>
      <c r="K134" s="243">
        <v>0</v>
      </c>
      <c r="L134" s="243">
        <f t="shared" si="6"/>
        <v>0</v>
      </c>
      <c r="M134" s="243">
        <v>0</v>
      </c>
      <c r="N134" s="243">
        <v>0</v>
      </c>
      <c r="O134" s="243">
        <v>0</v>
      </c>
      <c r="P134" s="243">
        <f t="shared" si="7"/>
        <v>0</v>
      </c>
    </row>
    <row r="135" spans="1:16" s="27" customFormat="1" x14ac:dyDescent="0.25">
      <c r="A135" s="242">
        <v>123</v>
      </c>
      <c r="B135" s="264" t="s">
        <v>282</v>
      </c>
      <c r="C135" s="50" t="s">
        <v>783</v>
      </c>
      <c r="D135" s="243">
        <v>0</v>
      </c>
      <c r="E135" s="243">
        <v>2416</v>
      </c>
      <c r="F135" s="243">
        <v>176</v>
      </c>
      <c r="G135" s="243">
        <v>583</v>
      </c>
      <c r="H135" s="243">
        <f t="shared" si="5"/>
        <v>3175</v>
      </c>
      <c r="I135" s="243">
        <v>0</v>
      </c>
      <c r="J135" s="243">
        <v>0</v>
      </c>
      <c r="K135" s="243">
        <v>0</v>
      </c>
      <c r="L135" s="243">
        <f t="shared" si="6"/>
        <v>0</v>
      </c>
      <c r="M135" s="243">
        <v>0</v>
      </c>
      <c r="N135" s="243">
        <v>0</v>
      </c>
      <c r="O135" s="243">
        <v>0</v>
      </c>
      <c r="P135" s="243">
        <f t="shared" si="7"/>
        <v>0</v>
      </c>
    </row>
    <row r="136" spans="1:16" s="27" customFormat="1" x14ac:dyDescent="0.25">
      <c r="A136" s="242">
        <v>124</v>
      </c>
      <c r="B136" s="49" t="s">
        <v>283</v>
      </c>
      <c r="C136" s="50" t="s">
        <v>284</v>
      </c>
      <c r="D136" s="243">
        <v>0</v>
      </c>
      <c r="E136" s="243">
        <v>8407</v>
      </c>
      <c r="F136" s="243">
        <v>108</v>
      </c>
      <c r="G136" s="243">
        <v>4336</v>
      </c>
      <c r="H136" s="243">
        <f t="shared" si="5"/>
        <v>12851</v>
      </c>
      <c r="I136" s="243">
        <v>6523</v>
      </c>
      <c r="J136" s="243">
        <v>952</v>
      </c>
      <c r="K136" s="243">
        <v>952</v>
      </c>
      <c r="L136" s="243">
        <f t="shared" si="6"/>
        <v>8427</v>
      </c>
      <c r="M136" s="243">
        <v>0</v>
      </c>
      <c r="N136" s="243">
        <v>0</v>
      </c>
      <c r="O136" s="243">
        <v>0</v>
      </c>
      <c r="P136" s="243">
        <f t="shared" si="7"/>
        <v>0</v>
      </c>
    </row>
    <row r="137" spans="1:16" s="27" customFormat="1" x14ac:dyDescent="0.25">
      <c r="A137" s="242">
        <v>125</v>
      </c>
      <c r="B137" s="52" t="s">
        <v>285</v>
      </c>
      <c r="C137" s="50" t="s">
        <v>737</v>
      </c>
      <c r="D137" s="243">
        <v>0</v>
      </c>
      <c r="E137" s="243">
        <v>2661</v>
      </c>
      <c r="F137" s="243">
        <v>48</v>
      </c>
      <c r="G137" s="243">
        <v>433</v>
      </c>
      <c r="H137" s="243">
        <f t="shared" si="5"/>
        <v>3142</v>
      </c>
      <c r="I137" s="243">
        <v>1114</v>
      </c>
      <c r="J137" s="243">
        <v>91</v>
      </c>
      <c r="K137" s="243">
        <v>0</v>
      </c>
      <c r="L137" s="243">
        <f t="shared" si="6"/>
        <v>1205</v>
      </c>
      <c r="M137" s="243">
        <v>0</v>
      </c>
      <c r="N137" s="243">
        <v>0</v>
      </c>
      <c r="O137" s="243">
        <v>0</v>
      </c>
      <c r="P137" s="243">
        <f t="shared" si="7"/>
        <v>0</v>
      </c>
    </row>
    <row r="138" spans="1:16" s="27" customFormat="1" x14ac:dyDescent="0.25">
      <c r="A138" s="242">
        <v>126</v>
      </c>
      <c r="B138" s="264" t="s">
        <v>286</v>
      </c>
      <c r="C138" s="50" t="s">
        <v>287</v>
      </c>
      <c r="D138" s="243">
        <v>4159</v>
      </c>
      <c r="E138" s="243">
        <v>0</v>
      </c>
      <c r="F138" s="243">
        <v>0</v>
      </c>
      <c r="G138" s="243">
        <v>0</v>
      </c>
      <c r="H138" s="243">
        <f t="shared" ref="H138:H147" si="8">D138+E138+F138+G138</f>
        <v>4159</v>
      </c>
      <c r="I138" s="243">
        <v>0</v>
      </c>
      <c r="J138" s="243">
        <v>0</v>
      </c>
      <c r="K138" s="243">
        <v>0</v>
      </c>
      <c r="L138" s="243">
        <f t="shared" si="6"/>
        <v>0</v>
      </c>
      <c r="M138" s="243">
        <v>0</v>
      </c>
      <c r="N138" s="243">
        <v>0</v>
      </c>
      <c r="O138" s="243">
        <v>0</v>
      </c>
      <c r="P138" s="243">
        <f t="shared" si="7"/>
        <v>0</v>
      </c>
    </row>
    <row r="139" spans="1:16" s="27" customFormat="1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v>0</v>
      </c>
      <c r="G139" s="243">
        <v>0</v>
      </c>
      <c r="H139" s="243">
        <f t="shared" si="8"/>
        <v>0</v>
      </c>
      <c r="I139" s="243">
        <v>0</v>
      </c>
      <c r="J139" s="243">
        <v>0</v>
      </c>
      <c r="K139" s="243">
        <v>0</v>
      </c>
      <c r="L139" s="243">
        <f t="shared" ref="L139:L147" si="9">I139+J139+K139</f>
        <v>0</v>
      </c>
      <c r="M139" s="243">
        <v>0</v>
      </c>
      <c r="N139" s="243">
        <v>0</v>
      </c>
      <c r="O139" s="243">
        <v>0</v>
      </c>
      <c r="P139" s="243">
        <f t="shared" ref="P139:P147" si="10">N139+O139</f>
        <v>0</v>
      </c>
    </row>
    <row r="140" spans="1:16" s="27" customFormat="1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v>0</v>
      </c>
      <c r="G140" s="243">
        <v>0</v>
      </c>
      <c r="H140" s="243">
        <f t="shared" si="8"/>
        <v>0</v>
      </c>
      <c r="I140" s="243">
        <v>0</v>
      </c>
      <c r="J140" s="243">
        <v>0</v>
      </c>
      <c r="K140" s="243">
        <v>0</v>
      </c>
      <c r="L140" s="243">
        <f t="shared" si="9"/>
        <v>0</v>
      </c>
      <c r="M140" s="243">
        <v>7983</v>
      </c>
      <c r="N140" s="243">
        <v>0</v>
      </c>
      <c r="O140" s="243">
        <v>0</v>
      </c>
      <c r="P140" s="243">
        <f t="shared" si="10"/>
        <v>0</v>
      </c>
    </row>
    <row r="141" spans="1:16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v>0</v>
      </c>
      <c r="G141" s="243">
        <v>0</v>
      </c>
      <c r="H141" s="243">
        <f t="shared" si="8"/>
        <v>0</v>
      </c>
      <c r="I141" s="243">
        <v>0</v>
      </c>
      <c r="J141" s="243">
        <v>0</v>
      </c>
      <c r="K141" s="243">
        <v>0</v>
      </c>
      <c r="L141" s="243">
        <f t="shared" si="9"/>
        <v>0</v>
      </c>
      <c r="M141" s="243">
        <v>0</v>
      </c>
      <c r="N141" s="243">
        <v>0</v>
      </c>
      <c r="O141" s="243">
        <v>0</v>
      </c>
      <c r="P141" s="243">
        <f t="shared" si="10"/>
        <v>0</v>
      </c>
    </row>
    <row r="142" spans="1:16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v>0</v>
      </c>
      <c r="G142" s="243">
        <v>0</v>
      </c>
      <c r="H142" s="243">
        <f t="shared" si="8"/>
        <v>0</v>
      </c>
      <c r="I142" s="243">
        <v>0</v>
      </c>
      <c r="J142" s="243">
        <v>0</v>
      </c>
      <c r="K142" s="243">
        <v>0</v>
      </c>
      <c r="L142" s="243">
        <f t="shared" si="9"/>
        <v>0</v>
      </c>
      <c r="M142" s="243">
        <v>0</v>
      </c>
      <c r="N142" s="243">
        <v>0</v>
      </c>
      <c r="O142" s="243">
        <v>0</v>
      </c>
      <c r="P142" s="243">
        <f t="shared" si="10"/>
        <v>0</v>
      </c>
    </row>
    <row r="143" spans="1:16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v>0</v>
      </c>
      <c r="G143" s="243">
        <v>0</v>
      </c>
      <c r="H143" s="243">
        <f t="shared" si="8"/>
        <v>0</v>
      </c>
      <c r="I143" s="243">
        <v>0</v>
      </c>
      <c r="J143" s="243">
        <v>0</v>
      </c>
      <c r="K143" s="243">
        <v>0</v>
      </c>
      <c r="L143" s="243">
        <f t="shared" si="9"/>
        <v>0</v>
      </c>
      <c r="M143" s="243">
        <v>0</v>
      </c>
      <c r="N143" s="243">
        <v>0</v>
      </c>
      <c r="O143" s="243">
        <v>0</v>
      </c>
      <c r="P143" s="243">
        <f t="shared" si="10"/>
        <v>0</v>
      </c>
    </row>
    <row r="144" spans="1:16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v>0</v>
      </c>
      <c r="G144" s="243">
        <v>0</v>
      </c>
      <c r="H144" s="243">
        <f t="shared" si="8"/>
        <v>0</v>
      </c>
      <c r="I144" s="243">
        <v>0</v>
      </c>
      <c r="J144" s="243">
        <v>0</v>
      </c>
      <c r="K144" s="243">
        <v>0</v>
      </c>
      <c r="L144" s="243">
        <f t="shared" si="9"/>
        <v>0</v>
      </c>
      <c r="M144" s="243">
        <v>0</v>
      </c>
      <c r="N144" s="243">
        <v>0</v>
      </c>
      <c r="O144" s="243">
        <v>0</v>
      </c>
      <c r="P144" s="243">
        <f t="shared" si="10"/>
        <v>0</v>
      </c>
    </row>
    <row r="145" spans="1:16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v>0</v>
      </c>
      <c r="G145" s="243">
        <v>0</v>
      </c>
      <c r="H145" s="243">
        <f t="shared" si="8"/>
        <v>0</v>
      </c>
      <c r="I145" s="243">
        <v>0</v>
      </c>
      <c r="J145" s="243">
        <v>0</v>
      </c>
      <c r="K145" s="243">
        <v>0</v>
      </c>
      <c r="L145" s="243">
        <f t="shared" si="9"/>
        <v>0</v>
      </c>
      <c r="M145" s="243">
        <v>0</v>
      </c>
      <c r="N145" s="243">
        <v>0</v>
      </c>
      <c r="O145" s="243">
        <v>0</v>
      </c>
      <c r="P145" s="243">
        <f t="shared" si="10"/>
        <v>0</v>
      </c>
    </row>
    <row r="146" spans="1:16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v>0</v>
      </c>
      <c r="G146" s="243">
        <v>0</v>
      </c>
      <c r="H146" s="243">
        <f t="shared" si="8"/>
        <v>0</v>
      </c>
      <c r="I146" s="243">
        <v>0</v>
      </c>
      <c r="J146" s="243">
        <v>0</v>
      </c>
      <c r="K146" s="243">
        <v>0</v>
      </c>
      <c r="L146" s="243">
        <f t="shared" si="9"/>
        <v>0</v>
      </c>
      <c r="M146" s="243">
        <v>0</v>
      </c>
      <c r="N146" s="243">
        <v>0</v>
      </c>
      <c r="O146" s="243">
        <v>0</v>
      </c>
      <c r="P146" s="243">
        <f t="shared" si="10"/>
        <v>0</v>
      </c>
    </row>
    <row r="147" spans="1:16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v>0</v>
      </c>
      <c r="G147" s="243">
        <v>0</v>
      </c>
      <c r="H147" s="243">
        <f t="shared" si="8"/>
        <v>0</v>
      </c>
      <c r="I147" s="243">
        <v>0</v>
      </c>
      <c r="J147" s="243">
        <v>0</v>
      </c>
      <c r="K147" s="243">
        <v>0</v>
      </c>
      <c r="L147" s="243">
        <f t="shared" si="9"/>
        <v>0</v>
      </c>
      <c r="M147" s="243">
        <v>0</v>
      </c>
      <c r="N147" s="243">
        <v>0</v>
      </c>
      <c r="O147" s="243">
        <v>0</v>
      </c>
      <c r="P147" s="243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Normal="100" workbookViewId="0">
      <pane xSplit="3" ySplit="9" topLeftCell="H127" activePane="bottomRight" state="frozen"/>
      <selection pane="topRight" activeCell="D1" sqref="D1"/>
      <selection pane="bottomLeft" activeCell="A9" sqref="A9"/>
      <selection pane="bottomRight" activeCell="C136" sqref="C1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</row>
    <row r="3" spans="1:8" x14ac:dyDescent="0.25">
      <c r="C3" s="6"/>
      <c r="E3" s="32"/>
    </row>
    <row r="4" spans="1:8" s="10" customFormat="1" ht="12" customHeight="1" x14ac:dyDescent="0.25">
      <c r="A4" s="1130" t="s">
        <v>0</v>
      </c>
      <c r="B4" s="1130" t="s">
        <v>1</v>
      </c>
      <c r="C4" s="1135" t="s">
        <v>2</v>
      </c>
      <c r="D4" s="1127" t="s">
        <v>514</v>
      </c>
      <c r="E4" s="1128"/>
      <c r="F4" s="1128"/>
      <c r="G4" s="1128"/>
      <c r="H4" s="1129"/>
    </row>
    <row r="5" spans="1:8" ht="44.25" customHeight="1" x14ac:dyDescent="0.25">
      <c r="A5" s="1137"/>
      <c r="B5" s="1137"/>
      <c r="C5" s="1136"/>
      <c r="D5" s="265" t="s">
        <v>515</v>
      </c>
      <c r="E5" s="265" t="s">
        <v>558</v>
      </c>
      <c r="F5" s="265" t="s">
        <v>516</v>
      </c>
      <c r="G5" s="265" t="s">
        <v>559</v>
      </c>
      <c r="H5" s="266" t="s">
        <v>13</v>
      </c>
    </row>
    <row r="6" spans="1:8" x14ac:dyDescent="0.25">
      <c r="A6" s="1139" t="s">
        <v>13</v>
      </c>
      <c r="B6" s="1139"/>
      <c r="C6" s="1139"/>
      <c r="D6" s="269">
        <f>D7+D9+D8</f>
        <v>252754</v>
      </c>
      <c r="E6" s="269">
        <f t="shared" ref="E6:H6" si="0">E7+E9+E8</f>
        <v>125327</v>
      </c>
      <c r="F6" s="269">
        <f t="shared" si="0"/>
        <v>84519</v>
      </c>
      <c r="G6" s="269">
        <f t="shared" si="0"/>
        <v>6961</v>
      </c>
      <c r="H6" s="269">
        <f t="shared" si="0"/>
        <v>469561</v>
      </c>
    </row>
    <row r="7" spans="1:8" x14ac:dyDescent="0.25">
      <c r="A7" s="16"/>
      <c r="B7" s="16"/>
      <c r="C7" s="17" t="s">
        <v>14</v>
      </c>
      <c r="D7" s="243"/>
      <c r="E7" s="243"/>
      <c r="F7" s="243"/>
      <c r="G7" s="243">
        <v>42</v>
      </c>
      <c r="H7" s="243">
        <f>E7+F7+G7+D7</f>
        <v>42</v>
      </c>
    </row>
    <row r="8" spans="1:8" x14ac:dyDescent="0.25">
      <c r="A8" s="16"/>
      <c r="B8" s="16"/>
      <c r="C8" s="17" t="s">
        <v>554</v>
      </c>
      <c r="D8" s="243"/>
      <c r="E8" s="243"/>
      <c r="F8" s="243"/>
      <c r="G8" s="243"/>
      <c r="H8" s="243">
        <f>E8+F8+G8+D8</f>
        <v>0</v>
      </c>
    </row>
    <row r="9" spans="1:8" s="10" customFormat="1" x14ac:dyDescent="0.25">
      <c r="A9" s="1139" t="s">
        <v>15</v>
      </c>
      <c r="B9" s="1139"/>
      <c r="C9" s="1139"/>
      <c r="D9" s="269">
        <f>SUM(D10:D147)-D90</f>
        <v>252754</v>
      </c>
      <c r="E9" s="269">
        <f t="shared" ref="E9:H9" si="1">SUM(E10:E147)-E90</f>
        <v>125327</v>
      </c>
      <c r="F9" s="269">
        <f t="shared" si="1"/>
        <v>84519</v>
      </c>
      <c r="G9" s="269">
        <f t="shared" si="1"/>
        <v>6919</v>
      </c>
      <c r="H9" s="269">
        <f t="shared" si="1"/>
        <v>469519</v>
      </c>
    </row>
    <row r="10" spans="1:8" s="20" customFormat="1" x14ac:dyDescent="0.25">
      <c r="A10" s="242">
        <v>1</v>
      </c>
      <c r="B10" s="49" t="s">
        <v>54</v>
      </c>
      <c r="C10" s="50" t="s">
        <v>55</v>
      </c>
      <c r="D10" s="716">
        <v>1018</v>
      </c>
      <c r="E10" s="716">
        <v>538</v>
      </c>
      <c r="F10" s="716">
        <v>365</v>
      </c>
      <c r="G10" s="716">
        <v>0</v>
      </c>
      <c r="H10" s="716">
        <f t="shared" ref="H10:H73" si="2">D10+E10+F10+G10</f>
        <v>1921</v>
      </c>
    </row>
    <row r="11" spans="1:8" s="20" customFormat="1" x14ac:dyDescent="0.25">
      <c r="A11" s="242">
        <v>2</v>
      </c>
      <c r="B11" s="52" t="s">
        <v>56</v>
      </c>
      <c r="C11" s="50" t="s">
        <v>57</v>
      </c>
      <c r="D11" s="716">
        <v>1020</v>
      </c>
      <c r="E11" s="716">
        <v>557</v>
      </c>
      <c r="F11" s="716">
        <v>378</v>
      </c>
      <c r="G11" s="716">
        <v>0</v>
      </c>
      <c r="H11" s="716">
        <f t="shared" si="2"/>
        <v>1955</v>
      </c>
    </row>
    <row r="12" spans="1:8" s="10" customFormat="1" x14ac:dyDescent="0.25">
      <c r="A12" s="242">
        <v>3</v>
      </c>
      <c r="B12" s="264" t="s">
        <v>16</v>
      </c>
      <c r="C12" s="50" t="s">
        <v>17</v>
      </c>
      <c r="D12" s="716">
        <v>3524</v>
      </c>
      <c r="E12" s="716">
        <v>1689</v>
      </c>
      <c r="F12" s="716">
        <v>1555</v>
      </c>
      <c r="G12" s="716">
        <v>0</v>
      </c>
      <c r="H12" s="716">
        <f t="shared" si="2"/>
        <v>6768</v>
      </c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716">
        <v>851</v>
      </c>
      <c r="E13" s="716">
        <v>599</v>
      </c>
      <c r="F13" s="716">
        <v>0</v>
      </c>
      <c r="G13" s="716">
        <v>0</v>
      </c>
      <c r="H13" s="716">
        <f t="shared" si="2"/>
        <v>1450</v>
      </c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716">
        <v>1220</v>
      </c>
      <c r="E14" s="716">
        <v>650</v>
      </c>
      <c r="F14" s="716">
        <v>442</v>
      </c>
      <c r="G14" s="716">
        <v>0</v>
      </c>
      <c r="H14" s="716">
        <f t="shared" si="2"/>
        <v>2312</v>
      </c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716">
        <v>5779</v>
      </c>
      <c r="E15" s="716">
        <v>2327</v>
      </c>
      <c r="F15" s="716">
        <v>1581</v>
      </c>
      <c r="G15" s="716">
        <v>243</v>
      </c>
      <c r="H15" s="716">
        <f t="shared" si="2"/>
        <v>9930</v>
      </c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716">
        <v>2312</v>
      </c>
      <c r="E16" s="716">
        <v>1706</v>
      </c>
      <c r="F16" s="716">
        <v>1159</v>
      </c>
      <c r="G16" s="716">
        <v>0</v>
      </c>
      <c r="H16" s="716">
        <f t="shared" si="2"/>
        <v>5177</v>
      </c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716">
        <v>0</v>
      </c>
      <c r="E17" s="716">
        <v>689</v>
      </c>
      <c r="F17" s="716">
        <v>468</v>
      </c>
      <c r="G17" s="716">
        <v>0</v>
      </c>
      <c r="H17" s="716">
        <f t="shared" si="2"/>
        <v>1157</v>
      </c>
    </row>
    <row r="18" spans="1:8" s="245" customFormat="1" x14ac:dyDescent="0.25">
      <c r="A18" s="242">
        <v>9</v>
      </c>
      <c r="B18" s="264" t="s">
        <v>66</v>
      </c>
      <c r="C18" s="50" t="s">
        <v>67</v>
      </c>
      <c r="D18" s="716">
        <v>1134</v>
      </c>
      <c r="E18" s="716">
        <v>617</v>
      </c>
      <c r="F18" s="716">
        <v>419</v>
      </c>
      <c r="G18" s="716">
        <v>0</v>
      </c>
      <c r="H18" s="716">
        <f t="shared" si="2"/>
        <v>2170</v>
      </c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716">
        <v>1542</v>
      </c>
      <c r="E19" s="716">
        <v>862</v>
      </c>
      <c r="F19" s="716">
        <v>586</v>
      </c>
      <c r="G19" s="716">
        <v>0</v>
      </c>
      <c r="H19" s="716">
        <f t="shared" si="2"/>
        <v>2990</v>
      </c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716">
        <v>1159</v>
      </c>
      <c r="E20" s="716">
        <v>613</v>
      </c>
      <c r="F20" s="716">
        <v>417</v>
      </c>
      <c r="G20" s="716">
        <v>0</v>
      </c>
      <c r="H20" s="716">
        <f t="shared" si="2"/>
        <v>2189</v>
      </c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716">
        <v>1000</v>
      </c>
      <c r="E21" s="716">
        <v>0</v>
      </c>
      <c r="F21" s="716">
        <v>0</v>
      </c>
      <c r="G21" s="716">
        <v>0</v>
      </c>
      <c r="H21" s="716">
        <f t="shared" si="2"/>
        <v>1000</v>
      </c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716">
        <v>5677</v>
      </c>
      <c r="E22" s="716">
        <v>3597</v>
      </c>
      <c r="F22" s="716">
        <v>2444</v>
      </c>
      <c r="G22" s="716">
        <v>0</v>
      </c>
      <c r="H22" s="716">
        <f t="shared" si="2"/>
        <v>11718</v>
      </c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716">
        <v>1121</v>
      </c>
      <c r="E23" s="716">
        <v>0</v>
      </c>
      <c r="F23" s="716">
        <v>0</v>
      </c>
      <c r="G23" s="716">
        <v>0</v>
      </c>
      <c r="H23" s="716">
        <f t="shared" si="2"/>
        <v>1121</v>
      </c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716">
        <v>2368</v>
      </c>
      <c r="E24" s="716">
        <v>1138</v>
      </c>
      <c r="F24" s="716">
        <v>773</v>
      </c>
      <c r="G24" s="716">
        <v>0</v>
      </c>
      <c r="H24" s="716">
        <f t="shared" si="2"/>
        <v>4279</v>
      </c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716">
        <v>2996</v>
      </c>
      <c r="E25" s="716">
        <v>1488</v>
      </c>
      <c r="F25" s="716">
        <v>1011</v>
      </c>
      <c r="G25" s="716">
        <v>0</v>
      </c>
      <c r="H25" s="716">
        <f t="shared" si="2"/>
        <v>5495</v>
      </c>
    </row>
    <row r="26" spans="1:8" s="27" customFormat="1" x14ac:dyDescent="0.25">
      <c r="A26" s="242">
        <v>17</v>
      </c>
      <c r="B26" s="264" t="s">
        <v>20</v>
      </c>
      <c r="C26" s="50" t="s">
        <v>21</v>
      </c>
      <c r="D26" s="716">
        <v>5889</v>
      </c>
      <c r="E26" s="716">
        <v>3307</v>
      </c>
      <c r="F26" s="716">
        <v>2248</v>
      </c>
      <c r="G26" s="716">
        <v>148</v>
      </c>
      <c r="H26" s="716">
        <f t="shared" si="2"/>
        <v>11592</v>
      </c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716">
        <v>658</v>
      </c>
      <c r="E27" s="716">
        <v>0</v>
      </c>
      <c r="F27" s="716">
        <v>0</v>
      </c>
      <c r="G27" s="716">
        <v>0</v>
      </c>
      <c r="H27" s="716">
        <f t="shared" si="2"/>
        <v>658</v>
      </c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716">
        <v>0</v>
      </c>
      <c r="E28" s="716">
        <v>0</v>
      </c>
      <c r="F28" s="716">
        <v>0</v>
      </c>
      <c r="G28" s="716">
        <v>0</v>
      </c>
      <c r="H28" s="716">
        <f t="shared" si="2"/>
        <v>0</v>
      </c>
    </row>
    <row r="29" spans="1:8" s="245" customFormat="1" x14ac:dyDescent="0.25">
      <c r="A29" s="242">
        <v>20</v>
      </c>
      <c r="B29" s="49" t="s">
        <v>86</v>
      </c>
      <c r="C29" s="50" t="s">
        <v>87</v>
      </c>
      <c r="D29" s="716">
        <v>3947</v>
      </c>
      <c r="E29" s="716">
        <v>2025</v>
      </c>
      <c r="F29" s="716">
        <v>1376</v>
      </c>
      <c r="G29" s="716">
        <v>106</v>
      </c>
      <c r="H29" s="716">
        <f t="shared" si="2"/>
        <v>7454</v>
      </c>
    </row>
    <row r="30" spans="1:8" s="27" customFormat="1" x14ac:dyDescent="0.25">
      <c r="A30" s="242">
        <v>21</v>
      </c>
      <c r="B30" s="49" t="s">
        <v>22</v>
      </c>
      <c r="C30" s="50" t="s">
        <v>23</v>
      </c>
      <c r="D30" s="716">
        <v>4596</v>
      </c>
      <c r="E30" s="716">
        <v>2879</v>
      </c>
      <c r="F30" s="716">
        <v>1958</v>
      </c>
      <c r="G30" s="716">
        <v>228</v>
      </c>
      <c r="H30" s="716">
        <f t="shared" si="2"/>
        <v>9661</v>
      </c>
    </row>
    <row r="31" spans="1:8" s="27" customFormat="1" x14ac:dyDescent="0.25">
      <c r="A31" s="242">
        <v>22</v>
      </c>
      <c r="B31" s="264" t="s">
        <v>24</v>
      </c>
      <c r="C31" s="50" t="s">
        <v>25</v>
      </c>
      <c r="D31" s="716">
        <v>779</v>
      </c>
      <c r="E31" s="716">
        <v>420</v>
      </c>
      <c r="F31" s="716">
        <v>285</v>
      </c>
      <c r="G31" s="716">
        <v>0</v>
      </c>
      <c r="H31" s="716">
        <f t="shared" si="2"/>
        <v>1484</v>
      </c>
    </row>
    <row r="32" spans="1:8" x14ac:dyDescent="0.25">
      <c r="A32" s="242">
        <v>23</v>
      </c>
      <c r="B32" s="264" t="s">
        <v>88</v>
      </c>
      <c r="C32" s="50" t="s">
        <v>89</v>
      </c>
      <c r="D32" s="716">
        <v>0</v>
      </c>
      <c r="E32" s="716">
        <v>0</v>
      </c>
      <c r="F32" s="716">
        <v>0</v>
      </c>
      <c r="G32" s="716">
        <v>0</v>
      </c>
      <c r="H32" s="716">
        <f t="shared" si="2"/>
        <v>0</v>
      </c>
    </row>
    <row r="33" spans="1:8" s="245" customFormat="1" ht="12.75" customHeight="1" x14ac:dyDescent="0.25">
      <c r="A33" s="242">
        <v>24</v>
      </c>
      <c r="B33" s="264" t="s">
        <v>90</v>
      </c>
      <c r="C33" s="50" t="s">
        <v>91</v>
      </c>
      <c r="D33" s="716">
        <v>0</v>
      </c>
      <c r="E33" s="716">
        <v>0</v>
      </c>
      <c r="F33" s="716">
        <v>0</v>
      </c>
      <c r="G33" s="716">
        <v>0</v>
      </c>
      <c r="H33" s="716">
        <f t="shared" si="2"/>
        <v>0</v>
      </c>
    </row>
    <row r="34" spans="1:8" s="245" customFormat="1" x14ac:dyDescent="0.25">
      <c r="A34" s="242">
        <v>25</v>
      </c>
      <c r="B34" s="49" t="s">
        <v>92</v>
      </c>
      <c r="C34" s="50" t="s">
        <v>93</v>
      </c>
      <c r="D34" s="716">
        <v>19216</v>
      </c>
      <c r="E34" s="716">
        <v>9446</v>
      </c>
      <c r="F34" s="716">
        <v>6597</v>
      </c>
      <c r="G34" s="716">
        <v>564</v>
      </c>
      <c r="H34" s="716">
        <f t="shared" si="2"/>
        <v>35823</v>
      </c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716">
        <v>0</v>
      </c>
      <c r="E35" s="716">
        <v>0</v>
      </c>
      <c r="F35" s="716">
        <v>0</v>
      </c>
      <c r="G35" s="716">
        <v>0</v>
      </c>
      <c r="H35" s="716">
        <f t="shared" si="2"/>
        <v>0</v>
      </c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716">
        <v>0</v>
      </c>
      <c r="E36" s="716">
        <v>0</v>
      </c>
      <c r="F36" s="716">
        <v>0</v>
      </c>
      <c r="G36" s="716">
        <v>0</v>
      </c>
      <c r="H36" s="716">
        <f t="shared" si="2"/>
        <v>0</v>
      </c>
    </row>
    <row r="37" spans="1:8" s="27" customFormat="1" x14ac:dyDescent="0.25">
      <c r="A37" s="242">
        <v>28</v>
      </c>
      <c r="B37" s="52" t="s">
        <v>26</v>
      </c>
      <c r="C37" s="50" t="s">
        <v>27</v>
      </c>
      <c r="D37" s="716">
        <v>4638</v>
      </c>
      <c r="E37" s="716">
        <v>2450</v>
      </c>
      <c r="F37" s="716">
        <v>1665</v>
      </c>
      <c r="G37" s="716">
        <v>128</v>
      </c>
      <c r="H37" s="716">
        <f t="shared" si="2"/>
        <v>8881</v>
      </c>
    </row>
    <row r="38" spans="1:8" s="27" customFormat="1" x14ac:dyDescent="0.25">
      <c r="A38" s="242">
        <v>29</v>
      </c>
      <c r="B38" s="49" t="s">
        <v>98</v>
      </c>
      <c r="C38" s="50" t="s">
        <v>99</v>
      </c>
      <c r="D38" s="716">
        <v>6937</v>
      </c>
      <c r="E38" s="716">
        <v>3607</v>
      </c>
      <c r="F38" s="716">
        <v>2451</v>
      </c>
      <c r="G38" s="716">
        <v>318</v>
      </c>
      <c r="H38" s="716">
        <f t="shared" si="2"/>
        <v>13313</v>
      </c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716">
        <v>1327</v>
      </c>
      <c r="E39" s="716">
        <v>692</v>
      </c>
      <c r="F39" s="716">
        <v>470</v>
      </c>
      <c r="G39" s="716">
        <v>0</v>
      </c>
      <c r="H39" s="716">
        <f t="shared" si="2"/>
        <v>2489</v>
      </c>
    </row>
    <row r="40" spans="1:8" s="245" customFormat="1" x14ac:dyDescent="0.25">
      <c r="A40" s="242">
        <v>31</v>
      </c>
      <c r="B40" s="264" t="s">
        <v>102</v>
      </c>
      <c r="C40" s="50" t="s">
        <v>103</v>
      </c>
      <c r="D40" s="716">
        <v>4759</v>
      </c>
      <c r="E40" s="716">
        <v>2493</v>
      </c>
      <c r="F40" s="716">
        <v>1344</v>
      </c>
      <c r="G40" s="716">
        <v>0</v>
      </c>
      <c r="H40" s="716">
        <f t="shared" si="2"/>
        <v>8596</v>
      </c>
    </row>
    <row r="41" spans="1:8" x14ac:dyDescent="0.25">
      <c r="A41" s="242">
        <v>32</v>
      </c>
      <c r="B41" s="52" t="s">
        <v>104</v>
      </c>
      <c r="C41" s="50" t="s">
        <v>105</v>
      </c>
      <c r="D41" s="716">
        <v>1763</v>
      </c>
      <c r="E41" s="716">
        <v>916</v>
      </c>
      <c r="F41" s="716">
        <v>623</v>
      </c>
      <c r="G41" s="716">
        <v>0</v>
      </c>
      <c r="H41" s="716">
        <f t="shared" si="2"/>
        <v>3302</v>
      </c>
    </row>
    <row r="42" spans="1:8" s="27" customFormat="1" x14ac:dyDescent="0.25">
      <c r="A42" s="242">
        <v>33</v>
      </c>
      <c r="B42" s="49" t="s">
        <v>106</v>
      </c>
      <c r="C42" s="50" t="s">
        <v>107</v>
      </c>
      <c r="D42" s="716">
        <v>4626</v>
      </c>
      <c r="E42" s="716">
        <v>2399</v>
      </c>
      <c r="F42" s="716">
        <v>1630</v>
      </c>
      <c r="G42" s="716">
        <v>0</v>
      </c>
      <c r="H42" s="716">
        <f t="shared" si="2"/>
        <v>8655</v>
      </c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716">
        <v>1558</v>
      </c>
      <c r="E43" s="716">
        <v>821</v>
      </c>
      <c r="F43" s="716">
        <v>558</v>
      </c>
      <c r="G43" s="716">
        <v>0</v>
      </c>
      <c r="H43" s="716">
        <f t="shared" si="2"/>
        <v>2937</v>
      </c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716">
        <v>375</v>
      </c>
      <c r="E44" s="716">
        <v>264</v>
      </c>
      <c r="F44" s="716">
        <v>0</v>
      </c>
      <c r="G44" s="716">
        <v>0</v>
      </c>
      <c r="H44" s="716">
        <f t="shared" si="2"/>
        <v>639</v>
      </c>
    </row>
    <row r="45" spans="1:8" x14ac:dyDescent="0.25">
      <c r="A45" s="242">
        <v>36</v>
      </c>
      <c r="B45" s="49" t="s">
        <v>112</v>
      </c>
      <c r="C45" s="50" t="s">
        <v>113</v>
      </c>
      <c r="D45" s="716">
        <v>1331</v>
      </c>
      <c r="E45" s="716">
        <v>936</v>
      </c>
      <c r="F45" s="716">
        <v>636</v>
      </c>
      <c r="G45" s="716">
        <v>0</v>
      </c>
      <c r="H45" s="716">
        <f t="shared" si="2"/>
        <v>2903</v>
      </c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716">
        <v>673</v>
      </c>
      <c r="E46" s="716">
        <v>428</v>
      </c>
      <c r="F46" s="716">
        <v>290</v>
      </c>
      <c r="G46" s="716">
        <v>0</v>
      </c>
      <c r="H46" s="716">
        <f t="shared" si="2"/>
        <v>1391</v>
      </c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716">
        <v>876</v>
      </c>
      <c r="E47" s="716">
        <v>616</v>
      </c>
      <c r="F47" s="716">
        <v>419</v>
      </c>
      <c r="G47" s="716">
        <v>0</v>
      </c>
      <c r="H47" s="716">
        <f t="shared" si="2"/>
        <v>1911</v>
      </c>
    </row>
    <row r="48" spans="1:8" s="27" customFormat="1" x14ac:dyDescent="0.25">
      <c r="A48" s="242">
        <v>39</v>
      </c>
      <c r="B48" s="264" t="s">
        <v>28</v>
      </c>
      <c r="C48" s="50" t="s">
        <v>29</v>
      </c>
      <c r="D48" s="716">
        <v>6287</v>
      </c>
      <c r="E48" s="716">
        <v>3286</v>
      </c>
      <c r="F48" s="716">
        <v>2026</v>
      </c>
      <c r="G48" s="716">
        <v>303</v>
      </c>
      <c r="H48" s="716">
        <f t="shared" si="2"/>
        <v>11902</v>
      </c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716">
        <v>1276</v>
      </c>
      <c r="E49" s="716">
        <v>743</v>
      </c>
      <c r="F49" s="716">
        <v>505</v>
      </c>
      <c r="G49" s="716">
        <v>0</v>
      </c>
      <c r="H49" s="716">
        <f t="shared" si="2"/>
        <v>2524</v>
      </c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716">
        <v>5046</v>
      </c>
      <c r="E50" s="716">
        <v>2600</v>
      </c>
      <c r="F50" s="716">
        <v>1766</v>
      </c>
      <c r="G50" s="716">
        <v>0</v>
      </c>
      <c r="H50" s="716">
        <f t="shared" si="2"/>
        <v>9412</v>
      </c>
    </row>
    <row r="51" spans="1:8" s="245" customFormat="1" x14ac:dyDescent="0.25">
      <c r="A51" s="242">
        <v>42</v>
      </c>
      <c r="B51" s="264" t="s">
        <v>122</v>
      </c>
      <c r="C51" s="50" t="s">
        <v>123</v>
      </c>
      <c r="D51" s="716">
        <v>1044</v>
      </c>
      <c r="E51" s="716">
        <v>568</v>
      </c>
      <c r="F51" s="716">
        <v>386</v>
      </c>
      <c r="G51" s="716">
        <v>0</v>
      </c>
      <c r="H51" s="716">
        <f t="shared" si="2"/>
        <v>1998</v>
      </c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716">
        <v>1404</v>
      </c>
      <c r="E52" s="716">
        <v>776</v>
      </c>
      <c r="F52" s="716">
        <v>527</v>
      </c>
      <c r="G52" s="716">
        <v>0</v>
      </c>
      <c r="H52" s="716">
        <f t="shared" si="2"/>
        <v>2707</v>
      </c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716">
        <v>1670</v>
      </c>
      <c r="E53" s="716">
        <v>910</v>
      </c>
      <c r="F53" s="716">
        <v>618</v>
      </c>
      <c r="G53" s="716">
        <v>0</v>
      </c>
      <c r="H53" s="716">
        <f t="shared" si="2"/>
        <v>3198</v>
      </c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716">
        <v>2031</v>
      </c>
      <c r="E54" s="716">
        <v>1075</v>
      </c>
      <c r="F54" s="716">
        <v>730</v>
      </c>
      <c r="G54" s="716">
        <v>0</v>
      </c>
      <c r="H54" s="716">
        <f t="shared" si="2"/>
        <v>3836</v>
      </c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716">
        <v>544</v>
      </c>
      <c r="E55" s="716">
        <v>0</v>
      </c>
      <c r="F55" s="716">
        <v>260</v>
      </c>
      <c r="G55" s="716">
        <v>0</v>
      </c>
      <c r="H55" s="716">
        <f t="shared" si="2"/>
        <v>804</v>
      </c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716">
        <v>995</v>
      </c>
      <c r="E56" s="716">
        <v>700</v>
      </c>
      <c r="F56" s="716">
        <v>476</v>
      </c>
      <c r="G56" s="716">
        <v>0</v>
      </c>
      <c r="H56" s="716">
        <f t="shared" si="2"/>
        <v>2171</v>
      </c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716">
        <v>2042</v>
      </c>
      <c r="E57" s="716">
        <v>1106</v>
      </c>
      <c r="F57" s="716">
        <v>752</v>
      </c>
      <c r="G57" s="716">
        <v>0</v>
      </c>
      <c r="H57" s="716">
        <f t="shared" si="2"/>
        <v>3900</v>
      </c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716">
        <v>7353</v>
      </c>
      <c r="E58" s="716">
        <v>3783</v>
      </c>
      <c r="F58" s="716">
        <v>2571</v>
      </c>
      <c r="G58" s="716">
        <v>247</v>
      </c>
      <c r="H58" s="716">
        <f t="shared" si="2"/>
        <v>13954</v>
      </c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716">
        <v>1469</v>
      </c>
      <c r="E59" s="716">
        <v>786</v>
      </c>
      <c r="F59" s="716">
        <v>534</v>
      </c>
      <c r="G59" s="716">
        <v>0</v>
      </c>
      <c r="H59" s="716">
        <f t="shared" si="2"/>
        <v>2789</v>
      </c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716">
        <v>1068</v>
      </c>
      <c r="E60" s="716">
        <v>584</v>
      </c>
      <c r="F60" s="716">
        <v>397</v>
      </c>
      <c r="G60" s="716">
        <v>0</v>
      </c>
      <c r="H60" s="716">
        <f t="shared" si="2"/>
        <v>2049</v>
      </c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716">
        <v>1281</v>
      </c>
      <c r="E61" s="716">
        <v>630</v>
      </c>
      <c r="F61" s="716">
        <v>478</v>
      </c>
      <c r="G61" s="716">
        <v>0</v>
      </c>
      <c r="H61" s="716">
        <f t="shared" si="2"/>
        <v>2389</v>
      </c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716">
        <v>0</v>
      </c>
      <c r="E62" s="716">
        <v>0</v>
      </c>
      <c r="F62" s="716">
        <v>0</v>
      </c>
      <c r="G62" s="716">
        <v>0</v>
      </c>
      <c r="H62" s="716">
        <f t="shared" si="2"/>
        <v>0</v>
      </c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716">
        <v>0</v>
      </c>
      <c r="E63" s="716">
        <v>0</v>
      </c>
      <c r="F63" s="716">
        <v>0</v>
      </c>
      <c r="G63" s="716">
        <v>0</v>
      </c>
      <c r="H63" s="716">
        <f t="shared" si="2"/>
        <v>0</v>
      </c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716">
        <v>3097</v>
      </c>
      <c r="E64" s="716">
        <v>0</v>
      </c>
      <c r="F64" s="716">
        <v>0</v>
      </c>
      <c r="G64" s="716">
        <v>0</v>
      </c>
      <c r="H64" s="716">
        <f t="shared" si="2"/>
        <v>3097</v>
      </c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716">
        <v>2836</v>
      </c>
      <c r="E65" s="716">
        <v>0</v>
      </c>
      <c r="F65" s="716">
        <v>0</v>
      </c>
      <c r="G65" s="716">
        <v>0</v>
      </c>
      <c r="H65" s="716">
        <f t="shared" si="2"/>
        <v>2836</v>
      </c>
    </row>
    <row r="66" spans="1:8" s="27" customFormat="1" x14ac:dyDescent="0.25">
      <c r="A66" s="242">
        <v>57</v>
      </c>
      <c r="B66" s="49" t="s">
        <v>152</v>
      </c>
      <c r="C66" s="50" t="s">
        <v>557</v>
      </c>
      <c r="D66" s="716">
        <v>0</v>
      </c>
      <c r="E66" s="716">
        <v>0</v>
      </c>
      <c r="F66" s="716">
        <v>0</v>
      </c>
      <c r="G66" s="716">
        <v>0</v>
      </c>
      <c r="H66" s="716">
        <f t="shared" si="2"/>
        <v>0</v>
      </c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716">
        <v>4190</v>
      </c>
      <c r="E67" s="716">
        <v>0</v>
      </c>
      <c r="F67" s="716">
        <v>0</v>
      </c>
      <c r="G67" s="716">
        <v>0</v>
      </c>
      <c r="H67" s="716">
        <f t="shared" si="2"/>
        <v>4190</v>
      </c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716">
        <v>0</v>
      </c>
      <c r="E68" s="716">
        <v>0</v>
      </c>
      <c r="F68" s="716">
        <v>0</v>
      </c>
      <c r="G68" s="716">
        <v>0</v>
      </c>
      <c r="H68" s="716">
        <f t="shared" si="2"/>
        <v>0</v>
      </c>
    </row>
    <row r="69" spans="1:8" s="27" customFormat="1" ht="24" x14ac:dyDescent="0.25">
      <c r="A69" s="242">
        <v>60</v>
      </c>
      <c r="B69" s="49" t="s">
        <v>158</v>
      </c>
      <c r="C69" s="50" t="s">
        <v>159</v>
      </c>
      <c r="D69" s="716">
        <v>0</v>
      </c>
      <c r="E69" s="716">
        <v>0</v>
      </c>
      <c r="F69" s="716">
        <v>0</v>
      </c>
      <c r="G69" s="716">
        <v>0</v>
      </c>
      <c r="H69" s="716">
        <f t="shared" si="2"/>
        <v>0</v>
      </c>
    </row>
    <row r="70" spans="1:8" s="27" customFormat="1" ht="24" x14ac:dyDescent="0.25">
      <c r="A70" s="242">
        <v>61</v>
      </c>
      <c r="B70" s="49" t="s">
        <v>160</v>
      </c>
      <c r="C70" s="50" t="s">
        <v>161</v>
      </c>
      <c r="D70" s="716">
        <v>0</v>
      </c>
      <c r="E70" s="716">
        <v>0</v>
      </c>
      <c r="F70" s="716">
        <v>0</v>
      </c>
      <c r="G70" s="716">
        <v>0</v>
      </c>
      <c r="H70" s="716">
        <f t="shared" si="2"/>
        <v>0</v>
      </c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716">
        <v>4744</v>
      </c>
      <c r="E71" s="716">
        <v>3336</v>
      </c>
      <c r="F71" s="716">
        <v>2267</v>
      </c>
      <c r="G71" s="716">
        <v>0</v>
      </c>
      <c r="H71" s="716">
        <f t="shared" si="2"/>
        <v>10347</v>
      </c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716">
        <v>2747</v>
      </c>
      <c r="E72" s="716">
        <v>1932</v>
      </c>
      <c r="F72" s="716">
        <v>1313</v>
      </c>
      <c r="G72" s="716">
        <v>0</v>
      </c>
      <c r="H72" s="716">
        <f t="shared" si="2"/>
        <v>5992</v>
      </c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716">
        <v>6307</v>
      </c>
      <c r="E73" s="716">
        <v>4435</v>
      </c>
      <c r="F73" s="716">
        <v>3014</v>
      </c>
      <c r="G73" s="716">
        <v>0</v>
      </c>
      <c r="H73" s="716">
        <f t="shared" si="2"/>
        <v>13756</v>
      </c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716">
        <v>0</v>
      </c>
      <c r="E74" s="716">
        <v>0</v>
      </c>
      <c r="F74" s="716">
        <v>0</v>
      </c>
      <c r="G74" s="716">
        <v>0</v>
      </c>
      <c r="H74" s="716">
        <f t="shared" ref="H74:H137" si="3">D74+E74+F74+G74</f>
        <v>0</v>
      </c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716">
        <v>0</v>
      </c>
      <c r="E75" s="716">
        <v>0</v>
      </c>
      <c r="F75" s="716">
        <v>0</v>
      </c>
      <c r="G75" s="716">
        <v>0</v>
      </c>
      <c r="H75" s="716">
        <f t="shared" si="3"/>
        <v>0</v>
      </c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716">
        <v>0</v>
      </c>
      <c r="E76" s="716">
        <v>0</v>
      </c>
      <c r="F76" s="716">
        <v>0</v>
      </c>
      <c r="G76" s="716">
        <v>0</v>
      </c>
      <c r="H76" s="716">
        <f t="shared" si="3"/>
        <v>0</v>
      </c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716">
        <v>0</v>
      </c>
      <c r="E77" s="716">
        <v>0</v>
      </c>
      <c r="F77" s="716">
        <v>0</v>
      </c>
      <c r="G77" s="716">
        <v>0</v>
      </c>
      <c r="H77" s="716">
        <f t="shared" si="3"/>
        <v>0</v>
      </c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716">
        <v>0</v>
      </c>
      <c r="E78" s="716">
        <v>0</v>
      </c>
      <c r="F78" s="716">
        <v>0</v>
      </c>
      <c r="G78" s="716">
        <v>0</v>
      </c>
      <c r="H78" s="716">
        <f t="shared" si="3"/>
        <v>0</v>
      </c>
    </row>
    <row r="79" spans="1:8" s="27" customFormat="1" ht="24" x14ac:dyDescent="0.25">
      <c r="A79" s="242">
        <v>70</v>
      </c>
      <c r="B79" s="49" t="s">
        <v>178</v>
      </c>
      <c r="C79" s="50" t="s">
        <v>179</v>
      </c>
      <c r="D79" s="716">
        <v>0</v>
      </c>
      <c r="E79" s="716">
        <v>0</v>
      </c>
      <c r="F79" s="716">
        <v>0</v>
      </c>
      <c r="G79" s="716">
        <v>0</v>
      </c>
      <c r="H79" s="716">
        <f t="shared" si="3"/>
        <v>0</v>
      </c>
    </row>
    <row r="80" spans="1:8" s="27" customFormat="1" ht="24" x14ac:dyDescent="0.25">
      <c r="A80" s="242">
        <v>71</v>
      </c>
      <c r="B80" s="49" t="s">
        <v>180</v>
      </c>
      <c r="C80" s="50" t="s">
        <v>181</v>
      </c>
      <c r="D80" s="716">
        <v>0</v>
      </c>
      <c r="E80" s="716">
        <v>0</v>
      </c>
      <c r="F80" s="716">
        <v>0</v>
      </c>
      <c r="G80" s="716">
        <v>0</v>
      </c>
      <c r="H80" s="716">
        <f t="shared" si="3"/>
        <v>0</v>
      </c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716">
        <v>5554</v>
      </c>
      <c r="E81" s="716">
        <v>2588</v>
      </c>
      <c r="F81" s="716">
        <v>1759</v>
      </c>
      <c r="G81" s="716">
        <v>0</v>
      </c>
      <c r="H81" s="716">
        <f t="shared" si="3"/>
        <v>9901</v>
      </c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716">
        <v>9109</v>
      </c>
      <c r="E82" s="716">
        <v>6244</v>
      </c>
      <c r="F82" s="716">
        <v>4241</v>
      </c>
      <c r="G82" s="716">
        <v>400</v>
      </c>
      <c r="H82" s="716">
        <f t="shared" si="3"/>
        <v>19994</v>
      </c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716">
        <v>7288</v>
      </c>
      <c r="E83" s="716">
        <v>5126</v>
      </c>
      <c r="F83" s="716">
        <v>3483</v>
      </c>
      <c r="G83" s="716">
        <v>0</v>
      </c>
      <c r="H83" s="716">
        <f t="shared" si="3"/>
        <v>15897</v>
      </c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716">
        <v>5718</v>
      </c>
      <c r="E84" s="716">
        <v>2304</v>
      </c>
      <c r="F84" s="716">
        <v>1565</v>
      </c>
      <c r="G84" s="716">
        <v>545</v>
      </c>
      <c r="H84" s="716">
        <f t="shared" si="3"/>
        <v>10132</v>
      </c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716">
        <v>8275</v>
      </c>
      <c r="E85" s="716">
        <v>5752</v>
      </c>
      <c r="F85" s="716">
        <v>3907</v>
      </c>
      <c r="G85" s="716">
        <v>668</v>
      </c>
      <c r="H85" s="716">
        <f t="shared" si="3"/>
        <v>18602</v>
      </c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716">
        <v>6843</v>
      </c>
      <c r="E86" s="716">
        <v>0</v>
      </c>
      <c r="F86" s="716">
        <v>0</v>
      </c>
      <c r="G86" s="716">
        <v>0</v>
      </c>
      <c r="H86" s="716">
        <f t="shared" si="3"/>
        <v>6843</v>
      </c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716">
        <v>6948</v>
      </c>
      <c r="E87" s="716">
        <v>4826</v>
      </c>
      <c r="F87" s="716">
        <v>3493</v>
      </c>
      <c r="G87" s="716">
        <v>538</v>
      </c>
      <c r="H87" s="716">
        <f t="shared" si="3"/>
        <v>15805</v>
      </c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716">
        <v>0</v>
      </c>
      <c r="E88" s="716">
        <v>0</v>
      </c>
      <c r="F88" s="716">
        <v>0</v>
      </c>
      <c r="G88" s="716">
        <v>0</v>
      </c>
      <c r="H88" s="716">
        <f t="shared" si="3"/>
        <v>0</v>
      </c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716">
        <v>0</v>
      </c>
      <c r="E89" s="716">
        <v>0</v>
      </c>
      <c r="F89" s="716">
        <v>0</v>
      </c>
      <c r="G89" s="716">
        <v>0</v>
      </c>
      <c r="H89" s="716">
        <f t="shared" si="3"/>
        <v>0</v>
      </c>
    </row>
    <row r="90" spans="1:8" s="27" customFormat="1" ht="24" x14ac:dyDescent="0.25">
      <c r="A90" s="1140">
        <v>81</v>
      </c>
      <c r="B90" s="907" t="s">
        <v>199</v>
      </c>
      <c r="C90" s="57" t="s">
        <v>200</v>
      </c>
      <c r="D90" s="716">
        <v>356</v>
      </c>
      <c r="E90" s="716">
        <v>250</v>
      </c>
      <c r="F90" s="716">
        <v>170</v>
      </c>
      <c r="G90" s="716">
        <v>0</v>
      </c>
      <c r="H90" s="716">
        <f t="shared" si="3"/>
        <v>776</v>
      </c>
    </row>
    <row r="91" spans="1:8" s="27" customFormat="1" ht="36" x14ac:dyDescent="0.25">
      <c r="A91" s="1141"/>
      <c r="B91" s="908"/>
      <c r="C91" s="50" t="s">
        <v>201</v>
      </c>
      <c r="D91" s="716">
        <v>356</v>
      </c>
      <c r="E91" s="716">
        <v>250</v>
      </c>
      <c r="F91" s="716">
        <v>170</v>
      </c>
      <c r="G91" s="716">
        <v>0</v>
      </c>
      <c r="H91" s="716">
        <f t="shared" si="3"/>
        <v>776</v>
      </c>
    </row>
    <row r="92" spans="1:8" s="27" customFormat="1" ht="24" x14ac:dyDescent="0.25">
      <c r="A92" s="1141"/>
      <c r="B92" s="908"/>
      <c r="C92" s="50" t="s">
        <v>202</v>
      </c>
      <c r="D92" s="716">
        <v>0</v>
      </c>
      <c r="E92" s="716">
        <v>0</v>
      </c>
      <c r="F92" s="716">
        <v>0</v>
      </c>
      <c r="G92" s="716">
        <v>0</v>
      </c>
      <c r="H92" s="716">
        <f t="shared" si="3"/>
        <v>0</v>
      </c>
    </row>
    <row r="93" spans="1:8" s="27" customFormat="1" ht="36" x14ac:dyDescent="0.25">
      <c r="A93" s="1142"/>
      <c r="B93" s="909"/>
      <c r="C93" s="58" t="s">
        <v>203</v>
      </c>
      <c r="D93" s="716">
        <v>0</v>
      </c>
      <c r="E93" s="716">
        <v>0</v>
      </c>
      <c r="F93" s="716">
        <v>0</v>
      </c>
      <c r="G93" s="716">
        <v>0</v>
      </c>
      <c r="H93" s="716">
        <f t="shared" si="3"/>
        <v>0</v>
      </c>
    </row>
    <row r="94" spans="1:8" s="27" customFormat="1" ht="24" x14ac:dyDescent="0.25">
      <c r="A94" s="242">
        <v>82</v>
      </c>
      <c r="B94" s="52" t="s">
        <v>204</v>
      </c>
      <c r="C94" s="50" t="s">
        <v>205</v>
      </c>
      <c r="D94" s="716">
        <v>0</v>
      </c>
      <c r="E94" s="716">
        <v>0</v>
      </c>
      <c r="F94" s="716">
        <v>0</v>
      </c>
      <c r="G94" s="716">
        <v>0</v>
      </c>
      <c r="H94" s="716">
        <f t="shared" si="3"/>
        <v>0</v>
      </c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716">
        <v>282</v>
      </c>
      <c r="E95" s="716">
        <v>198</v>
      </c>
      <c r="F95" s="716">
        <v>135</v>
      </c>
      <c r="G95" s="716">
        <v>0</v>
      </c>
      <c r="H95" s="716">
        <f t="shared" si="3"/>
        <v>615</v>
      </c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716">
        <v>1756</v>
      </c>
      <c r="E96" s="716">
        <v>1235</v>
      </c>
      <c r="F96" s="716">
        <v>1326</v>
      </c>
      <c r="G96" s="716">
        <v>0</v>
      </c>
      <c r="H96" s="716">
        <f t="shared" si="3"/>
        <v>4317</v>
      </c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716">
        <v>915</v>
      </c>
      <c r="E97" s="716">
        <v>482</v>
      </c>
      <c r="F97" s="716">
        <v>327</v>
      </c>
      <c r="G97" s="716">
        <v>0</v>
      </c>
      <c r="H97" s="716">
        <f t="shared" si="3"/>
        <v>1724</v>
      </c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716">
        <v>0</v>
      </c>
      <c r="E98" s="716">
        <v>504</v>
      </c>
      <c r="F98" s="716">
        <v>343</v>
      </c>
      <c r="G98" s="716">
        <v>0</v>
      </c>
      <c r="H98" s="716">
        <f t="shared" si="3"/>
        <v>847</v>
      </c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716">
        <v>2778</v>
      </c>
      <c r="E99" s="716">
        <v>1414</v>
      </c>
      <c r="F99" s="716">
        <v>961</v>
      </c>
      <c r="G99" s="716">
        <v>0</v>
      </c>
      <c r="H99" s="716">
        <f t="shared" si="3"/>
        <v>5153</v>
      </c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716">
        <v>847</v>
      </c>
      <c r="E100" s="716">
        <v>595</v>
      </c>
      <c r="F100" s="716">
        <v>405</v>
      </c>
      <c r="G100" s="716">
        <v>0</v>
      </c>
      <c r="H100" s="716">
        <f t="shared" si="3"/>
        <v>1847</v>
      </c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716">
        <v>0</v>
      </c>
      <c r="E101" s="716">
        <v>0</v>
      </c>
      <c r="F101" s="716">
        <v>0</v>
      </c>
      <c r="G101" s="716">
        <v>0</v>
      </c>
      <c r="H101" s="716">
        <f t="shared" si="3"/>
        <v>0</v>
      </c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716">
        <v>2485</v>
      </c>
      <c r="E102" s="716">
        <v>1434</v>
      </c>
      <c r="F102" s="716">
        <v>1006</v>
      </c>
      <c r="G102" s="716">
        <v>0</v>
      </c>
      <c r="H102" s="716">
        <f t="shared" si="3"/>
        <v>4925</v>
      </c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716">
        <v>879</v>
      </c>
      <c r="E103" s="716">
        <v>457</v>
      </c>
      <c r="F103" s="716">
        <v>310</v>
      </c>
      <c r="G103" s="716">
        <v>0</v>
      </c>
      <c r="H103" s="716">
        <f t="shared" si="3"/>
        <v>1646</v>
      </c>
    </row>
    <row r="104" spans="1:8" s="27" customFormat="1" x14ac:dyDescent="0.25">
      <c r="A104" s="242">
        <v>92</v>
      </c>
      <c r="B104" s="49" t="s">
        <v>224</v>
      </c>
      <c r="C104" s="50" t="s">
        <v>225</v>
      </c>
      <c r="D104" s="716">
        <v>1018</v>
      </c>
      <c r="E104" s="716">
        <v>716</v>
      </c>
      <c r="F104" s="716">
        <v>0</v>
      </c>
      <c r="G104" s="716">
        <v>0</v>
      </c>
      <c r="H104" s="716">
        <f t="shared" si="3"/>
        <v>1734</v>
      </c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716">
        <v>1320</v>
      </c>
      <c r="E105" s="716">
        <v>676</v>
      </c>
      <c r="F105" s="716">
        <v>460</v>
      </c>
      <c r="G105" s="716">
        <v>0</v>
      </c>
      <c r="H105" s="716">
        <f t="shared" si="3"/>
        <v>2456</v>
      </c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716">
        <v>2890</v>
      </c>
      <c r="E106" s="716">
        <v>819</v>
      </c>
      <c r="F106" s="716">
        <v>556</v>
      </c>
      <c r="G106" s="716">
        <v>219</v>
      </c>
      <c r="H106" s="716">
        <f t="shared" si="3"/>
        <v>4484</v>
      </c>
    </row>
    <row r="107" spans="1:8" s="245" customFormat="1" x14ac:dyDescent="0.25">
      <c r="A107" s="242">
        <v>95</v>
      </c>
      <c r="B107" s="264" t="s">
        <v>228</v>
      </c>
      <c r="C107" s="50" t="s">
        <v>229</v>
      </c>
      <c r="D107" s="716">
        <v>746</v>
      </c>
      <c r="E107" s="716">
        <v>524</v>
      </c>
      <c r="F107" s="716">
        <v>356</v>
      </c>
      <c r="G107" s="716">
        <v>0</v>
      </c>
      <c r="H107" s="716">
        <f t="shared" si="3"/>
        <v>1626</v>
      </c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716">
        <v>1972</v>
      </c>
      <c r="E108" s="716">
        <v>1387</v>
      </c>
      <c r="F108" s="716">
        <v>942</v>
      </c>
      <c r="G108" s="716">
        <v>0</v>
      </c>
      <c r="H108" s="716">
        <f t="shared" si="3"/>
        <v>4301</v>
      </c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716">
        <v>0</v>
      </c>
      <c r="E109" s="716">
        <v>0</v>
      </c>
      <c r="F109" s="716">
        <v>0</v>
      </c>
      <c r="G109" s="716">
        <v>0</v>
      </c>
      <c r="H109" s="716">
        <f t="shared" si="3"/>
        <v>0</v>
      </c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716">
        <v>0</v>
      </c>
      <c r="E110" s="716">
        <v>0</v>
      </c>
      <c r="F110" s="716">
        <v>0</v>
      </c>
      <c r="G110" s="716">
        <v>0</v>
      </c>
      <c r="H110" s="716">
        <f t="shared" si="3"/>
        <v>0</v>
      </c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716">
        <v>0</v>
      </c>
      <c r="E111" s="716">
        <v>0</v>
      </c>
      <c r="F111" s="716">
        <v>0</v>
      </c>
      <c r="G111" s="716">
        <v>0</v>
      </c>
      <c r="H111" s="716">
        <f t="shared" si="3"/>
        <v>0</v>
      </c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716">
        <v>0</v>
      </c>
      <c r="E112" s="716">
        <v>0</v>
      </c>
      <c r="F112" s="716">
        <v>0</v>
      </c>
      <c r="G112" s="716">
        <v>0</v>
      </c>
      <c r="H112" s="716">
        <f t="shared" si="3"/>
        <v>0</v>
      </c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716">
        <v>0</v>
      </c>
      <c r="E113" s="716">
        <v>0</v>
      </c>
      <c r="F113" s="716">
        <v>0</v>
      </c>
      <c r="G113" s="716">
        <v>0</v>
      </c>
      <c r="H113" s="716">
        <f t="shared" si="3"/>
        <v>0</v>
      </c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716">
        <v>0</v>
      </c>
      <c r="E114" s="716">
        <v>0</v>
      </c>
      <c r="F114" s="716">
        <v>0</v>
      </c>
      <c r="G114" s="716">
        <v>0</v>
      </c>
      <c r="H114" s="716">
        <f t="shared" si="3"/>
        <v>0</v>
      </c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716">
        <v>0</v>
      </c>
      <c r="E115" s="716">
        <v>0</v>
      </c>
      <c r="F115" s="716">
        <v>0</v>
      </c>
      <c r="G115" s="716">
        <v>0</v>
      </c>
      <c r="H115" s="716">
        <f t="shared" si="3"/>
        <v>0</v>
      </c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716">
        <v>0</v>
      </c>
      <c r="E116" s="716">
        <v>0</v>
      </c>
      <c r="F116" s="716">
        <v>0</v>
      </c>
      <c r="G116" s="716">
        <v>0</v>
      </c>
      <c r="H116" s="716">
        <f t="shared" si="3"/>
        <v>0</v>
      </c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716">
        <v>0</v>
      </c>
      <c r="E117" s="716">
        <v>0</v>
      </c>
      <c r="F117" s="716">
        <v>0</v>
      </c>
      <c r="G117" s="716">
        <v>0</v>
      </c>
      <c r="H117" s="716">
        <f t="shared" si="3"/>
        <v>0</v>
      </c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716">
        <v>0</v>
      </c>
      <c r="E118" s="716">
        <v>0</v>
      </c>
      <c r="F118" s="716">
        <v>0</v>
      </c>
      <c r="G118" s="716">
        <v>0</v>
      </c>
      <c r="H118" s="716">
        <f t="shared" si="3"/>
        <v>0</v>
      </c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716">
        <v>0</v>
      </c>
      <c r="E119" s="716">
        <v>0</v>
      </c>
      <c r="F119" s="716">
        <v>0</v>
      </c>
      <c r="G119" s="716">
        <v>0</v>
      </c>
      <c r="H119" s="716">
        <f t="shared" si="3"/>
        <v>0</v>
      </c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716">
        <v>0</v>
      </c>
      <c r="E120" s="716">
        <v>0</v>
      </c>
      <c r="F120" s="716">
        <v>0</v>
      </c>
      <c r="G120" s="716">
        <v>0</v>
      </c>
      <c r="H120" s="716">
        <f t="shared" si="3"/>
        <v>0</v>
      </c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716">
        <v>0</v>
      </c>
      <c r="E121" s="716">
        <v>0</v>
      </c>
      <c r="F121" s="716">
        <v>0</v>
      </c>
      <c r="G121" s="716">
        <v>0</v>
      </c>
      <c r="H121" s="716">
        <f t="shared" si="3"/>
        <v>0</v>
      </c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716">
        <v>0</v>
      </c>
      <c r="E122" s="716">
        <v>0</v>
      </c>
      <c r="F122" s="716">
        <v>0</v>
      </c>
      <c r="G122" s="716">
        <v>0</v>
      </c>
      <c r="H122" s="716">
        <f t="shared" si="3"/>
        <v>0</v>
      </c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716">
        <v>0</v>
      </c>
      <c r="E123" s="716">
        <v>0</v>
      </c>
      <c r="F123" s="716">
        <v>0</v>
      </c>
      <c r="G123" s="716">
        <v>0</v>
      </c>
      <c r="H123" s="716">
        <f t="shared" si="3"/>
        <v>0</v>
      </c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716">
        <v>0</v>
      </c>
      <c r="E124" s="716">
        <v>0</v>
      </c>
      <c r="F124" s="716">
        <v>0</v>
      </c>
      <c r="G124" s="716">
        <v>0</v>
      </c>
      <c r="H124" s="716">
        <f t="shared" si="3"/>
        <v>0</v>
      </c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716">
        <v>0</v>
      </c>
      <c r="E125" s="716">
        <v>0</v>
      </c>
      <c r="F125" s="716">
        <v>0</v>
      </c>
      <c r="G125" s="716">
        <v>0</v>
      </c>
      <c r="H125" s="716">
        <f t="shared" si="3"/>
        <v>0</v>
      </c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716">
        <v>0</v>
      </c>
      <c r="E126" s="716">
        <v>0</v>
      </c>
      <c r="F126" s="716">
        <v>0</v>
      </c>
      <c r="G126" s="716">
        <v>0</v>
      </c>
      <c r="H126" s="716">
        <f t="shared" si="3"/>
        <v>0</v>
      </c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716">
        <v>2000</v>
      </c>
      <c r="E127" s="716">
        <v>1800</v>
      </c>
      <c r="F127" s="716">
        <v>1000</v>
      </c>
      <c r="G127" s="716">
        <v>801</v>
      </c>
      <c r="H127" s="716">
        <f t="shared" si="3"/>
        <v>5601</v>
      </c>
    </row>
    <row r="128" spans="1:8" s="27" customFormat="1" x14ac:dyDescent="0.25">
      <c r="A128" s="242">
        <v>116</v>
      </c>
      <c r="B128" s="264" t="s">
        <v>268</v>
      </c>
      <c r="C128" s="50" t="s">
        <v>269</v>
      </c>
      <c r="D128" s="716">
        <v>3000</v>
      </c>
      <c r="E128" s="716">
        <v>0</v>
      </c>
      <c r="F128" s="716">
        <v>0</v>
      </c>
      <c r="G128" s="716">
        <v>0</v>
      </c>
      <c r="H128" s="716">
        <f t="shared" si="3"/>
        <v>3000</v>
      </c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716">
        <v>13000</v>
      </c>
      <c r="E129" s="716">
        <v>1535</v>
      </c>
      <c r="F129" s="716">
        <v>662</v>
      </c>
      <c r="G129" s="716">
        <v>725</v>
      </c>
      <c r="H129" s="716">
        <f t="shared" si="3"/>
        <v>15922</v>
      </c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716">
        <v>2500</v>
      </c>
      <c r="E130" s="716">
        <v>0</v>
      </c>
      <c r="F130" s="716">
        <v>0</v>
      </c>
      <c r="G130" s="716">
        <v>0</v>
      </c>
      <c r="H130" s="716">
        <f t="shared" si="3"/>
        <v>2500</v>
      </c>
    </row>
    <row r="131" spans="1:8" x14ac:dyDescent="0.25">
      <c r="A131" s="242">
        <v>119</v>
      </c>
      <c r="B131" s="49" t="s">
        <v>274</v>
      </c>
      <c r="C131" s="50" t="s">
        <v>275</v>
      </c>
      <c r="D131" s="716">
        <v>0</v>
      </c>
      <c r="E131" s="716">
        <v>0</v>
      </c>
      <c r="F131" s="716">
        <v>0</v>
      </c>
      <c r="G131" s="716">
        <v>0</v>
      </c>
      <c r="H131" s="716">
        <f t="shared" si="3"/>
        <v>0</v>
      </c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716">
        <v>700</v>
      </c>
      <c r="E132" s="716">
        <v>0</v>
      </c>
      <c r="F132" s="716">
        <v>0</v>
      </c>
      <c r="G132" s="716">
        <v>0</v>
      </c>
      <c r="H132" s="716">
        <f t="shared" si="3"/>
        <v>700</v>
      </c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716">
        <v>0</v>
      </c>
      <c r="E133" s="716">
        <v>0</v>
      </c>
      <c r="F133" s="716">
        <v>0</v>
      </c>
      <c r="G133" s="716">
        <v>0</v>
      </c>
      <c r="H133" s="716">
        <f t="shared" si="3"/>
        <v>0</v>
      </c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716">
        <v>0</v>
      </c>
      <c r="E134" s="716">
        <v>0</v>
      </c>
      <c r="F134" s="716">
        <v>0</v>
      </c>
      <c r="G134" s="716">
        <v>0</v>
      </c>
      <c r="H134" s="716">
        <f t="shared" si="3"/>
        <v>0</v>
      </c>
    </row>
    <row r="135" spans="1:8" s="27" customFormat="1" x14ac:dyDescent="0.25">
      <c r="A135" s="242">
        <v>123</v>
      </c>
      <c r="B135" s="264" t="s">
        <v>282</v>
      </c>
      <c r="C135" s="50" t="s">
        <v>783</v>
      </c>
      <c r="D135" s="716">
        <v>620</v>
      </c>
      <c r="E135" s="716">
        <v>1020</v>
      </c>
      <c r="F135" s="716">
        <v>660</v>
      </c>
      <c r="G135" s="716">
        <v>0</v>
      </c>
      <c r="H135" s="716">
        <f t="shared" si="3"/>
        <v>2300</v>
      </c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716">
        <v>3396</v>
      </c>
      <c r="E136" s="716">
        <v>2388</v>
      </c>
      <c r="F136" s="716">
        <v>1623</v>
      </c>
      <c r="G136" s="716">
        <v>279</v>
      </c>
      <c r="H136" s="716">
        <f t="shared" si="3"/>
        <v>7686</v>
      </c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716">
        <v>5459</v>
      </c>
      <c r="E137" s="716">
        <v>3034</v>
      </c>
      <c r="F137" s="716">
        <v>2061</v>
      </c>
      <c r="G137" s="716">
        <v>459</v>
      </c>
      <c r="H137" s="716">
        <f t="shared" si="3"/>
        <v>11013</v>
      </c>
    </row>
    <row r="138" spans="1:8" s="27" customFormat="1" x14ac:dyDescent="0.25">
      <c r="A138" s="242">
        <v>126</v>
      </c>
      <c r="B138" s="264" t="s">
        <v>286</v>
      </c>
      <c r="C138" s="50" t="s">
        <v>287</v>
      </c>
      <c r="D138" s="716">
        <v>0</v>
      </c>
      <c r="E138" s="716">
        <v>0</v>
      </c>
      <c r="F138" s="716">
        <v>0</v>
      </c>
      <c r="G138" s="716">
        <v>0</v>
      </c>
      <c r="H138" s="716">
        <f t="shared" ref="H138:H147" si="4">D138+E138+F138+G138</f>
        <v>0</v>
      </c>
    </row>
    <row r="139" spans="1:8" s="27" customFormat="1" x14ac:dyDescent="0.25">
      <c r="A139" s="242">
        <v>127</v>
      </c>
      <c r="B139" s="49" t="s">
        <v>288</v>
      </c>
      <c r="C139" s="50" t="s">
        <v>289</v>
      </c>
      <c r="D139" s="716">
        <v>0</v>
      </c>
      <c r="E139" s="716">
        <v>0</v>
      </c>
      <c r="F139" s="716">
        <v>0</v>
      </c>
      <c r="G139" s="716">
        <v>0</v>
      </c>
      <c r="H139" s="716">
        <f t="shared" si="4"/>
        <v>0</v>
      </c>
    </row>
    <row r="140" spans="1:8" s="27" customFormat="1" x14ac:dyDescent="0.25">
      <c r="A140" s="242">
        <v>128</v>
      </c>
      <c r="B140" s="264" t="s">
        <v>290</v>
      </c>
      <c r="C140" s="50" t="s">
        <v>291</v>
      </c>
      <c r="D140" s="716">
        <v>0</v>
      </c>
      <c r="E140" s="716">
        <v>0</v>
      </c>
      <c r="F140" s="716">
        <v>0</v>
      </c>
      <c r="G140" s="716">
        <v>0</v>
      </c>
      <c r="H140" s="716">
        <f t="shared" si="4"/>
        <v>0</v>
      </c>
    </row>
    <row r="141" spans="1:8" x14ac:dyDescent="0.25">
      <c r="A141" s="242">
        <v>129</v>
      </c>
      <c r="B141" s="61" t="s">
        <v>292</v>
      </c>
      <c r="C141" s="249" t="s">
        <v>293</v>
      </c>
      <c r="D141" s="716">
        <v>0</v>
      </c>
      <c r="E141" s="716">
        <v>0</v>
      </c>
      <c r="F141" s="716">
        <v>0</v>
      </c>
      <c r="G141" s="716">
        <v>0</v>
      </c>
      <c r="H141" s="716">
        <f t="shared" si="4"/>
        <v>0</v>
      </c>
    </row>
    <row r="142" spans="1:8" x14ac:dyDescent="0.25">
      <c r="A142" s="242">
        <v>130</v>
      </c>
      <c r="B142" s="63" t="s">
        <v>294</v>
      </c>
      <c r="C142" s="250" t="s">
        <v>295</v>
      </c>
      <c r="D142" s="716">
        <v>0</v>
      </c>
      <c r="E142" s="716">
        <v>0</v>
      </c>
      <c r="F142" s="716">
        <v>0</v>
      </c>
      <c r="G142" s="716">
        <v>0</v>
      </c>
      <c r="H142" s="716">
        <f t="shared" si="4"/>
        <v>0</v>
      </c>
    </row>
    <row r="143" spans="1:8" x14ac:dyDescent="0.2">
      <c r="A143" s="242">
        <v>131</v>
      </c>
      <c r="B143" s="64" t="s">
        <v>296</v>
      </c>
      <c r="C143" s="267" t="s">
        <v>462</v>
      </c>
      <c r="D143" s="716">
        <v>0</v>
      </c>
      <c r="E143" s="716">
        <v>0</v>
      </c>
      <c r="F143" s="716">
        <v>0</v>
      </c>
      <c r="G143" s="716">
        <v>0</v>
      </c>
      <c r="H143" s="716">
        <f t="shared" si="4"/>
        <v>0</v>
      </c>
    </row>
    <row r="144" spans="1:8" x14ac:dyDescent="0.25">
      <c r="A144" s="242">
        <v>132</v>
      </c>
      <c r="B144" s="242" t="s">
        <v>298</v>
      </c>
      <c r="C144" s="251" t="s">
        <v>299</v>
      </c>
      <c r="D144" s="716">
        <v>0</v>
      </c>
      <c r="E144" s="716">
        <v>0</v>
      </c>
      <c r="F144" s="716">
        <v>0</v>
      </c>
      <c r="G144" s="716">
        <v>0</v>
      </c>
      <c r="H144" s="716">
        <f t="shared" si="4"/>
        <v>0</v>
      </c>
    </row>
    <row r="145" spans="1:8" x14ac:dyDescent="0.25">
      <c r="A145" s="242">
        <v>133</v>
      </c>
      <c r="B145" s="252" t="s">
        <v>300</v>
      </c>
      <c r="C145" s="251" t="s">
        <v>301</v>
      </c>
      <c r="D145" s="716">
        <v>0</v>
      </c>
      <c r="E145" s="716">
        <v>0</v>
      </c>
      <c r="F145" s="716">
        <v>0</v>
      </c>
      <c r="G145" s="716">
        <v>0</v>
      </c>
      <c r="H145" s="716">
        <f t="shared" si="4"/>
        <v>0</v>
      </c>
    </row>
    <row r="146" spans="1:8" x14ac:dyDescent="0.25">
      <c r="A146" s="242">
        <v>134</v>
      </c>
      <c r="B146" s="252" t="s">
        <v>302</v>
      </c>
      <c r="C146" s="251" t="s">
        <v>303</v>
      </c>
      <c r="D146" s="716">
        <v>0</v>
      </c>
      <c r="E146" s="716">
        <v>0</v>
      </c>
      <c r="F146" s="716">
        <v>0</v>
      </c>
      <c r="G146" s="716">
        <v>0</v>
      </c>
      <c r="H146" s="716">
        <f t="shared" si="4"/>
        <v>0</v>
      </c>
    </row>
    <row r="147" spans="1:8" x14ac:dyDescent="0.25">
      <c r="A147" s="242">
        <v>135</v>
      </c>
      <c r="B147" s="252" t="s">
        <v>304</v>
      </c>
      <c r="C147" s="247" t="s">
        <v>305</v>
      </c>
      <c r="D147" s="716">
        <v>0</v>
      </c>
      <c r="E147" s="716">
        <v>0</v>
      </c>
      <c r="F147" s="716">
        <v>0</v>
      </c>
      <c r="G147" s="716">
        <v>0</v>
      </c>
      <c r="H147" s="716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5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I3" sqref="I3"/>
    </sheetView>
  </sheetViews>
  <sheetFormatPr defaultColWidth="9.140625" defaultRowHeight="12.75" x14ac:dyDescent="0.2"/>
  <cols>
    <col min="1" max="1" width="7.7109375" style="314" hidden="1" customWidth="1"/>
    <col min="2" max="2" width="17.7109375" style="359" customWidth="1"/>
    <col min="3" max="3" width="7.42578125" style="360" customWidth="1"/>
    <col min="4" max="4" width="7.5703125" style="360" customWidth="1"/>
    <col min="5" max="5" width="7" style="360" customWidth="1"/>
    <col min="6" max="6" width="5.85546875" style="360" customWidth="1"/>
    <col min="7" max="7" width="6.140625" style="361" customWidth="1"/>
    <col min="8" max="8" width="6" style="360" customWidth="1"/>
    <col min="9" max="9" width="6.7109375" style="360" customWidth="1"/>
    <col min="10" max="10" width="6" style="360" customWidth="1"/>
    <col min="11" max="11" width="8.140625" style="361" customWidth="1"/>
    <col min="12" max="12" width="8.140625" style="360" customWidth="1"/>
    <col min="13" max="13" width="8" style="314" customWidth="1"/>
    <col min="14" max="14" width="8.42578125" style="362" customWidth="1"/>
    <col min="15" max="15" width="7.85546875" style="361" customWidth="1"/>
    <col min="16" max="16" width="8" style="360" customWidth="1"/>
    <col min="17" max="17" width="8.42578125" style="360" customWidth="1"/>
    <col min="18" max="18" width="8.7109375" style="361" customWidth="1"/>
    <col min="19" max="19" width="8.42578125" style="360" customWidth="1"/>
    <col min="20" max="20" width="7.7109375" style="314" customWidth="1"/>
    <col min="21" max="21" width="8.140625" style="314" customWidth="1"/>
    <col min="22" max="22" width="8.7109375" style="314" customWidth="1"/>
    <col min="23" max="23" width="8.140625" style="314" customWidth="1"/>
    <col min="24" max="24" width="8" style="363" customWidth="1"/>
    <col min="25" max="25" width="8.85546875" style="314" customWidth="1"/>
    <col min="26" max="26" width="7.28515625" style="363" customWidth="1"/>
    <col min="27" max="27" width="11.5703125" style="360" hidden="1" customWidth="1"/>
    <col min="28" max="28" width="7" style="360" customWidth="1"/>
    <col min="29" max="29" width="6.5703125" style="314" customWidth="1"/>
    <col min="30" max="30" width="7.28515625" style="314" customWidth="1"/>
    <col min="31" max="31" width="8.140625" style="363" customWidth="1"/>
    <col min="32" max="32" width="6" style="363" hidden="1" customWidth="1"/>
    <col min="33" max="33" width="7.28515625" style="314" hidden="1" customWidth="1"/>
    <col min="34" max="34" width="10.85546875" style="315" bestFit="1" customWidth="1"/>
    <col min="35" max="35" width="9.140625" style="314"/>
    <col min="36" max="36" width="14.42578125" style="314" customWidth="1"/>
    <col min="37" max="37" width="12" style="314" bestFit="1" customWidth="1"/>
    <col min="38" max="16384" width="9.140625" style="314"/>
  </cols>
  <sheetData>
    <row r="1" spans="1:34" ht="28.5" customHeight="1" x14ac:dyDescent="0.2">
      <c r="B1" s="867" t="s">
        <v>649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</row>
    <row r="2" spans="1:34" s="316" customFormat="1" ht="12.75" hidden="1" customHeight="1" x14ac:dyDescent="0.25"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8"/>
      <c r="T2" s="318"/>
      <c r="U2" s="318"/>
      <c r="V2" s="318"/>
      <c r="W2" s="318"/>
      <c r="X2" s="318"/>
      <c r="Y2" s="318"/>
      <c r="Z2" s="318"/>
      <c r="AA2" s="317"/>
      <c r="AB2" s="317"/>
      <c r="AC2" s="317"/>
      <c r="AD2" s="318"/>
      <c r="AE2" s="318"/>
      <c r="AF2" s="318"/>
      <c r="AH2" s="319"/>
    </row>
    <row r="3" spans="1:34" s="320" customFormat="1" ht="62.25" customHeight="1" x14ac:dyDescent="0.2">
      <c r="B3" s="868" t="s">
        <v>614</v>
      </c>
      <c r="C3" s="321" t="s">
        <v>267</v>
      </c>
      <c r="D3" s="321" t="s">
        <v>284</v>
      </c>
      <c r="E3" s="321" t="s">
        <v>277</v>
      </c>
      <c r="F3" s="321" t="s">
        <v>271</v>
      </c>
      <c r="G3" s="321" t="s">
        <v>615</v>
      </c>
      <c r="H3" s="321" t="s">
        <v>275</v>
      </c>
      <c r="I3" s="321" t="s">
        <v>783</v>
      </c>
      <c r="J3" s="321" t="s">
        <v>616</v>
      </c>
      <c r="K3" s="321" t="s">
        <v>617</v>
      </c>
      <c r="L3" s="321" t="s">
        <v>618</v>
      </c>
      <c r="M3" s="321" t="s">
        <v>191</v>
      </c>
      <c r="N3" s="321" t="s">
        <v>195</v>
      </c>
      <c r="O3" s="321" t="s">
        <v>737</v>
      </c>
      <c r="P3" s="321" t="s">
        <v>197</v>
      </c>
      <c r="Q3" s="321" t="s">
        <v>33</v>
      </c>
      <c r="R3" s="321" t="s">
        <v>99</v>
      </c>
      <c r="S3" s="321" t="s">
        <v>619</v>
      </c>
      <c r="T3" s="321" t="s">
        <v>620</v>
      </c>
      <c r="U3" s="321" t="s">
        <v>621</v>
      </c>
      <c r="V3" s="321" t="s">
        <v>622</v>
      </c>
      <c r="W3" s="321" t="s">
        <v>29</v>
      </c>
      <c r="X3" s="321" t="s">
        <v>623</v>
      </c>
      <c r="Y3" s="321" t="s">
        <v>103</v>
      </c>
      <c r="Z3" s="321" t="s">
        <v>227</v>
      </c>
      <c r="AA3" s="322" t="s">
        <v>203</v>
      </c>
      <c r="AB3" s="321" t="s">
        <v>624</v>
      </c>
      <c r="AC3" s="321" t="s">
        <v>145</v>
      </c>
      <c r="AD3" s="321" t="s">
        <v>587</v>
      </c>
      <c r="AE3" s="323" t="s">
        <v>625</v>
      </c>
      <c r="AF3" s="321" t="s">
        <v>626</v>
      </c>
      <c r="AG3" s="323" t="s">
        <v>627</v>
      </c>
      <c r="AH3" s="324"/>
    </row>
    <row r="4" spans="1:34" s="320" customFormat="1" ht="89.25" customHeight="1" x14ac:dyDescent="0.2">
      <c r="B4" s="869"/>
      <c r="C4" s="325" t="s">
        <v>628</v>
      </c>
      <c r="D4" s="325" t="s">
        <v>628</v>
      </c>
      <c r="E4" s="325" t="s">
        <v>628</v>
      </c>
      <c r="F4" s="325" t="s">
        <v>628</v>
      </c>
      <c r="G4" s="325" t="s">
        <v>628</v>
      </c>
      <c r="H4" s="325" t="s">
        <v>628</v>
      </c>
      <c r="I4" s="325" t="s">
        <v>628</v>
      </c>
      <c r="J4" s="325" t="s">
        <v>628</v>
      </c>
      <c r="K4" s="325" t="s">
        <v>628</v>
      </c>
      <c r="L4" s="325" t="s">
        <v>628</v>
      </c>
      <c r="M4" s="325" t="s">
        <v>628</v>
      </c>
      <c r="N4" s="325" t="s">
        <v>628</v>
      </c>
      <c r="O4" s="325" t="s">
        <v>628</v>
      </c>
      <c r="P4" s="325" t="s">
        <v>628</v>
      </c>
      <c r="Q4" s="325" t="s">
        <v>628</v>
      </c>
      <c r="R4" s="325" t="s">
        <v>628</v>
      </c>
      <c r="S4" s="325" t="s">
        <v>628</v>
      </c>
      <c r="T4" s="325" t="s">
        <v>628</v>
      </c>
      <c r="U4" s="325" t="s">
        <v>628</v>
      </c>
      <c r="V4" s="325" t="s">
        <v>628</v>
      </c>
      <c r="W4" s="325" t="s">
        <v>628</v>
      </c>
      <c r="X4" s="325" t="s">
        <v>628</v>
      </c>
      <c r="Y4" s="325" t="s">
        <v>628</v>
      </c>
      <c r="Z4" s="325" t="s">
        <v>628</v>
      </c>
      <c r="AA4" s="325" t="s">
        <v>628</v>
      </c>
      <c r="AB4" s="325" t="s">
        <v>628</v>
      </c>
      <c r="AC4" s="325" t="s">
        <v>628</v>
      </c>
      <c r="AD4" s="325" t="s">
        <v>628</v>
      </c>
      <c r="AE4" s="325" t="s">
        <v>628</v>
      </c>
      <c r="AF4" s="325" t="s">
        <v>628</v>
      </c>
      <c r="AG4" s="325" t="s">
        <v>628</v>
      </c>
      <c r="AH4" s="324"/>
    </row>
    <row r="5" spans="1:34" s="326" customFormat="1" ht="11.25" hidden="1" customHeight="1" x14ac:dyDescent="0.2">
      <c r="B5" s="327"/>
      <c r="C5" s="327">
        <v>3</v>
      </c>
      <c r="D5" s="327">
        <v>5</v>
      </c>
      <c r="E5" s="327">
        <v>7</v>
      </c>
      <c r="F5" s="327">
        <v>9</v>
      </c>
      <c r="G5" s="327">
        <v>11</v>
      </c>
      <c r="H5" s="327">
        <v>13</v>
      </c>
      <c r="I5" s="327">
        <v>15</v>
      </c>
      <c r="J5" s="327">
        <v>17</v>
      </c>
      <c r="K5" s="327">
        <v>19</v>
      </c>
      <c r="L5" s="327">
        <v>21</v>
      </c>
      <c r="M5" s="327">
        <v>23</v>
      </c>
      <c r="N5" s="327">
        <v>25</v>
      </c>
      <c r="O5" s="327">
        <v>27</v>
      </c>
      <c r="P5" s="327">
        <v>29</v>
      </c>
      <c r="Q5" s="327">
        <v>31</v>
      </c>
      <c r="R5" s="327">
        <v>33</v>
      </c>
      <c r="S5" s="327">
        <v>35</v>
      </c>
      <c r="T5" s="327">
        <v>37</v>
      </c>
      <c r="U5" s="327">
        <v>39</v>
      </c>
      <c r="V5" s="327">
        <v>41</v>
      </c>
      <c r="W5" s="327">
        <v>43</v>
      </c>
      <c r="X5" s="327">
        <v>45</v>
      </c>
      <c r="Y5" s="327">
        <v>47</v>
      </c>
      <c r="Z5" s="327">
        <v>49</v>
      </c>
      <c r="AA5" s="327">
        <v>51</v>
      </c>
      <c r="AB5" s="327">
        <v>53</v>
      </c>
      <c r="AC5" s="327">
        <v>55</v>
      </c>
      <c r="AD5" s="327">
        <v>57</v>
      </c>
      <c r="AE5" s="327">
        <v>59</v>
      </c>
      <c r="AF5" s="327">
        <v>61</v>
      </c>
      <c r="AG5" s="327">
        <v>63</v>
      </c>
      <c r="AH5" s="328"/>
    </row>
    <row r="6" spans="1:34" s="329" customFormat="1" ht="22.5" customHeight="1" x14ac:dyDescent="0.2">
      <c r="A6" s="329">
        <v>0</v>
      </c>
      <c r="B6" s="330" t="s">
        <v>629</v>
      </c>
      <c r="C6" s="331">
        <v>160</v>
      </c>
      <c r="D6" s="331">
        <v>35</v>
      </c>
      <c r="E6" s="331">
        <v>267</v>
      </c>
      <c r="F6" s="331">
        <v>0</v>
      </c>
      <c r="G6" s="331">
        <v>0</v>
      </c>
      <c r="H6" s="331">
        <v>0</v>
      </c>
      <c r="I6" s="331">
        <v>0</v>
      </c>
      <c r="J6" s="331">
        <v>100</v>
      </c>
      <c r="K6" s="331">
        <v>0</v>
      </c>
      <c r="L6" s="331">
        <v>43</v>
      </c>
      <c r="M6" s="331">
        <v>30</v>
      </c>
      <c r="N6" s="331">
        <v>132</v>
      </c>
      <c r="O6" s="331">
        <v>62</v>
      </c>
      <c r="P6" s="331">
        <v>10</v>
      </c>
      <c r="Q6" s="331">
        <v>0</v>
      </c>
      <c r="R6" s="331">
        <v>0</v>
      </c>
      <c r="S6" s="331">
        <v>0</v>
      </c>
      <c r="T6" s="331">
        <v>0</v>
      </c>
      <c r="U6" s="331">
        <v>0</v>
      </c>
      <c r="V6" s="331">
        <v>12</v>
      </c>
      <c r="W6" s="331">
        <v>0</v>
      </c>
      <c r="X6" s="331">
        <v>0</v>
      </c>
      <c r="Y6" s="331">
        <v>0</v>
      </c>
      <c r="Z6" s="331">
        <v>0</v>
      </c>
      <c r="AA6" s="331">
        <v>0</v>
      </c>
      <c r="AB6" s="331">
        <v>190</v>
      </c>
      <c r="AC6" s="331">
        <v>0</v>
      </c>
      <c r="AD6" s="331">
        <v>0</v>
      </c>
      <c r="AE6" s="331">
        <f t="shared" ref="AE6:AG6" si="0">AE7+AE8+AE9+AE10</f>
        <v>1041</v>
      </c>
      <c r="AF6" s="331">
        <f t="shared" si="0"/>
        <v>0</v>
      </c>
      <c r="AG6" s="331">
        <f t="shared" si="0"/>
        <v>1041</v>
      </c>
      <c r="AH6" s="332"/>
    </row>
    <row r="7" spans="1:34" s="326" customFormat="1" ht="13.5" customHeight="1" x14ac:dyDescent="0.2">
      <c r="A7" s="326">
        <v>1</v>
      </c>
      <c r="B7" s="327">
        <v>1</v>
      </c>
      <c r="C7" s="333">
        <v>50</v>
      </c>
      <c r="D7" s="333">
        <v>5</v>
      </c>
      <c r="E7" s="333">
        <v>119</v>
      </c>
      <c r="F7" s="333"/>
      <c r="G7" s="333"/>
      <c r="H7" s="333"/>
      <c r="I7" s="333"/>
      <c r="J7" s="333"/>
      <c r="K7" s="333"/>
      <c r="L7" s="333">
        <v>20</v>
      </c>
      <c r="M7" s="333">
        <v>15</v>
      </c>
      <c r="N7" s="333">
        <v>70</v>
      </c>
      <c r="O7" s="333">
        <v>25</v>
      </c>
      <c r="P7" s="333">
        <v>10</v>
      </c>
      <c r="Q7" s="333"/>
      <c r="R7" s="333"/>
      <c r="S7" s="333"/>
      <c r="T7" s="333"/>
      <c r="U7" s="333"/>
      <c r="V7" s="334">
        <v>12</v>
      </c>
      <c r="W7" s="334"/>
      <c r="X7" s="334"/>
      <c r="Y7" s="335"/>
      <c r="Z7" s="335"/>
      <c r="AA7" s="335"/>
      <c r="AB7" s="334">
        <v>150</v>
      </c>
      <c r="AC7" s="334"/>
      <c r="AD7" s="333"/>
      <c r="AE7" s="346">
        <f>C7+D7+E7+F7+G7+H7+I7+J7+K7+L7+M7+N7+O7+P7+Q7+R7+S7+T7+U7+V7+W7+X7+Y7+Z7+AA7+AB7+AC7+AD7</f>
        <v>476</v>
      </c>
      <c r="AF7" s="335"/>
      <c r="AG7" s="337">
        <f>AE7+AF7</f>
        <v>476</v>
      </c>
      <c r="AH7" s="328"/>
    </row>
    <row r="8" spans="1:34" s="326" customFormat="1" ht="13.5" customHeight="1" x14ac:dyDescent="0.2">
      <c r="A8" s="326">
        <v>2</v>
      </c>
      <c r="B8" s="327">
        <v>2</v>
      </c>
      <c r="C8" s="334">
        <v>110</v>
      </c>
      <c r="D8" s="334">
        <v>20</v>
      </c>
      <c r="E8" s="334">
        <v>148</v>
      </c>
      <c r="F8" s="333"/>
      <c r="G8" s="334"/>
      <c r="H8" s="338"/>
      <c r="I8" s="334"/>
      <c r="J8" s="334">
        <v>100</v>
      </c>
      <c r="K8" s="334"/>
      <c r="L8" s="333">
        <v>23</v>
      </c>
      <c r="M8" s="334">
        <v>15</v>
      </c>
      <c r="N8" s="333">
        <v>62</v>
      </c>
      <c r="O8" s="334">
        <v>37</v>
      </c>
      <c r="P8" s="333"/>
      <c r="Q8" s="334"/>
      <c r="R8" s="334"/>
      <c r="S8" s="334"/>
      <c r="T8" s="334"/>
      <c r="U8" s="333"/>
      <c r="V8" s="334"/>
      <c r="W8" s="334"/>
      <c r="X8" s="334"/>
      <c r="Y8" s="335"/>
      <c r="Z8" s="335"/>
      <c r="AA8" s="335"/>
      <c r="AB8" s="334">
        <v>40</v>
      </c>
      <c r="AC8" s="334"/>
      <c r="AD8" s="333"/>
      <c r="AE8" s="346">
        <f>C8+D8+E8+F8+G8+H8+I8+J8+K8+L8+M8+N8+O8+P8+Q8+R8+S8+T8+U8+V8+W8+X8+Y8+Z8+AA8+AB8+AC8+AD8</f>
        <v>555</v>
      </c>
      <c r="AF8" s="335"/>
      <c r="AG8" s="337">
        <f>AE8+AF8</f>
        <v>555</v>
      </c>
      <c r="AH8" s="328"/>
    </row>
    <row r="9" spans="1:34" s="326" customFormat="1" ht="13.5" customHeight="1" x14ac:dyDescent="0.2">
      <c r="A9" s="326">
        <v>3</v>
      </c>
      <c r="B9" s="327">
        <v>3</v>
      </c>
      <c r="C9" s="334"/>
      <c r="D9" s="334"/>
      <c r="E9" s="334"/>
      <c r="F9" s="333"/>
      <c r="G9" s="334"/>
      <c r="H9" s="338"/>
      <c r="I9" s="334"/>
      <c r="J9" s="334"/>
      <c r="K9" s="334"/>
      <c r="L9" s="333"/>
      <c r="M9" s="334"/>
      <c r="N9" s="333"/>
      <c r="O9" s="334"/>
      <c r="P9" s="333"/>
      <c r="Q9" s="334"/>
      <c r="R9" s="334"/>
      <c r="S9" s="334"/>
      <c r="T9" s="334"/>
      <c r="U9" s="333"/>
      <c r="V9" s="334"/>
      <c r="W9" s="334"/>
      <c r="X9" s="334"/>
      <c r="Y9" s="335"/>
      <c r="Z9" s="335"/>
      <c r="AA9" s="335"/>
      <c r="AB9" s="334"/>
      <c r="AC9" s="334"/>
      <c r="AD9" s="333"/>
      <c r="AE9" s="346">
        <f>C9+D9+E9+F9+G9+H9+I9+J9+K9+L9+M9+N9+O9+P9+Q9+R9+S9+T9+U9+V9+W9+X9+Y9+Z9+AA9+AB9+AC9+AD9</f>
        <v>0</v>
      </c>
      <c r="AF9" s="335"/>
      <c r="AG9" s="337">
        <f>AE9+AF9</f>
        <v>0</v>
      </c>
      <c r="AH9" s="328"/>
    </row>
    <row r="10" spans="1:34" s="326" customFormat="1" ht="13.5" customHeight="1" x14ac:dyDescent="0.2">
      <c r="A10" s="326">
        <v>4</v>
      </c>
      <c r="B10" s="327">
        <v>4</v>
      </c>
      <c r="C10" s="334"/>
      <c r="D10" s="334">
        <v>10</v>
      </c>
      <c r="E10" s="334"/>
      <c r="F10" s="333"/>
      <c r="G10" s="334"/>
      <c r="H10" s="338"/>
      <c r="I10" s="334"/>
      <c r="J10" s="334"/>
      <c r="K10" s="334"/>
      <c r="L10" s="333"/>
      <c r="M10" s="334"/>
      <c r="N10" s="333"/>
      <c r="O10" s="334"/>
      <c r="P10" s="333"/>
      <c r="Q10" s="334"/>
      <c r="R10" s="334"/>
      <c r="S10" s="334"/>
      <c r="T10" s="334"/>
      <c r="U10" s="333"/>
      <c r="V10" s="334"/>
      <c r="W10" s="334"/>
      <c r="X10" s="334"/>
      <c r="Y10" s="335"/>
      <c r="Z10" s="335"/>
      <c r="AA10" s="335"/>
      <c r="AB10" s="334"/>
      <c r="AC10" s="334"/>
      <c r="AD10" s="333"/>
      <c r="AE10" s="346">
        <f>C10+D10+E10+F10+G10+H10+I10+J10+K10+L10+M10+N10+O10+P10+Q10+R10+S10+T10+U10+V10+W10+X10+Y10+Z10+AA10+AB10+AC10+AD10</f>
        <v>10</v>
      </c>
      <c r="AF10" s="335"/>
      <c r="AG10" s="337">
        <f>AE10+AF10</f>
        <v>10</v>
      </c>
      <c r="AH10" s="328"/>
    </row>
    <row r="11" spans="1:34" s="326" customFormat="1" ht="22.5" customHeight="1" x14ac:dyDescent="0.2">
      <c r="A11" s="326">
        <v>0</v>
      </c>
      <c r="B11" s="330" t="s">
        <v>630</v>
      </c>
      <c r="C11" s="331">
        <v>60</v>
      </c>
      <c r="D11" s="331">
        <v>0</v>
      </c>
      <c r="E11" s="331">
        <v>0</v>
      </c>
      <c r="F11" s="331">
        <v>0</v>
      </c>
      <c r="G11" s="331">
        <v>0</v>
      </c>
      <c r="H11" s="331">
        <v>0</v>
      </c>
      <c r="I11" s="331">
        <v>0</v>
      </c>
      <c r="J11" s="331">
        <v>12</v>
      </c>
      <c r="K11" s="331">
        <v>0</v>
      </c>
      <c r="L11" s="331">
        <v>0</v>
      </c>
      <c r="M11" s="331">
        <v>0</v>
      </c>
      <c r="N11" s="331">
        <v>0</v>
      </c>
      <c r="O11" s="331">
        <v>9</v>
      </c>
      <c r="P11" s="331">
        <v>0</v>
      </c>
      <c r="Q11" s="331">
        <v>0</v>
      </c>
      <c r="R11" s="331">
        <v>0</v>
      </c>
      <c r="S11" s="331">
        <v>0</v>
      </c>
      <c r="T11" s="331">
        <v>0</v>
      </c>
      <c r="U11" s="331">
        <v>0</v>
      </c>
      <c r="V11" s="331">
        <v>0</v>
      </c>
      <c r="W11" s="331">
        <v>0</v>
      </c>
      <c r="X11" s="331">
        <v>0</v>
      </c>
      <c r="Y11" s="331">
        <v>0</v>
      </c>
      <c r="Z11" s="331">
        <v>0</v>
      </c>
      <c r="AA11" s="331">
        <v>0</v>
      </c>
      <c r="AB11" s="331">
        <v>0</v>
      </c>
      <c r="AC11" s="331">
        <v>0</v>
      </c>
      <c r="AD11" s="331">
        <v>0</v>
      </c>
      <c r="AE11" s="331">
        <f t="shared" ref="AE11:AG11" si="1">AE12</f>
        <v>81</v>
      </c>
      <c r="AF11" s="331">
        <f t="shared" si="1"/>
        <v>0</v>
      </c>
      <c r="AG11" s="331">
        <f t="shared" si="1"/>
        <v>81</v>
      </c>
      <c r="AH11" s="328"/>
    </row>
    <row r="12" spans="1:34" s="326" customFormat="1" ht="13.5" customHeight="1" x14ac:dyDescent="0.2">
      <c r="A12" s="326">
        <v>5</v>
      </c>
      <c r="B12" s="327">
        <v>5</v>
      </c>
      <c r="C12" s="334">
        <v>60</v>
      </c>
      <c r="D12" s="334"/>
      <c r="E12" s="334"/>
      <c r="F12" s="334"/>
      <c r="G12" s="334"/>
      <c r="H12" s="334"/>
      <c r="I12" s="334"/>
      <c r="J12" s="334">
        <v>12</v>
      </c>
      <c r="K12" s="334"/>
      <c r="L12" s="334"/>
      <c r="M12" s="334"/>
      <c r="N12" s="333"/>
      <c r="O12" s="334">
        <v>9</v>
      </c>
      <c r="P12" s="334"/>
      <c r="Q12" s="334"/>
      <c r="R12" s="334"/>
      <c r="S12" s="334"/>
      <c r="T12" s="334"/>
      <c r="U12" s="333"/>
      <c r="V12" s="334"/>
      <c r="W12" s="334"/>
      <c r="X12" s="334"/>
      <c r="Y12" s="335"/>
      <c r="Z12" s="335"/>
      <c r="AA12" s="335"/>
      <c r="AB12" s="334"/>
      <c r="AC12" s="334"/>
      <c r="AD12" s="333"/>
      <c r="AE12" s="346">
        <f>C12+D12+E12+F12+G12+H12+I12+J12+K12+L12+M12+N12+O12+P12+Q12+R12+S12+T12+U12+V12+W12+X12+Y12+Z12+AA12+AB12+AC12+AD12</f>
        <v>81</v>
      </c>
      <c r="AF12" s="335"/>
      <c r="AG12" s="336">
        <f>AE12+AF12</f>
        <v>81</v>
      </c>
      <c r="AH12" s="328"/>
    </row>
    <row r="13" spans="1:34" s="326" customFormat="1" ht="22.5" customHeight="1" x14ac:dyDescent="0.2">
      <c r="A13" s="326">
        <v>0</v>
      </c>
      <c r="B13" s="330" t="s">
        <v>631</v>
      </c>
      <c r="C13" s="331">
        <v>50</v>
      </c>
      <c r="D13" s="331">
        <v>0</v>
      </c>
      <c r="E13" s="331">
        <v>0</v>
      </c>
      <c r="F13" s="331">
        <v>0</v>
      </c>
      <c r="G13" s="331">
        <v>0</v>
      </c>
      <c r="H13" s="331">
        <v>0</v>
      </c>
      <c r="I13" s="331">
        <v>0</v>
      </c>
      <c r="J13" s="331">
        <v>17</v>
      </c>
      <c r="K13" s="331">
        <v>0</v>
      </c>
      <c r="L13" s="331">
        <v>0</v>
      </c>
      <c r="M13" s="331">
        <v>25</v>
      </c>
      <c r="N13" s="331">
        <v>0</v>
      </c>
      <c r="O13" s="331">
        <v>0</v>
      </c>
      <c r="P13" s="331">
        <v>0</v>
      </c>
      <c r="Q13" s="331">
        <v>0</v>
      </c>
      <c r="R13" s="331">
        <v>0</v>
      </c>
      <c r="S13" s="331">
        <v>0</v>
      </c>
      <c r="T13" s="331">
        <v>0</v>
      </c>
      <c r="U13" s="331">
        <v>0</v>
      </c>
      <c r="V13" s="331">
        <v>0</v>
      </c>
      <c r="W13" s="331">
        <v>0</v>
      </c>
      <c r="X13" s="331">
        <v>0</v>
      </c>
      <c r="Y13" s="331">
        <v>0</v>
      </c>
      <c r="Z13" s="331">
        <v>0</v>
      </c>
      <c r="AA13" s="331">
        <v>0</v>
      </c>
      <c r="AB13" s="331">
        <v>0</v>
      </c>
      <c r="AC13" s="331">
        <v>0</v>
      </c>
      <c r="AD13" s="331">
        <v>0</v>
      </c>
      <c r="AE13" s="331">
        <f t="shared" ref="AE13:AG13" si="2">AE14+AE15</f>
        <v>92</v>
      </c>
      <c r="AF13" s="331">
        <f t="shared" si="2"/>
        <v>0</v>
      </c>
      <c r="AG13" s="331">
        <f t="shared" si="2"/>
        <v>92</v>
      </c>
      <c r="AH13" s="328"/>
    </row>
    <row r="14" spans="1:34" s="326" customFormat="1" ht="13.5" customHeight="1" x14ac:dyDescent="0.2">
      <c r="A14" s="326">
        <v>6</v>
      </c>
      <c r="B14" s="327">
        <v>6</v>
      </c>
      <c r="C14" s="334">
        <v>50</v>
      </c>
      <c r="D14" s="334"/>
      <c r="E14" s="334"/>
      <c r="F14" s="333"/>
      <c r="G14" s="334"/>
      <c r="H14" s="334"/>
      <c r="I14" s="334"/>
      <c r="J14" s="334">
        <v>17</v>
      </c>
      <c r="K14" s="334"/>
      <c r="L14" s="334"/>
      <c r="M14" s="334">
        <v>25</v>
      </c>
      <c r="N14" s="333"/>
      <c r="O14" s="334"/>
      <c r="P14" s="334"/>
      <c r="Q14" s="334"/>
      <c r="R14" s="334"/>
      <c r="S14" s="334"/>
      <c r="T14" s="334"/>
      <c r="U14" s="333"/>
      <c r="V14" s="334"/>
      <c r="W14" s="334"/>
      <c r="X14" s="334"/>
      <c r="Y14" s="335"/>
      <c r="Z14" s="335"/>
      <c r="AA14" s="335"/>
      <c r="AB14" s="334"/>
      <c r="AC14" s="334"/>
      <c r="AD14" s="333"/>
      <c r="AE14" s="346">
        <f>C14+D14+E14+F14+G14+H14+I14+J14+K14+L14+M14+N14+O14+P14+Q14+R14+S14+T14+U14+V14+W14+X14+Y14+Z14+AA14+AB14+AC14+AD14</f>
        <v>92</v>
      </c>
      <c r="AF14" s="335"/>
      <c r="AG14" s="336">
        <f>AE14+AF14</f>
        <v>92</v>
      </c>
      <c r="AH14" s="328"/>
    </row>
    <row r="15" spans="1:34" s="326" customFormat="1" ht="13.5" customHeight="1" x14ac:dyDescent="0.2">
      <c r="A15" s="326">
        <v>7</v>
      </c>
      <c r="B15" s="327">
        <v>7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3"/>
      <c r="O15" s="334"/>
      <c r="P15" s="334"/>
      <c r="Q15" s="334"/>
      <c r="R15" s="334"/>
      <c r="S15" s="334"/>
      <c r="T15" s="334"/>
      <c r="U15" s="333"/>
      <c r="V15" s="334"/>
      <c r="W15" s="334"/>
      <c r="X15" s="334"/>
      <c r="Y15" s="335"/>
      <c r="Z15" s="335"/>
      <c r="AA15" s="335"/>
      <c r="AB15" s="334"/>
      <c r="AC15" s="334"/>
      <c r="AD15" s="333"/>
      <c r="AE15" s="346">
        <f>C15+D15+E15+F15+G15+H15+I15+J15+K15+L15+M15+N15+O15+P15+Q15+R15+S15+T15+U15+V15+W15+X15+Y15+Z15+AA15+AB15+AC15+AD15</f>
        <v>0</v>
      </c>
      <c r="AF15" s="335"/>
      <c r="AG15" s="336">
        <f>AE15+AF15</f>
        <v>0</v>
      </c>
      <c r="AH15" s="328"/>
    </row>
    <row r="16" spans="1:34" s="326" customFormat="1" ht="22.5" customHeight="1" x14ac:dyDescent="0.2">
      <c r="A16" s="326">
        <v>0</v>
      </c>
      <c r="B16" s="330" t="s">
        <v>632</v>
      </c>
      <c r="C16" s="331">
        <v>0</v>
      </c>
      <c r="D16" s="331">
        <v>0</v>
      </c>
      <c r="E16" s="331">
        <v>0</v>
      </c>
      <c r="F16" s="331">
        <v>0</v>
      </c>
      <c r="G16" s="331">
        <v>0</v>
      </c>
      <c r="H16" s="331">
        <v>0</v>
      </c>
      <c r="I16" s="331">
        <v>0</v>
      </c>
      <c r="J16" s="331">
        <v>6</v>
      </c>
      <c r="K16" s="331">
        <v>0</v>
      </c>
      <c r="L16" s="331">
        <v>0</v>
      </c>
      <c r="M16" s="331">
        <v>0</v>
      </c>
      <c r="N16" s="331">
        <v>0</v>
      </c>
      <c r="O16" s="331">
        <v>0</v>
      </c>
      <c r="P16" s="331">
        <v>0</v>
      </c>
      <c r="Q16" s="331">
        <v>0</v>
      </c>
      <c r="R16" s="331">
        <v>0</v>
      </c>
      <c r="S16" s="331">
        <v>0</v>
      </c>
      <c r="T16" s="331">
        <v>0</v>
      </c>
      <c r="U16" s="331">
        <v>0</v>
      </c>
      <c r="V16" s="331">
        <v>0</v>
      </c>
      <c r="W16" s="331">
        <v>0</v>
      </c>
      <c r="X16" s="331">
        <v>0</v>
      </c>
      <c r="Y16" s="331">
        <v>0</v>
      </c>
      <c r="Z16" s="331">
        <v>0</v>
      </c>
      <c r="AA16" s="331">
        <v>0</v>
      </c>
      <c r="AB16" s="331">
        <v>0</v>
      </c>
      <c r="AC16" s="331">
        <v>0</v>
      </c>
      <c r="AD16" s="331">
        <v>0</v>
      </c>
      <c r="AE16" s="331">
        <f t="shared" ref="AE16:AG16" si="3">AE17</f>
        <v>6</v>
      </c>
      <c r="AF16" s="331">
        <f t="shared" si="3"/>
        <v>0</v>
      </c>
      <c r="AG16" s="331">
        <f t="shared" si="3"/>
        <v>6</v>
      </c>
      <c r="AH16" s="328"/>
    </row>
    <row r="17" spans="1:34" s="339" customFormat="1" ht="13.5" customHeight="1" x14ac:dyDescent="0.2">
      <c r="A17" s="339">
        <v>8</v>
      </c>
      <c r="B17" s="327">
        <v>8</v>
      </c>
      <c r="C17" s="334"/>
      <c r="D17" s="334"/>
      <c r="E17" s="334"/>
      <c r="F17" s="334"/>
      <c r="G17" s="334"/>
      <c r="H17" s="334"/>
      <c r="I17" s="334"/>
      <c r="J17" s="334">
        <v>6</v>
      </c>
      <c r="K17" s="334"/>
      <c r="L17" s="334"/>
      <c r="M17" s="334"/>
      <c r="N17" s="333"/>
      <c r="O17" s="334"/>
      <c r="P17" s="334"/>
      <c r="Q17" s="334"/>
      <c r="R17" s="334"/>
      <c r="S17" s="334"/>
      <c r="T17" s="334"/>
      <c r="U17" s="333"/>
      <c r="V17" s="334"/>
      <c r="W17" s="334"/>
      <c r="X17" s="333"/>
      <c r="Y17" s="340"/>
      <c r="Z17" s="340"/>
      <c r="AA17" s="340"/>
      <c r="AB17" s="334"/>
      <c r="AC17" s="334"/>
      <c r="AD17" s="333"/>
      <c r="AE17" s="346">
        <f>C17+D17+E17+F17+G17+H17+I17+J17+K17+L17+M17+N17+O17+P17+Q17+R17+S17+T17+U17+V17+W17+X17+Y17+Z17+AA17+AB17+AC17+AD17</f>
        <v>6</v>
      </c>
      <c r="AF17" s="340"/>
      <c r="AG17" s="333">
        <f>AE17+AF17</f>
        <v>6</v>
      </c>
      <c r="AH17" s="341"/>
    </row>
    <row r="18" spans="1:34" s="326" customFormat="1" ht="22.5" customHeight="1" x14ac:dyDescent="0.2">
      <c r="A18" s="326">
        <v>0</v>
      </c>
      <c r="B18" s="330" t="s">
        <v>633</v>
      </c>
      <c r="C18" s="331">
        <v>0</v>
      </c>
      <c r="D18" s="331">
        <v>0</v>
      </c>
      <c r="E18" s="331">
        <v>0</v>
      </c>
      <c r="F18" s="331">
        <v>0</v>
      </c>
      <c r="G18" s="331">
        <v>0</v>
      </c>
      <c r="H18" s="331">
        <v>52</v>
      </c>
      <c r="I18" s="331">
        <v>0</v>
      </c>
      <c r="J18" s="331">
        <v>0</v>
      </c>
      <c r="K18" s="331">
        <v>0</v>
      </c>
      <c r="L18" s="331">
        <v>0</v>
      </c>
      <c r="M18" s="331">
        <v>0</v>
      </c>
      <c r="N18" s="331">
        <v>0</v>
      </c>
      <c r="O18" s="331">
        <v>0</v>
      </c>
      <c r="P18" s="331">
        <v>0</v>
      </c>
      <c r="Q18" s="331">
        <v>0</v>
      </c>
      <c r="R18" s="331">
        <v>0</v>
      </c>
      <c r="S18" s="331">
        <v>0</v>
      </c>
      <c r="T18" s="331">
        <v>0</v>
      </c>
      <c r="U18" s="331">
        <v>0</v>
      </c>
      <c r="V18" s="331">
        <v>0</v>
      </c>
      <c r="W18" s="331">
        <v>0</v>
      </c>
      <c r="X18" s="331">
        <v>0</v>
      </c>
      <c r="Y18" s="331">
        <v>0</v>
      </c>
      <c r="Z18" s="331">
        <v>0</v>
      </c>
      <c r="AA18" s="331">
        <v>0</v>
      </c>
      <c r="AB18" s="331">
        <v>0</v>
      </c>
      <c r="AC18" s="331">
        <v>0</v>
      </c>
      <c r="AD18" s="331">
        <v>0</v>
      </c>
      <c r="AE18" s="331">
        <f t="shared" ref="AE18:AG18" si="4">AE19</f>
        <v>52</v>
      </c>
      <c r="AF18" s="331">
        <f t="shared" si="4"/>
        <v>0</v>
      </c>
      <c r="AG18" s="331">
        <f t="shared" si="4"/>
        <v>52</v>
      </c>
      <c r="AH18" s="328"/>
    </row>
    <row r="19" spans="1:34" s="326" customFormat="1" ht="13.5" customHeight="1" x14ac:dyDescent="0.2">
      <c r="A19" s="326">
        <v>9</v>
      </c>
      <c r="B19" s="327">
        <v>9</v>
      </c>
      <c r="C19" s="334"/>
      <c r="D19" s="334"/>
      <c r="E19" s="334"/>
      <c r="F19" s="334"/>
      <c r="G19" s="334"/>
      <c r="H19" s="334">
        <v>52</v>
      </c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3"/>
      <c r="V19" s="334"/>
      <c r="W19" s="334"/>
      <c r="X19" s="334"/>
      <c r="Y19" s="335"/>
      <c r="Z19" s="335"/>
      <c r="AA19" s="335"/>
      <c r="AB19" s="334"/>
      <c r="AC19" s="334"/>
      <c r="AD19" s="333"/>
      <c r="AE19" s="346">
        <f>C19+D19+E19+F19+G19+H19+I19+J19+K19+L19+M19+N19+O19+P19+Q19+R19+S19+T19+U19+V19+W19+X19+Y19+Z19+AA19+AB19+AC19+AD19</f>
        <v>52</v>
      </c>
      <c r="AF19" s="335"/>
      <c r="AG19" s="336">
        <f>AE19+AF19</f>
        <v>52</v>
      </c>
      <c r="AH19" s="328"/>
    </row>
    <row r="20" spans="1:34" s="326" customFormat="1" ht="22.5" customHeight="1" x14ac:dyDescent="0.2">
      <c r="A20" s="326">
        <v>0</v>
      </c>
      <c r="B20" s="330" t="s">
        <v>634</v>
      </c>
      <c r="C20" s="331">
        <v>0</v>
      </c>
      <c r="D20" s="331">
        <v>0</v>
      </c>
      <c r="E20" s="331">
        <v>0</v>
      </c>
      <c r="F20" s="331">
        <v>0</v>
      </c>
      <c r="G20" s="331">
        <v>0</v>
      </c>
      <c r="H20" s="331">
        <v>0</v>
      </c>
      <c r="I20" s="331">
        <v>0</v>
      </c>
      <c r="J20" s="331">
        <v>0</v>
      </c>
      <c r="K20" s="331">
        <v>0</v>
      </c>
      <c r="L20" s="331">
        <v>0</v>
      </c>
      <c r="M20" s="331">
        <v>0</v>
      </c>
      <c r="N20" s="331">
        <v>135</v>
      </c>
      <c r="O20" s="331">
        <v>0</v>
      </c>
      <c r="P20" s="331">
        <v>0</v>
      </c>
      <c r="Q20" s="331">
        <v>0</v>
      </c>
      <c r="R20" s="331">
        <v>0</v>
      </c>
      <c r="S20" s="331">
        <v>30</v>
      </c>
      <c r="T20" s="331">
        <v>0</v>
      </c>
      <c r="U20" s="331">
        <v>0</v>
      </c>
      <c r="V20" s="331">
        <v>0</v>
      </c>
      <c r="W20" s="331">
        <v>0</v>
      </c>
      <c r="X20" s="331">
        <v>0</v>
      </c>
      <c r="Y20" s="331">
        <v>0</v>
      </c>
      <c r="Z20" s="331">
        <v>0</v>
      </c>
      <c r="AA20" s="331">
        <v>0</v>
      </c>
      <c r="AB20" s="331">
        <v>0</v>
      </c>
      <c r="AC20" s="331">
        <v>0</v>
      </c>
      <c r="AD20" s="331">
        <v>0</v>
      </c>
      <c r="AE20" s="331">
        <f t="shared" ref="AE20:AG20" si="5">AE21+AE22</f>
        <v>165</v>
      </c>
      <c r="AF20" s="331">
        <f t="shared" si="5"/>
        <v>0</v>
      </c>
      <c r="AG20" s="331">
        <f t="shared" si="5"/>
        <v>165</v>
      </c>
      <c r="AH20" s="328"/>
    </row>
    <row r="21" spans="1:34" s="326" customFormat="1" ht="13.5" customHeight="1" x14ac:dyDescent="0.2">
      <c r="A21" s="326">
        <v>10</v>
      </c>
      <c r="B21" s="327">
        <v>10</v>
      </c>
      <c r="C21" s="334"/>
      <c r="D21" s="334"/>
      <c r="E21" s="334"/>
      <c r="F21" s="334"/>
      <c r="G21" s="334"/>
      <c r="H21" s="338"/>
      <c r="I21" s="334"/>
      <c r="J21" s="334"/>
      <c r="K21" s="334"/>
      <c r="L21" s="338"/>
      <c r="M21" s="334"/>
      <c r="N21" s="334">
        <v>100</v>
      </c>
      <c r="O21" s="338"/>
      <c r="P21" s="338"/>
      <c r="Q21" s="334"/>
      <c r="R21" s="333"/>
      <c r="S21" s="334">
        <v>30</v>
      </c>
      <c r="T21" s="334"/>
      <c r="U21" s="333"/>
      <c r="V21" s="334"/>
      <c r="W21" s="334"/>
      <c r="X21" s="334"/>
      <c r="Y21" s="335"/>
      <c r="Z21" s="335"/>
      <c r="AA21" s="335"/>
      <c r="AB21" s="334"/>
      <c r="AC21" s="334"/>
      <c r="AD21" s="333"/>
      <c r="AE21" s="346">
        <f>C21+D21+E21+F21+G21+H21+I21+J21+K21+L21+M21+N21+O21+P21+Q21+R21+S21+T21+U21+V21+W21+X21+Y21+Z21+AA21+AB21+AC21+AD21</f>
        <v>130</v>
      </c>
      <c r="AF21" s="335"/>
      <c r="AG21" s="336">
        <f>AE21+AF21</f>
        <v>130</v>
      </c>
      <c r="AH21" s="328"/>
    </row>
    <row r="22" spans="1:34" s="326" customFormat="1" ht="13.5" customHeight="1" x14ac:dyDescent="0.2">
      <c r="A22" s="326">
        <v>11</v>
      </c>
      <c r="B22" s="327">
        <v>11</v>
      </c>
      <c r="C22" s="342"/>
      <c r="D22" s="342"/>
      <c r="E22" s="342"/>
      <c r="F22" s="342"/>
      <c r="G22" s="342"/>
      <c r="H22" s="343"/>
      <c r="I22" s="342"/>
      <c r="J22" s="342"/>
      <c r="K22" s="342"/>
      <c r="L22" s="343"/>
      <c r="M22" s="342"/>
      <c r="N22" s="334">
        <v>35</v>
      </c>
      <c r="O22" s="343"/>
      <c r="P22" s="343"/>
      <c r="Q22" s="342"/>
      <c r="R22" s="333"/>
      <c r="S22" s="342"/>
      <c r="T22" s="342"/>
      <c r="U22" s="333"/>
      <c r="V22" s="334"/>
      <c r="W22" s="334"/>
      <c r="X22" s="334"/>
      <c r="Y22" s="335"/>
      <c r="Z22" s="335"/>
      <c r="AA22" s="335"/>
      <c r="AB22" s="334"/>
      <c r="AC22" s="334"/>
      <c r="AD22" s="333"/>
      <c r="AE22" s="346">
        <f>C22+D22+E22+F22+G22+H22+I22+J22+K22+L22+M22+N22+O22+P22+Q22+R22+S22+T22+U22+V22+W22+X22+Y22+Z22+AA22+AB22+AC22+AD22</f>
        <v>35</v>
      </c>
      <c r="AF22" s="335"/>
      <c r="AG22" s="336">
        <f>AE22+AF22</f>
        <v>35</v>
      </c>
      <c r="AH22" s="328"/>
    </row>
    <row r="23" spans="1:34" s="339" customFormat="1" ht="22.5" customHeight="1" x14ac:dyDescent="0.2">
      <c r="A23" s="339">
        <v>0</v>
      </c>
      <c r="B23" s="330" t="s">
        <v>635</v>
      </c>
      <c r="C23" s="331">
        <v>676</v>
      </c>
      <c r="D23" s="331">
        <v>504</v>
      </c>
      <c r="E23" s="331">
        <v>0</v>
      </c>
      <c r="F23" s="331">
        <v>0</v>
      </c>
      <c r="G23" s="331">
        <v>100</v>
      </c>
      <c r="H23" s="331">
        <v>0</v>
      </c>
      <c r="I23" s="331">
        <v>0</v>
      </c>
      <c r="J23" s="331">
        <v>151</v>
      </c>
      <c r="K23" s="331">
        <v>33</v>
      </c>
      <c r="L23" s="331">
        <v>0</v>
      </c>
      <c r="M23" s="331">
        <v>0</v>
      </c>
      <c r="N23" s="331">
        <v>0</v>
      </c>
      <c r="O23" s="331">
        <v>252</v>
      </c>
      <c r="P23" s="331">
        <v>0</v>
      </c>
      <c r="Q23" s="331">
        <v>12</v>
      </c>
      <c r="R23" s="331">
        <v>14</v>
      </c>
      <c r="S23" s="331">
        <v>218</v>
      </c>
      <c r="T23" s="331">
        <v>25</v>
      </c>
      <c r="U23" s="331">
        <v>0</v>
      </c>
      <c r="V23" s="331">
        <v>0</v>
      </c>
      <c r="W23" s="331">
        <v>0</v>
      </c>
      <c r="X23" s="331">
        <v>0</v>
      </c>
      <c r="Y23" s="331">
        <v>0</v>
      </c>
      <c r="Z23" s="331">
        <v>0</v>
      </c>
      <c r="AA23" s="331">
        <v>0</v>
      </c>
      <c r="AB23" s="331">
        <v>0</v>
      </c>
      <c r="AC23" s="331">
        <v>0</v>
      </c>
      <c r="AD23" s="331">
        <v>0</v>
      </c>
      <c r="AE23" s="331">
        <f t="shared" ref="AE23:AG23" si="6">SUM(AE24:AE30)</f>
        <v>1985</v>
      </c>
      <c r="AF23" s="331">
        <f t="shared" si="6"/>
        <v>0</v>
      </c>
      <c r="AG23" s="331">
        <f t="shared" si="6"/>
        <v>1985</v>
      </c>
      <c r="AH23" s="341"/>
    </row>
    <row r="24" spans="1:34" s="326" customFormat="1" ht="13.5" customHeight="1" x14ac:dyDescent="0.2">
      <c r="A24" s="326">
        <v>12</v>
      </c>
      <c r="B24" s="327">
        <v>12</v>
      </c>
      <c r="C24" s="333">
        <v>641</v>
      </c>
      <c r="D24" s="333">
        <v>488</v>
      </c>
      <c r="E24" s="333"/>
      <c r="F24" s="333"/>
      <c r="G24" s="333">
        <v>100</v>
      </c>
      <c r="H24" s="333"/>
      <c r="I24" s="333"/>
      <c r="J24" s="333">
        <v>89</v>
      </c>
      <c r="K24" s="344">
        <v>15</v>
      </c>
      <c r="L24" s="333"/>
      <c r="M24" s="333"/>
      <c r="N24" s="334"/>
      <c r="O24" s="333">
        <v>228</v>
      </c>
      <c r="P24" s="333"/>
      <c r="Q24" s="333">
        <v>5</v>
      </c>
      <c r="R24" s="333"/>
      <c r="S24" s="333">
        <v>188</v>
      </c>
      <c r="T24" s="334">
        <v>2</v>
      </c>
      <c r="U24" s="334"/>
      <c r="V24" s="334"/>
      <c r="W24" s="334"/>
      <c r="X24" s="334"/>
      <c r="Y24" s="335"/>
      <c r="Z24" s="335"/>
      <c r="AA24" s="335"/>
      <c r="AB24" s="334"/>
      <c r="AC24" s="334"/>
      <c r="AD24" s="333"/>
      <c r="AE24" s="346">
        <f t="shared" ref="AE24:AE30" si="7">C24+D24+E24+F24+G24+H24+I24+J24+K24+L24+M24+N24+O24+P24+Q24+R24+S24+T24+U24+V24+W24+X24+Y24+Z24+AA24+AB24+AC24+AD24</f>
        <v>1756</v>
      </c>
      <c r="AF24" s="335"/>
      <c r="AG24" s="336">
        <f t="shared" ref="AG24:AG30" si="8">AE24+AF24</f>
        <v>1756</v>
      </c>
      <c r="AH24" s="328"/>
    </row>
    <row r="25" spans="1:34" s="326" customFormat="1" ht="13.5" customHeight="1" x14ac:dyDescent="0.2">
      <c r="A25" s="326">
        <v>13</v>
      </c>
      <c r="B25" s="327">
        <v>13</v>
      </c>
      <c r="C25" s="333"/>
      <c r="D25" s="333"/>
      <c r="E25" s="333"/>
      <c r="F25" s="333"/>
      <c r="G25" s="333"/>
      <c r="H25" s="345"/>
      <c r="I25" s="333"/>
      <c r="J25" s="333"/>
      <c r="K25" s="344"/>
      <c r="L25" s="345"/>
      <c r="M25" s="333"/>
      <c r="N25" s="334"/>
      <c r="O25" s="345"/>
      <c r="P25" s="345"/>
      <c r="Q25" s="333"/>
      <c r="R25" s="333"/>
      <c r="S25" s="333"/>
      <c r="T25" s="334"/>
      <c r="U25" s="334"/>
      <c r="V25" s="334"/>
      <c r="W25" s="334"/>
      <c r="X25" s="334"/>
      <c r="Y25" s="335"/>
      <c r="Z25" s="335"/>
      <c r="AA25" s="335"/>
      <c r="AB25" s="334"/>
      <c r="AC25" s="334"/>
      <c r="AD25" s="333"/>
      <c r="AE25" s="346">
        <f t="shared" si="7"/>
        <v>0</v>
      </c>
      <c r="AF25" s="335"/>
      <c r="AG25" s="336">
        <f t="shared" si="8"/>
        <v>0</v>
      </c>
      <c r="AH25" s="328"/>
    </row>
    <row r="26" spans="1:34" s="326" customFormat="1" ht="13.5" customHeight="1" x14ac:dyDescent="0.2">
      <c r="A26" s="326">
        <v>14</v>
      </c>
      <c r="B26" s="327">
        <v>14</v>
      </c>
      <c r="C26" s="334">
        <v>7</v>
      </c>
      <c r="D26" s="334">
        <v>1</v>
      </c>
      <c r="E26" s="334"/>
      <c r="F26" s="334"/>
      <c r="G26" s="334"/>
      <c r="H26" s="338"/>
      <c r="I26" s="334"/>
      <c r="J26" s="334"/>
      <c r="K26" s="344"/>
      <c r="L26" s="338"/>
      <c r="M26" s="334"/>
      <c r="N26" s="334"/>
      <c r="O26" s="334">
        <v>8</v>
      </c>
      <c r="P26" s="338"/>
      <c r="Q26" s="334"/>
      <c r="R26" s="334"/>
      <c r="S26" s="334">
        <v>10</v>
      </c>
      <c r="T26" s="334"/>
      <c r="U26" s="334"/>
      <c r="V26" s="334"/>
      <c r="W26" s="334"/>
      <c r="X26" s="334"/>
      <c r="Y26" s="335"/>
      <c r="Z26" s="335"/>
      <c r="AA26" s="335"/>
      <c r="AB26" s="334"/>
      <c r="AC26" s="334"/>
      <c r="AD26" s="333"/>
      <c r="AE26" s="346">
        <f t="shared" si="7"/>
        <v>26</v>
      </c>
      <c r="AF26" s="335"/>
      <c r="AG26" s="336">
        <f t="shared" si="8"/>
        <v>26</v>
      </c>
      <c r="AH26" s="328"/>
    </row>
    <row r="27" spans="1:34" s="326" customFormat="1" ht="13.5" customHeight="1" x14ac:dyDescent="0.2">
      <c r="A27" s="326">
        <v>15</v>
      </c>
      <c r="B27" s="327">
        <v>15</v>
      </c>
      <c r="C27" s="342"/>
      <c r="D27" s="342"/>
      <c r="E27" s="342"/>
      <c r="F27" s="342"/>
      <c r="G27" s="342"/>
      <c r="H27" s="343"/>
      <c r="I27" s="342"/>
      <c r="J27" s="342">
        <v>59</v>
      </c>
      <c r="K27" s="344">
        <v>18</v>
      </c>
      <c r="L27" s="343"/>
      <c r="M27" s="342"/>
      <c r="N27" s="334"/>
      <c r="O27" s="343"/>
      <c r="P27" s="343"/>
      <c r="Q27" s="334"/>
      <c r="R27" s="342"/>
      <c r="S27" s="342"/>
      <c r="T27" s="334"/>
      <c r="U27" s="334"/>
      <c r="V27" s="334"/>
      <c r="W27" s="334"/>
      <c r="X27" s="334"/>
      <c r="Y27" s="335"/>
      <c r="Z27" s="335"/>
      <c r="AA27" s="335"/>
      <c r="AB27" s="334"/>
      <c r="AC27" s="334"/>
      <c r="AD27" s="333"/>
      <c r="AE27" s="346">
        <f t="shared" si="7"/>
        <v>77</v>
      </c>
      <c r="AF27" s="335"/>
      <c r="AG27" s="336">
        <f t="shared" si="8"/>
        <v>77</v>
      </c>
      <c r="AH27" s="328"/>
    </row>
    <row r="28" spans="1:34" s="326" customFormat="1" ht="13.5" customHeight="1" x14ac:dyDescent="0.2">
      <c r="A28" s="326">
        <v>16</v>
      </c>
      <c r="B28" s="327">
        <v>16</v>
      </c>
      <c r="C28" s="334">
        <v>18</v>
      </c>
      <c r="D28" s="334"/>
      <c r="E28" s="334"/>
      <c r="F28" s="334"/>
      <c r="G28" s="334"/>
      <c r="H28" s="338"/>
      <c r="I28" s="334"/>
      <c r="J28" s="334"/>
      <c r="K28" s="344"/>
      <c r="L28" s="338"/>
      <c r="M28" s="334"/>
      <c r="N28" s="334"/>
      <c r="O28" s="338">
        <v>2</v>
      </c>
      <c r="P28" s="338"/>
      <c r="Q28" s="334">
        <v>7</v>
      </c>
      <c r="R28" s="334">
        <v>14</v>
      </c>
      <c r="S28" s="334">
        <v>5</v>
      </c>
      <c r="T28" s="334">
        <v>23</v>
      </c>
      <c r="U28" s="334"/>
      <c r="V28" s="334"/>
      <c r="W28" s="334"/>
      <c r="X28" s="334"/>
      <c r="Y28" s="335"/>
      <c r="Z28" s="335"/>
      <c r="AA28" s="335"/>
      <c r="AB28" s="334"/>
      <c r="AC28" s="334"/>
      <c r="AD28" s="333"/>
      <c r="AE28" s="346">
        <f t="shared" si="7"/>
        <v>69</v>
      </c>
      <c r="AF28" s="335"/>
      <c r="AG28" s="336">
        <f t="shared" si="8"/>
        <v>69</v>
      </c>
      <c r="AH28" s="328"/>
    </row>
    <row r="29" spans="1:34" s="326" customFormat="1" ht="13.5" customHeight="1" x14ac:dyDescent="0.2">
      <c r="A29" s="326">
        <v>17</v>
      </c>
      <c r="B29" s="327">
        <v>17</v>
      </c>
      <c r="C29" s="334">
        <v>5</v>
      </c>
      <c r="D29" s="334">
        <v>15</v>
      </c>
      <c r="E29" s="334"/>
      <c r="F29" s="334"/>
      <c r="G29" s="334"/>
      <c r="H29" s="338"/>
      <c r="I29" s="334"/>
      <c r="J29" s="344"/>
      <c r="K29" s="344"/>
      <c r="L29" s="338"/>
      <c r="M29" s="334"/>
      <c r="N29" s="334"/>
      <c r="O29" s="334">
        <v>14</v>
      </c>
      <c r="P29" s="338"/>
      <c r="Q29" s="334"/>
      <c r="R29" s="334"/>
      <c r="S29" s="334">
        <v>15</v>
      </c>
      <c r="T29" s="334"/>
      <c r="U29" s="334"/>
      <c r="V29" s="334"/>
      <c r="W29" s="334"/>
      <c r="X29" s="334"/>
      <c r="Y29" s="335"/>
      <c r="Z29" s="335"/>
      <c r="AA29" s="335"/>
      <c r="AB29" s="334"/>
      <c r="AC29" s="334"/>
      <c r="AD29" s="334"/>
      <c r="AE29" s="346">
        <f t="shared" si="7"/>
        <v>49</v>
      </c>
      <c r="AF29" s="335"/>
      <c r="AG29" s="346">
        <f t="shared" si="8"/>
        <v>49</v>
      </c>
      <c r="AH29" s="328"/>
    </row>
    <row r="30" spans="1:34" s="326" customFormat="1" ht="13.5" customHeight="1" x14ac:dyDescent="0.2">
      <c r="B30" s="327">
        <v>18</v>
      </c>
      <c r="C30" s="334">
        <v>5</v>
      </c>
      <c r="D30" s="334"/>
      <c r="E30" s="334"/>
      <c r="F30" s="334"/>
      <c r="G30" s="334"/>
      <c r="H30" s="338"/>
      <c r="I30" s="334"/>
      <c r="J30" s="344">
        <v>3</v>
      </c>
      <c r="K30" s="344"/>
      <c r="L30" s="338"/>
      <c r="M30" s="334"/>
      <c r="N30" s="334"/>
      <c r="O30" s="334"/>
      <c r="P30" s="338"/>
      <c r="Q30" s="334"/>
      <c r="R30" s="334"/>
      <c r="S30" s="334"/>
      <c r="T30" s="334"/>
      <c r="U30" s="334"/>
      <c r="V30" s="334"/>
      <c r="W30" s="334"/>
      <c r="X30" s="334"/>
      <c r="Y30" s="335"/>
      <c r="Z30" s="335"/>
      <c r="AA30" s="335"/>
      <c r="AB30" s="334"/>
      <c r="AC30" s="334"/>
      <c r="AD30" s="334"/>
      <c r="AE30" s="346">
        <f t="shared" si="7"/>
        <v>8</v>
      </c>
      <c r="AF30" s="335"/>
      <c r="AG30" s="346">
        <f t="shared" si="8"/>
        <v>8</v>
      </c>
      <c r="AH30" s="328"/>
    </row>
    <row r="31" spans="1:34" s="339" customFormat="1" ht="22.5" customHeight="1" x14ac:dyDescent="0.2">
      <c r="A31" s="339">
        <v>0</v>
      </c>
      <c r="B31" s="330" t="s">
        <v>636</v>
      </c>
      <c r="C31" s="331">
        <v>112</v>
      </c>
      <c r="D31" s="331">
        <v>0</v>
      </c>
      <c r="E31" s="331">
        <v>638</v>
      </c>
      <c r="F31" s="331">
        <v>0</v>
      </c>
      <c r="G31" s="331">
        <v>0</v>
      </c>
      <c r="H31" s="331">
        <v>0</v>
      </c>
      <c r="I31" s="331">
        <v>0</v>
      </c>
      <c r="J31" s="331">
        <v>100</v>
      </c>
      <c r="K31" s="331">
        <v>93</v>
      </c>
      <c r="L31" s="331">
        <v>0</v>
      </c>
      <c r="M31" s="331">
        <v>0</v>
      </c>
      <c r="N31" s="331">
        <v>0</v>
      </c>
      <c r="O31" s="331">
        <v>0</v>
      </c>
      <c r="P31" s="331">
        <v>90</v>
      </c>
      <c r="Q31" s="331">
        <v>0</v>
      </c>
      <c r="R31" s="331">
        <v>0</v>
      </c>
      <c r="S31" s="331">
        <v>0</v>
      </c>
      <c r="T31" s="331">
        <v>0</v>
      </c>
      <c r="U31" s="331">
        <v>0</v>
      </c>
      <c r="V31" s="331">
        <v>0</v>
      </c>
      <c r="W31" s="331">
        <v>0</v>
      </c>
      <c r="X31" s="331">
        <v>0</v>
      </c>
      <c r="Y31" s="331">
        <v>0</v>
      </c>
      <c r="Z31" s="331">
        <v>0</v>
      </c>
      <c r="AA31" s="331">
        <v>0</v>
      </c>
      <c r="AB31" s="331">
        <v>0</v>
      </c>
      <c r="AC31" s="331">
        <v>0</v>
      </c>
      <c r="AD31" s="331">
        <v>0</v>
      </c>
      <c r="AE31" s="331">
        <f t="shared" ref="AE31:AF31" si="9">SUM(AE32:AE33)</f>
        <v>1033</v>
      </c>
      <c r="AF31" s="331">
        <f t="shared" si="9"/>
        <v>0</v>
      </c>
      <c r="AG31" s="331">
        <f>SUM(AG32:AG33)</f>
        <v>1033</v>
      </c>
      <c r="AH31" s="341"/>
    </row>
    <row r="32" spans="1:34" s="326" customFormat="1" ht="13.5" customHeight="1" x14ac:dyDescent="0.2">
      <c r="A32" s="326">
        <v>18</v>
      </c>
      <c r="B32" s="327">
        <v>19</v>
      </c>
      <c r="C32" s="333">
        <v>92</v>
      </c>
      <c r="D32" s="333"/>
      <c r="E32" s="333">
        <v>583</v>
      </c>
      <c r="F32" s="347"/>
      <c r="G32" s="333"/>
      <c r="H32" s="333"/>
      <c r="I32" s="333"/>
      <c r="J32" s="333">
        <v>80</v>
      </c>
      <c r="K32" s="333"/>
      <c r="L32" s="333"/>
      <c r="M32" s="333"/>
      <c r="N32" s="333"/>
      <c r="O32" s="333"/>
      <c r="P32" s="333">
        <v>85</v>
      </c>
      <c r="Q32" s="333"/>
      <c r="R32" s="333"/>
      <c r="S32" s="333"/>
      <c r="T32" s="333"/>
      <c r="U32" s="333"/>
      <c r="V32" s="333"/>
      <c r="W32" s="333"/>
      <c r="X32" s="333"/>
      <c r="Y32" s="335"/>
      <c r="Z32" s="335"/>
      <c r="AA32" s="335"/>
      <c r="AB32" s="333"/>
      <c r="AC32" s="333"/>
      <c r="AD32" s="333"/>
      <c r="AE32" s="346">
        <f>C32+D32+E32+F32+G32+H32+I32+J32+K32+L32+M32+N32+O32+P32+Q32+R32+S32+T32+U32+V32+W32+X32+Y32+Z32+AA32+AB32+AC32+AD32</f>
        <v>840</v>
      </c>
      <c r="AF32" s="335"/>
      <c r="AG32" s="336">
        <f>AE32+AF32</f>
        <v>840</v>
      </c>
      <c r="AH32" s="328"/>
    </row>
    <row r="33" spans="1:34" s="326" customFormat="1" ht="13.5" customHeight="1" x14ac:dyDescent="0.2">
      <c r="A33" s="326">
        <v>19</v>
      </c>
      <c r="B33" s="327">
        <v>20</v>
      </c>
      <c r="C33" s="333">
        <v>20</v>
      </c>
      <c r="D33" s="333"/>
      <c r="E33" s="333">
        <v>55</v>
      </c>
      <c r="F33" s="333"/>
      <c r="G33" s="333"/>
      <c r="H33" s="333"/>
      <c r="I33" s="333"/>
      <c r="J33" s="333">
        <v>20</v>
      </c>
      <c r="K33" s="333">
        <v>93</v>
      </c>
      <c r="L33" s="333"/>
      <c r="M33" s="333"/>
      <c r="N33" s="333"/>
      <c r="O33" s="333"/>
      <c r="P33" s="333">
        <v>5</v>
      </c>
      <c r="Q33" s="333"/>
      <c r="R33" s="333"/>
      <c r="S33" s="333"/>
      <c r="T33" s="333"/>
      <c r="U33" s="333"/>
      <c r="V33" s="333"/>
      <c r="W33" s="333"/>
      <c r="X33" s="333"/>
      <c r="Y33" s="335"/>
      <c r="Z33" s="335"/>
      <c r="AA33" s="335"/>
      <c r="AB33" s="333"/>
      <c r="AC33" s="333"/>
      <c r="AD33" s="333"/>
      <c r="AE33" s="346">
        <f>C33+D33+E33+F33+G33+H33+I33+J33+K33+L33+M33+N33+O33+P33+Q33+R33+S33+T33+U33+V33+W33+X33+Y33+Z33+AA33+AB33+AC33+AD33</f>
        <v>193</v>
      </c>
      <c r="AF33" s="335"/>
      <c r="AG33" s="336">
        <f>AE33+AF33</f>
        <v>193</v>
      </c>
      <c r="AH33" s="328"/>
    </row>
    <row r="34" spans="1:34" s="339" customFormat="1" ht="22.5" customHeight="1" x14ac:dyDescent="0.2">
      <c r="A34" s="339">
        <v>0</v>
      </c>
      <c r="B34" s="330" t="s">
        <v>637</v>
      </c>
      <c r="C34" s="331">
        <v>320</v>
      </c>
      <c r="D34" s="331">
        <v>0</v>
      </c>
      <c r="E34" s="331">
        <v>0</v>
      </c>
      <c r="F34" s="331">
        <v>0</v>
      </c>
      <c r="G34" s="331">
        <v>1871</v>
      </c>
      <c r="H34" s="331">
        <v>0</v>
      </c>
      <c r="I34" s="331">
        <v>0</v>
      </c>
      <c r="J34" s="331">
        <v>218</v>
      </c>
      <c r="K34" s="331">
        <v>0</v>
      </c>
      <c r="L34" s="331">
        <v>0</v>
      </c>
      <c r="M34" s="331">
        <v>0</v>
      </c>
      <c r="N34" s="331">
        <v>0</v>
      </c>
      <c r="O34" s="331">
        <v>0</v>
      </c>
      <c r="P34" s="331">
        <v>0</v>
      </c>
      <c r="Q34" s="331">
        <v>0</v>
      </c>
      <c r="R34" s="331">
        <v>0</v>
      </c>
      <c r="S34" s="331">
        <v>190</v>
      </c>
      <c r="T34" s="331">
        <v>0</v>
      </c>
      <c r="U34" s="331">
        <v>0</v>
      </c>
      <c r="V34" s="331">
        <v>0</v>
      </c>
      <c r="W34" s="331">
        <v>0</v>
      </c>
      <c r="X34" s="331">
        <v>0</v>
      </c>
      <c r="Y34" s="331">
        <v>0</v>
      </c>
      <c r="Z34" s="331">
        <v>0</v>
      </c>
      <c r="AA34" s="331">
        <v>0</v>
      </c>
      <c r="AB34" s="331">
        <v>0</v>
      </c>
      <c r="AC34" s="331">
        <v>0</v>
      </c>
      <c r="AD34" s="331">
        <v>0</v>
      </c>
      <c r="AE34" s="331">
        <f t="shared" ref="AE34:AG34" si="10">SUM(AE35:AE41)</f>
        <v>2599</v>
      </c>
      <c r="AF34" s="331">
        <f t="shared" si="10"/>
        <v>0</v>
      </c>
      <c r="AG34" s="331">
        <f t="shared" si="10"/>
        <v>2599</v>
      </c>
      <c r="AH34" s="341"/>
    </row>
    <row r="35" spans="1:34" s="326" customFormat="1" ht="13.5" customHeight="1" x14ac:dyDescent="0.2">
      <c r="A35" s="326">
        <v>20</v>
      </c>
      <c r="B35" s="327">
        <v>21</v>
      </c>
      <c r="C35" s="334">
        <v>120</v>
      </c>
      <c r="D35" s="334"/>
      <c r="E35" s="334"/>
      <c r="F35" s="334"/>
      <c r="G35" s="334">
        <v>1351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>
        <v>190</v>
      </c>
      <c r="T35" s="334"/>
      <c r="U35" s="334"/>
      <c r="V35" s="334"/>
      <c r="W35" s="334"/>
      <c r="X35" s="334"/>
      <c r="Y35" s="335"/>
      <c r="Z35" s="335"/>
      <c r="AA35" s="335"/>
      <c r="AB35" s="334"/>
      <c r="AC35" s="334"/>
      <c r="AD35" s="333"/>
      <c r="AE35" s="346">
        <f t="shared" ref="AE35:AE41" si="11">C35+D35+E35+F35+G35+H35+I35+J35+K35+L35+M35+N35+O35+P35+Q35+R35+S35+T35+U35+V35+W35+X35+Y35+Z35+AA35+AB35+AC35+AD35</f>
        <v>1661</v>
      </c>
      <c r="AF35" s="335"/>
      <c r="AG35" s="336">
        <f t="shared" ref="AG35:AG41" si="12">AE35+AF35</f>
        <v>1661</v>
      </c>
      <c r="AH35" s="328"/>
    </row>
    <row r="36" spans="1:34" s="326" customFormat="1" ht="13.5" customHeight="1" x14ac:dyDescent="0.2">
      <c r="A36" s="326">
        <v>21</v>
      </c>
      <c r="B36" s="327">
        <v>22</v>
      </c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5"/>
      <c r="Z36" s="335"/>
      <c r="AA36" s="335"/>
      <c r="AB36" s="334"/>
      <c r="AC36" s="334"/>
      <c r="AD36" s="333"/>
      <c r="AE36" s="346">
        <f t="shared" si="11"/>
        <v>0</v>
      </c>
      <c r="AF36" s="335"/>
      <c r="AG36" s="336">
        <f t="shared" si="12"/>
        <v>0</v>
      </c>
      <c r="AH36" s="328"/>
    </row>
    <row r="37" spans="1:34" s="326" customFormat="1" ht="13.5" customHeight="1" x14ac:dyDescent="0.2">
      <c r="A37" s="326">
        <v>22</v>
      </c>
      <c r="B37" s="327">
        <v>23</v>
      </c>
      <c r="C37" s="334"/>
      <c r="D37" s="334"/>
      <c r="E37" s="334"/>
      <c r="F37" s="334"/>
      <c r="G37" s="334"/>
      <c r="H37" s="338"/>
      <c r="I37" s="334"/>
      <c r="J37" s="334">
        <v>218</v>
      </c>
      <c r="K37" s="334"/>
      <c r="L37" s="334"/>
      <c r="M37" s="334"/>
      <c r="N37" s="334"/>
      <c r="O37" s="338"/>
      <c r="P37" s="338"/>
      <c r="Q37" s="334"/>
      <c r="R37" s="334"/>
      <c r="S37" s="334"/>
      <c r="T37" s="334"/>
      <c r="U37" s="334"/>
      <c r="V37" s="334"/>
      <c r="W37" s="334"/>
      <c r="X37" s="334"/>
      <c r="Y37" s="335"/>
      <c r="Z37" s="335"/>
      <c r="AA37" s="335"/>
      <c r="AB37" s="334"/>
      <c r="AC37" s="334"/>
      <c r="AD37" s="333"/>
      <c r="AE37" s="346">
        <f t="shared" si="11"/>
        <v>218</v>
      </c>
      <c r="AF37" s="335"/>
      <c r="AG37" s="336">
        <f t="shared" si="12"/>
        <v>218</v>
      </c>
      <c r="AH37" s="328"/>
    </row>
    <row r="38" spans="1:34" s="326" customFormat="1" ht="13.5" customHeight="1" x14ac:dyDescent="0.2">
      <c r="A38" s="326">
        <v>23</v>
      </c>
      <c r="B38" s="327">
        <v>24</v>
      </c>
      <c r="C38" s="334">
        <v>200</v>
      </c>
      <c r="D38" s="334"/>
      <c r="E38" s="334"/>
      <c r="F38" s="334"/>
      <c r="G38" s="334">
        <v>250</v>
      </c>
      <c r="H38" s="338"/>
      <c r="I38" s="334"/>
      <c r="J38" s="334"/>
      <c r="K38" s="334"/>
      <c r="L38" s="334"/>
      <c r="M38" s="334"/>
      <c r="N38" s="334"/>
      <c r="O38" s="338"/>
      <c r="P38" s="338"/>
      <c r="Q38" s="334"/>
      <c r="R38" s="334"/>
      <c r="S38" s="334"/>
      <c r="T38" s="334"/>
      <c r="U38" s="334"/>
      <c r="V38" s="334"/>
      <c r="W38" s="334"/>
      <c r="X38" s="334"/>
      <c r="Y38" s="335"/>
      <c r="Z38" s="335"/>
      <c r="AA38" s="335"/>
      <c r="AB38" s="334"/>
      <c r="AC38" s="334"/>
      <c r="AD38" s="333"/>
      <c r="AE38" s="346">
        <f t="shared" si="11"/>
        <v>450</v>
      </c>
      <c r="AF38" s="335"/>
      <c r="AG38" s="336">
        <f t="shared" si="12"/>
        <v>450</v>
      </c>
      <c r="AH38" s="328"/>
    </row>
    <row r="39" spans="1:34" s="326" customFormat="1" ht="13.5" customHeight="1" x14ac:dyDescent="0.2">
      <c r="A39" s="326">
        <v>24</v>
      </c>
      <c r="B39" s="327">
        <v>25</v>
      </c>
      <c r="C39" s="334"/>
      <c r="D39" s="334"/>
      <c r="E39" s="334"/>
      <c r="F39" s="334"/>
      <c r="G39" s="334">
        <v>57</v>
      </c>
      <c r="H39" s="338"/>
      <c r="I39" s="334"/>
      <c r="J39" s="334"/>
      <c r="K39" s="334"/>
      <c r="L39" s="334"/>
      <c r="M39" s="334"/>
      <c r="N39" s="334"/>
      <c r="O39" s="338"/>
      <c r="P39" s="338"/>
      <c r="Q39" s="334"/>
      <c r="R39" s="334"/>
      <c r="S39" s="334"/>
      <c r="T39" s="334"/>
      <c r="U39" s="334"/>
      <c r="V39" s="334"/>
      <c r="W39" s="334"/>
      <c r="X39" s="334"/>
      <c r="Y39" s="335"/>
      <c r="Z39" s="335"/>
      <c r="AA39" s="335"/>
      <c r="AB39" s="334"/>
      <c r="AC39" s="334"/>
      <c r="AD39" s="333"/>
      <c r="AE39" s="346">
        <f t="shared" si="11"/>
        <v>57</v>
      </c>
      <c r="AF39" s="335"/>
      <c r="AG39" s="336">
        <f t="shared" si="12"/>
        <v>57</v>
      </c>
      <c r="AH39" s="328"/>
    </row>
    <row r="40" spans="1:34" s="326" customFormat="1" ht="13.5" customHeight="1" x14ac:dyDescent="0.2">
      <c r="A40" s="326">
        <v>25</v>
      </c>
      <c r="B40" s="327">
        <v>26</v>
      </c>
      <c r="C40" s="334"/>
      <c r="D40" s="334"/>
      <c r="E40" s="334"/>
      <c r="F40" s="334"/>
      <c r="G40" s="334">
        <v>213</v>
      </c>
      <c r="H40" s="338"/>
      <c r="I40" s="334"/>
      <c r="J40" s="334"/>
      <c r="K40" s="334"/>
      <c r="L40" s="334"/>
      <c r="M40" s="334"/>
      <c r="N40" s="334"/>
      <c r="O40" s="338"/>
      <c r="P40" s="338"/>
      <c r="Q40" s="334"/>
      <c r="R40" s="334"/>
      <c r="S40" s="334"/>
      <c r="T40" s="334"/>
      <c r="U40" s="334"/>
      <c r="V40" s="334"/>
      <c r="W40" s="334"/>
      <c r="X40" s="334"/>
      <c r="Y40" s="335"/>
      <c r="Z40" s="335"/>
      <c r="AA40" s="335"/>
      <c r="AB40" s="334"/>
      <c r="AC40" s="334"/>
      <c r="AD40" s="333"/>
      <c r="AE40" s="346">
        <f t="shared" si="11"/>
        <v>213</v>
      </c>
      <c r="AF40" s="335"/>
      <c r="AG40" s="336">
        <f t="shared" si="12"/>
        <v>213</v>
      </c>
      <c r="AH40" s="328"/>
    </row>
    <row r="41" spans="1:34" s="326" customFormat="1" ht="13.5" customHeight="1" x14ac:dyDescent="0.2">
      <c r="A41" s="326">
        <v>26</v>
      </c>
      <c r="B41" s="327">
        <v>27</v>
      </c>
      <c r="C41" s="334"/>
      <c r="D41" s="334"/>
      <c r="E41" s="334"/>
      <c r="F41" s="334"/>
      <c r="G41" s="334"/>
      <c r="H41" s="338"/>
      <c r="I41" s="334"/>
      <c r="J41" s="334"/>
      <c r="K41" s="334"/>
      <c r="L41" s="334"/>
      <c r="M41" s="334"/>
      <c r="N41" s="334"/>
      <c r="O41" s="338"/>
      <c r="P41" s="338"/>
      <c r="Q41" s="334"/>
      <c r="R41" s="334"/>
      <c r="S41" s="334"/>
      <c r="T41" s="334"/>
      <c r="U41" s="334"/>
      <c r="V41" s="334"/>
      <c r="W41" s="334"/>
      <c r="X41" s="334"/>
      <c r="Y41" s="335"/>
      <c r="Z41" s="335"/>
      <c r="AA41" s="335"/>
      <c r="AB41" s="334"/>
      <c r="AC41" s="334"/>
      <c r="AD41" s="333"/>
      <c r="AE41" s="346">
        <f t="shared" si="11"/>
        <v>0</v>
      </c>
      <c r="AF41" s="335"/>
      <c r="AG41" s="336">
        <f t="shared" si="12"/>
        <v>0</v>
      </c>
      <c r="AH41" s="328"/>
    </row>
    <row r="42" spans="1:34" s="326" customFormat="1" ht="13.5" customHeight="1" x14ac:dyDescent="0.2">
      <c r="B42" s="327">
        <v>28</v>
      </c>
      <c r="C42" s="334"/>
      <c r="D42" s="334"/>
      <c r="E42" s="334"/>
      <c r="F42" s="334"/>
      <c r="G42" s="334"/>
      <c r="H42" s="338"/>
      <c r="I42" s="334"/>
      <c r="J42" s="334"/>
      <c r="K42" s="334"/>
      <c r="L42" s="334"/>
      <c r="M42" s="334"/>
      <c r="N42" s="334"/>
      <c r="O42" s="338"/>
      <c r="P42" s="338"/>
      <c r="Q42" s="334"/>
      <c r="R42" s="334"/>
      <c r="S42" s="334"/>
      <c r="T42" s="334"/>
      <c r="U42" s="334"/>
      <c r="V42" s="334"/>
      <c r="W42" s="334"/>
      <c r="X42" s="334"/>
      <c r="Y42" s="335"/>
      <c r="Z42" s="335"/>
      <c r="AA42" s="335"/>
      <c r="AB42" s="334"/>
      <c r="AC42" s="334"/>
      <c r="AD42" s="333"/>
      <c r="AE42" s="346">
        <f t="shared" ref="AE42" si="13">C42+D42+E42+F42+G42+H42+I42+J42+K42+L42+M42+N42+O42+P42+Q42+R42+S42+T42+U42+V42+W42+X42+Y42+Z42+AA42+AB42+AC42+AD42</f>
        <v>0</v>
      </c>
      <c r="AF42" s="335"/>
      <c r="AG42" s="336">
        <f t="shared" ref="AG42" si="14">AE42+AF42</f>
        <v>0</v>
      </c>
      <c r="AH42" s="328"/>
    </row>
    <row r="43" spans="1:34" s="339" customFormat="1" ht="22.5" customHeight="1" x14ac:dyDescent="0.2">
      <c r="A43" s="339">
        <v>0</v>
      </c>
      <c r="B43" s="348" t="s">
        <v>638</v>
      </c>
      <c r="C43" s="331">
        <v>175</v>
      </c>
      <c r="D43" s="331">
        <v>9</v>
      </c>
      <c r="E43" s="331">
        <v>0</v>
      </c>
      <c r="F43" s="331">
        <v>0</v>
      </c>
      <c r="G43" s="331">
        <v>0</v>
      </c>
      <c r="H43" s="331">
        <v>0</v>
      </c>
      <c r="I43" s="331">
        <v>0</v>
      </c>
      <c r="J43" s="331">
        <v>82</v>
      </c>
      <c r="K43" s="331">
        <v>0</v>
      </c>
      <c r="L43" s="331">
        <v>0</v>
      </c>
      <c r="M43" s="331">
        <v>100</v>
      </c>
      <c r="N43" s="331">
        <v>0</v>
      </c>
      <c r="O43" s="331">
        <v>105</v>
      </c>
      <c r="P43" s="331">
        <v>0</v>
      </c>
      <c r="Q43" s="331">
        <v>0</v>
      </c>
      <c r="R43" s="331">
        <v>0</v>
      </c>
      <c r="S43" s="331">
        <v>0</v>
      </c>
      <c r="T43" s="331">
        <v>0</v>
      </c>
      <c r="U43" s="331">
        <v>0</v>
      </c>
      <c r="V43" s="331">
        <v>0</v>
      </c>
      <c r="W43" s="331">
        <v>0</v>
      </c>
      <c r="X43" s="331">
        <v>0</v>
      </c>
      <c r="Y43" s="331">
        <v>0</v>
      </c>
      <c r="Z43" s="331">
        <v>0</v>
      </c>
      <c r="AA43" s="331">
        <v>0</v>
      </c>
      <c r="AB43" s="331">
        <v>14</v>
      </c>
      <c r="AC43" s="331">
        <v>0</v>
      </c>
      <c r="AD43" s="331">
        <v>4</v>
      </c>
      <c r="AE43" s="331">
        <f t="shared" ref="AE43:AG43" si="15">AE44+AE45+AE46</f>
        <v>489</v>
      </c>
      <c r="AF43" s="331">
        <f t="shared" si="15"/>
        <v>0</v>
      </c>
      <c r="AG43" s="331">
        <f t="shared" si="15"/>
        <v>489</v>
      </c>
      <c r="AH43" s="341"/>
    </row>
    <row r="44" spans="1:34" s="326" customFormat="1" ht="13.5" customHeight="1" x14ac:dyDescent="0.2">
      <c r="A44" s="326">
        <v>27</v>
      </c>
      <c r="B44" s="327">
        <v>29</v>
      </c>
      <c r="C44" s="334">
        <v>145</v>
      </c>
      <c r="D44" s="334"/>
      <c r="E44" s="334"/>
      <c r="F44" s="334"/>
      <c r="G44" s="334"/>
      <c r="H44" s="334"/>
      <c r="I44" s="334"/>
      <c r="J44" s="334">
        <v>46</v>
      </c>
      <c r="K44" s="334"/>
      <c r="L44" s="334"/>
      <c r="M44" s="334">
        <v>60</v>
      </c>
      <c r="N44" s="334"/>
      <c r="O44" s="334">
        <v>55</v>
      </c>
      <c r="P44" s="334"/>
      <c r="Q44" s="334"/>
      <c r="R44" s="334"/>
      <c r="S44" s="334"/>
      <c r="T44" s="334"/>
      <c r="U44" s="334"/>
      <c r="V44" s="334"/>
      <c r="W44" s="334"/>
      <c r="X44" s="334"/>
      <c r="Y44" s="335"/>
      <c r="Z44" s="335"/>
      <c r="AA44" s="335"/>
      <c r="AB44" s="334">
        <v>10</v>
      </c>
      <c r="AC44" s="334"/>
      <c r="AD44" s="333"/>
      <c r="AE44" s="346">
        <f>C44+D44+E44+F44+G44+H44+I44+J44+K44+L44+M44+N44+O44+P44+Q44+R44+S44+T44+U44+V44+W44+X44+Y44+Z44+AA44+AB44+AC44+AD44</f>
        <v>316</v>
      </c>
      <c r="AF44" s="335"/>
      <c r="AG44" s="336">
        <f>AE44+AF44</f>
        <v>316</v>
      </c>
      <c r="AH44" s="328"/>
    </row>
    <row r="45" spans="1:34" s="326" customFormat="1" ht="13.5" customHeight="1" x14ac:dyDescent="0.2">
      <c r="A45" s="326">
        <v>28</v>
      </c>
      <c r="B45" s="327">
        <v>30</v>
      </c>
      <c r="C45" s="334">
        <v>15</v>
      </c>
      <c r="D45" s="334">
        <v>9</v>
      </c>
      <c r="E45" s="334"/>
      <c r="F45" s="334"/>
      <c r="G45" s="334"/>
      <c r="H45" s="334"/>
      <c r="I45" s="334"/>
      <c r="J45" s="334">
        <v>22</v>
      </c>
      <c r="K45" s="344"/>
      <c r="L45" s="334"/>
      <c r="M45" s="334">
        <v>40</v>
      </c>
      <c r="N45" s="334"/>
      <c r="O45" s="334">
        <v>50</v>
      </c>
      <c r="P45" s="334"/>
      <c r="Q45" s="334"/>
      <c r="R45" s="334"/>
      <c r="S45" s="334"/>
      <c r="T45" s="334"/>
      <c r="U45" s="334"/>
      <c r="V45" s="334"/>
      <c r="W45" s="334"/>
      <c r="X45" s="334"/>
      <c r="Y45" s="335"/>
      <c r="Z45" s="335"/>
      <c r="AA45" s="335"/>
      <c r="AB45" s="334">
        <v>2</v>
      </c>
      <c r="AC45" s="334"/>
      <c r="AD45" s="333">
        <v>4</v>
      </c>
      <c r="AE45" s="346">
        <f>C45+D45+E45+F45+G45+H45+I45+J45+K45+L45+M45+N45+O45+P45+Q45+R45+S45+T45+U45+V45+W45+X45+Y45+Z45+AA45+AB45+AC45+AD45</f>
        <v>142</v>
      </c>
      <c r="AF45" s="335"/>
      <c r="AG45" s="336">
        <f>AE45+AF45</f>
        <v>142</v>
      </c>
      <c r="AH45" s="328"/>
    </row>
    <row r="46" spans="1:34" s="326" customFormat="1" ht="13.5" customHeight="1" x14ac:dyDescent="0.2">
      <c r="A46" s="326">
        <v>29</v>
      </c>
      <c r="B46" s="327">
        <v>31</v>
      </c>
      <c r="C46" s="334">
        <v>15</v>
      </c>
      <c r="D46" s="334"/>
      <c r="E46" s="334"/>
      <c r="F46" s="334"/>
      <c r="G46" s="334"/>
      <c r="H46" s="334"/>
      <c r="I46" s="334"/>
      <c r="J46" s="334">
        <v>14</v>
      </c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5"/>
      <c r="Z46" s="335"/>
      <c r="AA46" s="335"/>
      <c r="AB46" s="334">
        <v>2</v>
      </c>
      <c r="AC46" s="334"/>
      <c r="AD46" s="333"/>
      <c r="AE46" s="346">
        <f>C46+D46+E46+F46+G46+H46+I46+J46+K46+L46+M46+N46+O46+P46+Q46+R46+S46+T46+U46+V46+W46+X46+Y46+Z46+AA46+AB46+AC46+AD46</f>
        <v>31</v>
      </c>
      <c r="AF46" s="335"/>
      <c r="AG46" s="336">
        <f>AE46+AF46</f>
        <v>31</v>
      </c>
      <c r="AH46" s="328"/>
    </row>
    <row r="47" spans="1:34" s="339" customFormat="1" ht="22.5" customHeight="1" x14ac:dyDescent="0.2">
      <c r="A47" s="339">
        <v>0</v>
      </c>
      <c r="B47" s="348" t="s">
        <v>639</v>
      </c>
      <c r="C47" s="331">
        <v>0</v>
      </c>
      <c r="D47" s="331">
        <v>0</v>
      </c>
      <c r="E47" s="331">
        <v>0</v>
      </c>
      <c r="F47" s="331">
        <v>0</v>
      </c>
      <c r="G47" s="331">
        <v>0</v>
      </c>
      <c r="H47" s="331">
        <v>0</v>
      </c>
      <c r="I47" s="331">
        <v>0</v>
      </c>
      <c r="J47" s="331">
        <v>89</v>
      </c>
      <c r="K47" s="331">
        <v>0</v>
      </c>
      <c r="L47" s="331">
        <v>1306</v>
      </c>
      <c r="M47" s="331">
        <v>0</v>
      </c>
      <c r="N47" s="331">
        <v>0</v>
      </c>
      <c r="O47" s="331">
        <v>0</v>
      </c>
      <c r="P47" s="331">
        <v>0</v>
      </c>
      <c r="Q47" s="331">
        <v>0</v>
      </c>
      <c r="R47" s="331">
        <v>100</v>
      </c>
      <c r="S47" s="331">
        <v>220</v>
      </c>
      <c r="T47" s="331">
        <v>50</v>
      </c>
      <c r="U47" s="331">
        <v>0</v>
      </c>
      <c r="V47" s="331">
        <v>0</v>
      </c>
      <c r="W47" s="331">
        <v>0</v>
      </c>
      <c r="X47" s="331">
        <v>95</v>
      </c>
      <c r="Y47" s="331">
        <v>130</v>
      </c>
      <c r="Z47" s="331">
        <v>100</v>
      </c>
      <c r="AA47" s="331">
        <v>0</v>
      </c>
      <c r="AB47" s="331">
        <v>0</v>
      </c>
      <c r="AC47" s="331">
        <v>3</v>
      </c>
      <c r="AD47" s="331">
        <v>0</v>
      </c>
      <c r="AE47" s="331">
        <f>SUM(AE48:AE54)</f>
        <v>2093</v>
      </c>
      <c r="AF47" s="331">
        <f t="shared" ref="AF47:AG47" si="16">SUM(AF48:AF54)</f>
        <v>0</v>
      </c>
      <c r="AG47" s="331">
        <f t="shared" si="16"/>
        <v>2093</v>
      </c>
      <c r="AH47" s="341"/>
    </row>
    <row r="48" spans="1:34" s="326" customFormat="1" ht="13.5" customHeight="1" x14ac:dyDescent="0.2">
      <c r="A48" s="326">
        <v>30</v>
      </c>
      <c r="B48" s="327">
        <v>32</v>
      </c>
      <c r="C48" s="334"/>
      <c r="D48" s="334"/>
      <c r="E48" s="334"/>
      <c r="F48" s="334"/>
      <c r="G48" s="334"/>
      <c r="H48" s="334"/>
      <c r="I48" s="334"/>
      <c r="J48" s="334">
        <v>89</v>
      </c>
      <c r="K48" s="334"/>
      <c r="L48" s="334">
        <v>1036</v>
      </c>
      <c r="M48" s="334"/>
      <c r="N48" s="333"/>
      <c r="O48" s="334"/>
      <c r="P48" s="334"/>
      <c r="Q48" s="334"/>
      <c r="R48" s="334">
        <v>95</v>
      </c>
      <c r="S48" s="334">
        <v>205</v>
      </c>
      <c r="T48" s="334">
        <v>50</v>
      </c>
      <c r="U48" s="333"/>
      <c r="V48" s="333"/>
      <c r="W48" s="333"/>
      <c r="X48" s="333">
        <v>89</v>
      </c>
      <c r="Y48" s="335">
        <v>130</v>
      </c>
      <c r="Z48" s="335">
        <v>100</v>
      </c>
      <c r="AA48" s="335"/>
      <c r="AB48" s="334"/>
      <c r="AC48" s="334">
        <v>3</v>
      </c>
      <c r="AD48" s="333"/>
      <c r="AE48" s="346">
        <f>C48+D48+E48+F48+G48+H48+I48+J48+K48+L48+M48+N48+O48+P48+Q48+R48+S48+T48+U48+V48+W48+X48+Y48+Z48+AA48+AB48+AC48+AD48</f>
        <v>1797</v>
      </c>
      <c r="AF48" s="335"/>
      <c r="AG48" s="336">
        <f>AE48+AF48</f>
        <v>1797</v>
      </c>
      <c r="AH48" s="328"/>
    </row>
    <row r="49" spans="1:34" s="326" customFormat="1" ht="13.5" customHeight="1" x14ac:dyDescent="0.2">
      <c r="A49" s="326">
        <v>31</v>
      </c>
      <c r="B49" s="327">
        <v>33</v>
      </c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3"/>
      <c r="O49" s="334"/>
      <c r="P49" s="334"/>
      <c r="Q49" s="334"/>
      <c r="R49" s="334"/>
      <c r="S49" s="334"/>
      <c r="T49" s="334"/>
      <c r="U49" s="333"/>
      <c r="V49" s="333"/>
      <c r="W49" s="333"/>
      <c r="X49" s="333"/>
      <c r="Y49" s="335"/>
      <c r="Z49" s="335"/>
      <c r="AA49" s="335"/>
      <c r="AB49" s="334"/>
      <c r="AC49" s="334"/>
      <c r="AD49" s="333"/>
      <c r="AE49" s="346">
        <f t="shared" ref="AE49:AE54" si="17">C49+D49+E49+F49+G49+H49+I49+J49+K49+L49+M49+N49+O49+P49+Q49+R49+S49+T49+U49+V49+W49+X49+Y49+Z49+AA49+AB49+AC49+AD49</f>
        <v>0</v>
      </c>
      <c r="AF49" s="335"/>
      <c r="AG49" s="336">
        <f t="shared" ref="AG49:AG54" si="18">AE49+AF49</f>
        <v>0</v>
      </c>
      <c r="AH49" s="328"/>
    </row>
    <row r="50" spans="1:34" s="326" customFormat="1" ht="13.5" customHeight="1" x14ac:dyDescent="0.2">
      <c r="A50" s="326">
        <v>32</v>
      </c>
      <c r="B50" s="327">
        <v>34</v>
      </c>
      <c r="C50" s="334"/>
      <c r="D50" s="334"/>
      <c r="E50" s="334"/>
      <c r="F50" s="334"/>
      <c r="G50" s="334"/>
      <c r="H50" s="334"/>
      <c r="I50" s="334"/>
      <c r="J50" s="334"/>
      <c r="K50" s="334"/>
      <c r="L50" s="334">
        <v>20</v>
      </c>
      <c r="M50" s="334"/>
      <c r="N50" s="333"/>
      <c r="O50" s="334"/>
      <c r="P50" s="334"/>
      <c r="Q50" s="334"/>
      <c r="R50" s="334">
        <v>5</v>
      </c>
      <c r="S50" s="334">
        <v>15</v>
      </c>
      <c r="T50" s="334"/>
      <c r="U50" s="333"/>
      <c r="V50" s="333"/>
      <c r="W50" s="333"/>
      <c r="X50" s="333">
        <v>6</v>
      </c>
      <c r="Y50" s="335"/>
      <c r="Z50" s="335"/>
      <c r="AA50" s="335"/>
      <c r="AB50" s="334"/>
      <c r="AC50" s="334"/>
      <c r="AD50" s="333"/>
      <c r="AE50" s="346">
        <f t="shared" si="17"/>
        <v>46</v>
      </c>
      <c r="AF50" s="335"/>
      <c r="AG50" s="336">
        <f t="shared" si="18"/>
        <v>46</v>
      </c>
      <c r="AH50" s="328"/>
    </row>
    <row r="51" spans="1:34" s="326" customFormat="1" ht="13.5" customHeight="1" x14ac:dyDescent="0.2">
      <c r="B51" s="327">
        <v>35</v>
      </c>
      <c r="C51" s="334"/>
      <c r="D51" s="334"/>
      <c r="E51" s="334"/>
      <c r="F51" s="334"/>
      <c r="G51" s="334"/>
      <c r="H51" s="334"/>
      <c r="I51" s="334"/>
      <c r="J51" s="334"/>
      <c r="K51" s="334"/>
      <c r="L51" s="334">
        <v>250</v>
      </c>
      <c r="M51" s="334"/>
      <c r="N51" s="333"/>
      <c r="O51" s="334"/>
      <c r="P51" s="334"/>
      <c r="Q51" s="334"/>
      <c r="R51" s="334"/>
      <c r="S51" s="334"/>
      <c r="T51" s="334"/>
      <c r="U51" s="333"/>
      <c r="V51" s="333"/>
      <c r="W51" s="333"/>
      <c r="X51" s="333"/>
      <c r="Y51" s="335"/>
      <c r="Z51" s="335"/>
      <c r="AA51" s="335"/>
      <c r="AB51" s="334"/>
      <c r="AC51" s="334"/>
      <c r="AD51" s="333"/>
      <c r="AE51" s="346">
        <f t="shared" si="17"/>
        <v>250</v>
      </c>
      <c r="AF51" s="335"/>
      <c r="AG51" s="336">
        <f t="shared" si="18"/>
        <v>250</v>
      </c>
      <c r="AH51" s="328"/>
    </row>
    <row r="52" spans="1:34" s="326" customFormat="1" ht="13.5" customHeight="1" x14ac:dyDescent="0.2">
      <c r="B52" s="327">
        <v>36</v>
      </c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3"/>
      <c r="O52" s="334"/>
      <c r="P52" s="334"/>
      <c r="Q52" s="334"/>
      <c r="R52" s="334"/>
      <c r="S52" s="334"/>
      <c r="T52" s="334"/>
      <c r="U52" s="333"/>
      <c r="V52" s="333"/>
      <c r="W52" s="333"/>
      <c r="X52" s="333"/>
      <c r="Y52" s="335"/>
      <c r="Z52" s="335"/>
      <c r="AA52" s="335"/>
      <c r="AB52" s="334"/>
      <c r="AC52" s="334"/>
      <c r="AD52" s="333"/>
      <c r="AE52" s="346">
        <f t="shared" si="17"/>
        <v>0</v>
      </c>
      <c r="AF52" s="335"/>
      <c r="AG52" s="336">
        <f t="shared" si="18"/>
        <v>0</v>
      </c>
      <c r="AH52" s="328"/>
    </row>
    <row r="53" spans="1:34" s="326" customFormat="1" ht="13.5" customHeight="1" x14ac:dyDescent="0.2">
      <c r="B53" s="327">
        <v>37</v>
      </c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3"/>
      <c r="O53" s="334"/>
      <c r="P53" s="334"/>
      <c r="Q53" s="334"/>
      <c r="R53" s="334"/>
      <c r="S53" s="334"/>
      <c r="T53" s="334"/>
      <c r="U53" s="333"/>
      <c r="V53" s="333"/>
      <c r="W53" s="333"/>
      <c r="X53" s="333"/>
      <c r="Y53" s="335"/>
      <c r="Z53" s="335"/>
      <c r="AA53" s="335"/>
      <c r="AB53" s="334"/>
      <c r="AC53" s="334"/>
      <c r="AD53" s="333"/>
      <c r="AE53" s="346">
        <f t="shared" si="17"/>
        <v>0</v>
      </c>
      <c r="AF53" s="335"/>
      <c r="AG53" s="336">
        <f t="shared" si="18"/>
        <v>0</v>
      </c>
      <c r="AH53" s="328"/>
    </row>
    <row r="54" spans="1:34" s="326" customFormat="1" ht="13.5" customHeight="1" x14ac:dyDescent="0.2">
      <c r="A54" s="326">
        <v>33</v>
      </c>
      <c r="B54" s="327">
        <v>38</v>
      </c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3"/>
      <c r="O54" s="334"/>
      <c r="P54" s="334"/>
      <c r="Q54" s="334"/>
      <c r="R54" s="334"/>
      <c r="S54" s="334"/>
      <c r="T54" s="334"/>
      <c r="U54" s="333"/>
      <c r="V54" s="333"/>
      <c r="W54" s="333"/>
      <c r="X54" s="333"/>
      <c r="Y54" s="335"/>
      <c r="Z54" s="335"/>
      <c r="AA54" s="335"/>
      <c r="AB54" s="334"/>
      <c r="AC54" s="334"/>
      <c r="AD54" s="333"/>
      <c r="AE54" s="346">
        <f t="shared" si="17"/>
        <v>0</v>
      </c>
      <c r="AF54" s="335"/>
      <c r="AG54" s="336">
        <f t="shared" si="18"/>
        <v>0</v>
      </c>
      <c r="AH54" s="328"/>
    </row>
    <row r="55" spans="1:34" s="339" customFormat="1" ht="22.5" customHeight="1" x14ac:dyDescent="0.2">
      <c r="A55" s="339">
        <v>0</v>
      </c>
      <c r="B55" s="348" t="s">
        <v>640</v>
      </c>
      <c r="C55" s="331">
        <v>0</v>
      </c>
      <c r="D55" s="331">
        <v>0</v>
      </c>
      <c r="E55" s="331">
        <v>0</v>
      </c>
      <c r="F55" s="331">
        <v>60</v>
      </c>
      <c r="G55" s="331">
        <v>0</v>
      </c>
      <c r="H55" s="331">
        <v>0</v>
      </c>
      <c r="I55" s="331">
        <v>0</v>
      </c>
      <c r="J55" s="331">
        <v>89</v>
      </c>
      <c r="K55" s="331">
        <v>20</v>
      </c>
      <c r="L55" s="331">
        <v>0</v>
      </c>
      <c r="M55" s="331">
        <v>0</v>
      </c>
      <c r="N55" s="331">
        <v>0</v>
      </c>
      <c r="O55" s="331">
        <v>0</v>
      </c>
      <c r="P55" s="331">
        <v>0</v>
      </c>
      <c r="Q55" s="331">
        <v>0</v>
      </c>
      <c r="R55" s="331">
        <v>0</v>
      </c>
      <c r="S55" s="331">
        <v>0</v>
      </c>
      <c r="T55" s="331">
        <v>0</v>
      </c>
      <c r="U55" s="331">
        <v>0</v>
      </c>
      <c r="V55" s="331">
        <v>0</v>
      </c>
      <c r="W55" s="331">
        <v>0</v>
      </c>
      <c r="X55" s="331">
        <v>0</v>
      </c>
      <c r="Y55" s="331">
        <v>0</v>
      </c>
      <c r="Z55" s="331">
        <v>0</v>
      </c>
      <c r="AA55" s="331">
        <v>0</v>
      </c>
      <c r="AB55" s="331">
        <v>0</v>
      </c>
      <c r="AC55" s="331">
        <v>0</v>
      </c>
      <c r="AD55" s="331">
        <v>0</v>
      </c>
      <c r="AE55" s="331">
        <f t="shared" ref="AE55:AG55" si="19">SUM(AE56:AE63)</f>
        <v>169</v>
      </c>
      <c r="AF55" s="331">
        <f t="shared" si="19"/>
        <v>0</v>
      </c>
      <c r="AG55" s="331">
        <f t="shared" si="19"/>
        <v>169</v>
      </c>
      <c r="AH55" s="341"/>
    </row>
    <row r="56" spans="1:34" s="326" customFormat="1" ht="13.5" customHeight="1" x14ac:dyDescent="0.2">
      <c r="A56" s="326">
        <v>34</v>
      </c>
      <c r="B56" s="327">
        <v>39</v>
      </c>
      <c r="C56" s="334"/>
      <c r="D56" s="334"/>
      <c r="E56" s="334"/>
      <c r="F56" s="334"/>
      <c r="G56" s="334"/>
      <c r="H56" s="334"/>
      <c r="I56" s="334"/>
      <c r="J56" s="334">
        <v>4</v>
      </c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5"/>
      <c r="AA56" s="335"/>
      <c r="AB56" s="334"/>
      <c r="AC56" s="334"/>
      <c r="AD56" s="333"/>
      <c r="AE56" s="346">
        <f t="shared" ref="AE56:AE63" si="20">C56+D56+E56+F56+G56+H56+I56+J56+K56+L56+M56+N56+O56+P56+Q56+R56+S56+T56+U56+V56+W56+X56+Y56+Z56+AA56+AB56+AC56+AD56</f>
        <v>4</v>
      </c>
      <c r="AF56" s="335"/>
      <c r="AG56" s="346">
        <f t="shared" ref="AG56:AG63" si="21">AE56+AF56</f>
        <v>4</v>
      </c>
      <c r="AH56" s="328"/>
    </row>
    <row r="57" spans="1:34" s="326" customFormat="1" ht="13.5" customHeight="1" x14ac:dyDescent="0.2">
      <c r="A57" s="326">
        <v>35</v>
      </c>
      <c r="B57" s="327">
        <v>40</v>
      </c>
      <c r="C57" s="334"/>
      <c r="D57" s="334"/>
      <c r="E57" s="334"/>
      <c r="F57" s="334"/>
      <c r="G57" s="334"/>
      <c r="H57" s="334"/>
      <c r="I57" s="334"/>
      <c r="J57" s="334">
        <v>57</v>
      </c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5"/>
      <c r="Z57" s="335"/>
      <c r="AA57" s="335"/>
      <c r="AB57" s="334"/>
      <c r="AC57" s="334"/>
      <c r="AD57" s="333"/>
      <c r="AE57" s="346">
        <f t="shared" si="20"/>
        <v>57</v>
      </c>
      <c r="AF57" s="335"/>
      <c r="AG57" s="346">
        <f t="shared" si="21"/>
        <v>57</v>
      </c>
      <c r="AH57" s="328"/>
    </row>
    <row r="58" spans="1:34" s="326" customFormat="1" ht="13.5" customHeight="1" x14ac:dyDescent="0.2">
      <c r="A58" s="326">
        <v>36</v>
      </c>
      <c r="B58" s="327">
        <v>41</v>
      </c>
      <c r="C58" s="334"/>
      <c r="D58" s="334"/>
      <c r="E58" s="334"/>
      <c r="F58" s="334">
        <v>60</v>
      </c>
      <c r="G58" s="334"/>
      <c r="H58" s="338"/>
      <c r="I58" s="334"/>
      <c r="J58" s="334"/>
      <c r="K58" s="334"/>
      <c r="L58" s="338"/>
      <c r="M58" s="334"/>
      <c r="N58" s="334"/>
      <c r="O58" s="338"/>
      <c r="P58" s="338"/>
      <c r="Q58" s="334"/>
      <c r="R58" s="334"/>
      <c r="S58" s="334"/>
      <c r="T58" s="334"/>
      <c r="U58" s="334"/>
      <c r="V58" s="334"/>
      <c r="W58" s="334"/>
      <c r="X58" s="334"/>
      <c r="Y58" s="335"/>
      <c r="Z58" s="335"/>
      <c r="AA58" s="335"/>
      <c r="AB58" s="334"/>
      <c r="AC58" s="334"/>
      <c r="AD58" s="333"/>
      <c r="AE58" s="346">
        <f t="shared" si="20"/>
        <v>60</v>
      </c>
      <c r="AF58" s="335"/>
      <c r="AG58" s="346">
        <f t="shared" si="21"/>
        <v>60</v>
      </c>
      <c r="AH58" s="328"/>
    </row>
    <row r="59" spans="1:34" s="326" customFormat="1" ht="13.5" customHeight="1" x14ac:dyDescent="0.2">
      <c r="A59" s="326">
        <v>37</v>
      </c>
      <c r="B59" s="327">
        <v>42</v>
      </c>
      <c r="C59" s="334"/>
      <c r="D59" s="334"/>
      <c r="E59" s="334"/>
      <c r="F59" s="334"/>
      <c r="G59" s="334"/>
      <c r="H59" s="338"/>
      <c r="I59" s="334"/>
      <c r="J59" s="334"/>
      <c r="K59" s="334"/>
      <c r="L59" s="338"/>
      <c r="M59" s="334"/>
      <c r="N59" s="334"/>
      <c r="O59" s="338"/>
      <c r="P59" s="338"/>
      <c r="Q59" s="334"/>
      <c r="R59" s="334"/>
      <c r="S59" s="334"/>
      <c r="T59" s="334"/>
      <c r="U59" s="334"/>
      <c r="V59" s="334"/>
      <c r="W59" s="334"/>
      <c r="X59" s="334"/>
      <c r="Y59" s="335"/>
      <c r="Z59" s="335"/>
      <c r="AA59" s="335"/>
      <c r="AB59" s="334"/>
      <c r="AC59" s="334"/>
      <c r="AD59" s="333"/>
      <c r="AE59" s="346">
        <f t="shared" si="20"/>
        <v>0</v>
      </c>
      <c r="AF59" s="335"/>
      <c r="AG59" s="346">
        <f t="shared" si="21"/>
        <v>0</v>
      </c>
      <c r="AH59" s="328"/>
    </row>
    <row r="60" spans="1:34" s="326" customFormat="1" ht="13.5" customHeight="1" x14ac:dyDescent="0.2">
      <c r="A60" s="326">
        <v>38</v>
      </c>
      <c r="B60" s="327">
        <v>43</v>
      </c>
      <c r="C60" s="334"/>
      <c r="D60" s="334"/>
      <c r="E60" s="334"/>
      <c r="F60" s="334"/>
      <c r="G60" s="334"/>
      <c r="H60" s="338"/>
      <c r="I60" s="334"/>
      <c r="J60" s="334"/>
      <c r="K60" s="334"/>
      <c r="L60" s="338"/>
      <c r="M60" s="334"/>
      <c r="N60" s="334"/>
      <c r="O60" s="338"/>
      <c r="P60" s="338"/>
      <c r="Q60" s="334"/>
      <c r="R60" s="334"/>
      <c r="S60" s="334"/>
      <c r="T60" s="334"/>
      <c r="U60" s="334"/>
      <c r="V60" s="334"/>
      <c r="W60" s="334"/>
      <c r="X60" s="334"/>
      <c r="Y60" s="335"/>
      <c r="Z60" s="335"/>
      <c r="AA60" s="335"/>
      <c r="AB60" s="334"/>
      <c r="AC60" s="334"/>
      <c r="AD60" s="333"/>
      <c r="AE60" s="346">
        <f t="shared" si="20"/>
        <v>0</v>
      </c>
      <c r="AF60" s="335"/>
      <c r="AG60" s="346">
        <f t="shared" si="21"/>
        <v>0</v>
      </c>
      <c r="AH60" s="328"/>
    </row>
    <row r="61" spans="1:34" s="326" customFormat="1" ht="13.5" customHeight="1" x14ac:dyDescent="0.2">
      <c r="A61" s="326">
        <v>39</v>
      </c>
      <c r="B61" s="327">
        <v>44</v>
      </c>
      <c r="C61" s="334"/>
      <c r="D61" s="334"/>
      <c r="E61" s="334"/>
      <c r="F61" s="334"/>
      <c r="G61" s="334"/>
      <c r="H61" s="338"/>
      <c r="I61" s="334"/>
      <c r="J61" s="334"/>
      <c r="K61" s="334"/>
      <c r="L61" s="338"/>
      <c r="M61" s="334"/>
      <c r="N61" s="334"/>
      <c r="O61" s="338"/>
      <c r="P61" s="338"/>
      <c r="Q61" s="334"/>
      <c r="R61" s="334"/>
      <c r="S61" s="334"/>
      <c r="T61" s="334"/>
      <c r="U61" s="334"/>
      <c r="V61" s="334"/>
      <c r="W61" s="334"/>
      <c r="X61" s="334"/>
      <c r="Y61" s="335"/>
      <c r="Z61" s="335"/>
      <c r="AA61" s="335"/>
      <c r="AB61" s="334"/>
      <c r="AC61" s="334"/>
      <c r="AD61" s="333"/>
      <c r="AE61" s="346">
        <f t="shared" si="20"/>
        <v>0</v>
      </c>
      <c r="AF61" s="335"/>
      <c r="AG61" s="346">
        <f t="shared" si="21"/>
        <v>0</v>
      </c>
      <c r="AH61" s="328"/>
    </row>
    <row r="62" spans="1:34" s="326" customFormat="1" ht="13.5" customHeight="1" x14ac:dyDescent="0.2">
      <c r="A62" s="326">
        <v>40</v>
      </c>
      <c r="B62" s="327">
        <v>45</v>
      </c>
      <c r="C62" s="334"/>
      <c r="D62" s="334"/>
      <c r="E62" s="334"/>
      <c r="F62" s="334"/>
      <c r="G62" s="334"/>
      <c r="H62" s="338"/>
      <c r="I62" s="334"/>
      <c r="J62" s="334"/>
      <c r="K62" s="334"/>
      <c r="L62" s="338"/>
      <c r="M62" s="334"/>
      <c r="N62" s="334"/>
      <c r="O62" s="338"/>
      <c r="P62" s="338"/>
      <c r="Q62" s="334"/>
      <c r="R62" s="334"/>
      <c r="S62" s="334"/>
      <c r="T62" s="334"/>
      <c r="U62" s="334"/>
      <c r="V62" s="334"/>
      <c r="W62" s="334"/>
      <c r="X62" s="334"/>
      <c r="Y62" s="335"/>
      <c r="Z62" s="335"/>
      <c r="AA62" s="335"/>
      <c r="AB62" s="334"/>
      <c r="AC62" s="334"/>
      <c r="AD62" s="333"/>
      <c r="AE62" s="346">
        <f t="shared" si="20"/>
        <v>0</v>
      </c>
      <c r="AF62" s="335"/>
      <c r="AG62" s="346">
        <f t="shared" si="21"/>
        <v>0</v>
      </c>
      <c r="AH62" s="328"/>
    </row>
    <row r="63" spans="1:34" s="326" customFormat="1" ht="13.5" customHeight="1" x14ac:dyDescent="0.2">
      <c r="A63" s="326">
        <v>41</v>
      </c>
      <c r="B63" s="327">
        <v>46</v>
      </c>
      <c r="C63" s="334"/>
      <c r="D63" s="334"/>
      <c r="E63" s="334"/>
      <c r="F63" s="334"/>
      <c r="G63" s="334"/>
      <c r="H63" s="338"/>
      <c r="I63" s="334"/>
      <c r="J63" s="334">
        <v>28</v>
      </c>
      <c r="K63" s="334">
        <v>20</v>
      </c>
      <c r="L63" s="338"/>
      <c r="M63" s="334"/>
      <c r="N63" s="334"/>
      <c r="O63" s="338"/>
      <c r="P63" s="338"/>
      <c r="Q63" s="334"/>
      <c r="R63" s="334"/>
      <c r="S63" s="334"/>
      <c r="T63" s="334"/>
      <c r="U63" s="334"/>
      <c r="V63" s="334"/>
      <c r="W63" s="334"/>
      <c r="X63" s="334"/>
      <c r="Y63" s="335"/>
      <c r="Z63" s="335"/>
      <c r="AA63" s="335"/>
      <c r="AB63" s="334"/>
      <c r="AC63" s="334"/>
      <c r="AD63" s="333"/>
      <c r="AE63" s="346">
        <f t="shared" si="20"/>
        <v>48</v>
      </c>
      <c r="AF63" s="335"/>
      <c r="AG63" s="346">
        <f t="shared" si="21"/>
        <v>48</v>
      </c>
      <c r="AH63" s="328"/>
    </row>
    <row r="64" spans="1:34" s="339" customFormat="1" ht="22.5" customHeight="1" x14ac:dyDescent="0.2">
      <c r="A64" s="339">
        <v>0</v>
      </c>
      <c r="B64" s="349" t="s">
        <v>641</v>
      </c>
      <c r="C64" s="331">
        <v>250</v>
      </c>
      <c r="D64" s="331">
        <v>0</v>
      </c>
      <c r="E64" s="331">
        <v>0</v>
      </c>
      <c r="F64" s="331">
        <v>0</v>
      </c>
      <c r="G64" s="331">
        <v>0</v>
      </c>
      <c r="H64" s="331">
        <v>0</v>
      </c>
      <c r="I64" s="331">
        <v>0</v>
      </c>
      <c r="J64" s="331">
        <v>0</v>
      </c>
      <c r="K64" s="331">
        <v>0</v>
      </c>
      <c r="L64" s="331">
        <v>0</v>
      </c>
      <c r="M64" s="331">
        <v>150</v>
      </c>
      <c r="N64" s="331">
        <v>0</v>
      </c>
      <c r="O64" s="331">
        <v>0</v>
      </c>
      <c r="P64" s="331">
        <v>0</v>
      </c>
      <c r="Q64" s="331">
        <v>0</v>
      </c>
      <c r="R64" s="331">
        <v>0</v>
      </c>
      <c r="S64" s="331">
        <v>45</v>
      </c>
      <c r="T64" s="331">
        <v>0</v>
      </c>
      <c r="U64" s="331">
        <v>0</v>
      </c>
      <c r="V64" s="331">
        <v>0</v>
      </c>
      <c r="W64" s="331">
        <v>0</v>
      </c>
      <c r="X64" s="331">
        <v>0</v>
      </c>
      <c r="Y64" s="331">
        <v>0</v>
      </c>
      <c r="Z64" s="331">
        <v>0</v>
      </c>
      <c r="AA64" s="331">
        <v>0</v>
      </c>
      <c r="AB64" s="331">
        <v>0</v>
      </c>
      <c r="AC64" s="331">
        <v>0</v>
      </c>
      <c r="AD64" s="331">
        <v>0</v>
      </c>
      <c r="AE64" s="331">
        <f t="shared" ref="AE64:AG64" si="22">AE65</f>
        <v>445</v>
      </c>
      <c r="AF64" s="331">
        <f t="shared" si="22"/>
        <v>0</v>
      </c>
      <c r="AG64" s="331">
        <f t="shared" si="22"/>
        <v>445</v>
      </c>
      <c r="AH64" s="341"/>
    </row>
    <row r="65" spans="1:34" s="326" customFormat="1" ht="13.5" customHeight="1" x14ac:dyDescent="0.2">
      <c r="A65" s="326">
        <v>42</v>
      </c>
      <c r="B65" s="327">
        <v>47</v>
      </c>
      <c r="C65" s="334">
        <v>250</v>
      </c>
      <c r="D65" s="334"/>
      <c r="E65" s="334"/>
      <c r="F65" s="334"/>
      <c r="G65" s="334"/>
      <c r="H65" s="334"/>
      <c r="I65" s="334"/>
      <c r="J65" s="334"/>
      <c r="K65" s="334"/>
      <c r="L65" s="334"/>
      <c r="M65" s="334">
        <v>150</v>
      </c>
      <c r="N65" s="334"/>
      <c r="O65" s="334"/>
      <c r="P65" s="334"/>
      <c r="Q65" s="334"/>
      <c r="R65" s="334"/>
      <c r="S65" s="334">
        <v>45</v>
      </c>
      <c r="T65" s="334"/>
      <c r="U65" s="334"/>
      <c r="V65" s="334"/>
      <c r="W65" s="334"/>
      <c r="X65" s="334"/>
      <c r="Y65" s="335"/>
      <c r="Z65" s="335"/>
      <c r="AA65" s="335"/>
      <c r="AB65" s="334"/>
      <c r="AC65" s="334"/>
      <c r="AD65" s="333"/>
      <c r="AE65" s="346">
        <f>C65+D65+E65+F65+G65+H65+I65+J65+K65+L65+M65+N65+O65+P65+Q65+R65+S65+T65+U65+V65+W65+X65+Y65+Z65+AA65+AB65+AC65+AD65</f>
        <v>445</v>
      </c>
      <c r="AF65" s="335"/>
      <c r="AG65" s="346">
        <f>AE65+AF65</f>
        <v>445</v>
      </c>
      <c r="AH65" s="328"/>
    </row>
    <row r="66" spans="1:34" s="339" customFormat="1" ht="22.5" customHeight="1" x14ac:dyDescent="0.2">
      <c r="A66" s="339">
        <v>0</v>
      </c>
      <c r="B66" s="330" t="s">
        <v>642</v>
      </c>
      <c r="C66" s="331">
        <v>100</v>
      </c>
      <c r="D66" s="331">
        <v>21</v>
      </c>
      <c r="E66" s="331">
        <v>0</v>
      </c>
      <c r="F66" s="331">
        <v>3572</v>
      </c>
      <c r="G66" s="331">
        <v>0</v>
      </c>
      <c r="H66" s="331">
        <v>0</v>
      </c>
      <c r="I66" s="331">
        <v>0</v>
      </c>
      <c r="J66" s="331">
        <v>0</v>
      </c>
      <c r="K66" s="331">
        <v>0</v>
      </c>
      <c r="L66" s="331">
        <v>0</v>
      </c>
      <c r="M66" s="331">
        <v>0</v>
      </c>
      <c r="N66" s="331">
        <v>118</v>
      </c>
      <c r="O66" s="331">
        <v>5</v>
      </c>
      <c r="P66" s="331">
        <v>0</v>
      </c>
      <c r="Q66" s="331">
        <v>4</v>
      </c>
      <c r="R66" s="331">
        <v>3</v>
      </c>
      <c r="S66" s="331">
        <v>5</v>
      </c>
      <c r="T66" s="331">
        <v>4</v>
      </c>
      <c r="U66" s="331">
        <v>4</v>
      </c>
      <c r="V66" s="331">
        <v>4</v>
      </c>
      <c r="W66" s="331">
        <v>0</v>
      </c>
      <c r="X66" s="331">
        <v>2</v>
      </c>
      <c r="Y66" s="331">
        <v>0</v>
      </c>
      <c r="Z66" s="331">
        <v>0</v>
      </c>
      <c r="AA66" s="331">
        <v>0</v>
      </c>
      <c r="AB66" s="331">
        <v>0</v>
      </c>
      <c r="AC66" s="331">
        <v>111</v>
      </c>
      <c r="AD66" s="331">
        <v>0</v>
      </c>
      <c r="AE66" s="331">
        <f>SUM(AE67:AE84)</f>
        <v>3953</v>
      </c>
      <c r="AF66" s="331">
        <f>SUM(AF67:AF84)</f>
        <v>0</v>
      </c>
      <c r="AG66" s="331">
        <f>SUM(AG67:AG84)</f>
        <v>3953</v>
      </c>
      <c r="AH66" s="341"/>
    </row>
    <row r="67" spans="1:34" s="326" customFormat="1" ht="13.5" customHeight="1" x14ac:dyDescent="0.2">
      <c r="A67" s="326">
        <v>46</v>
      </c>
      <c r="B67" s="327">
        <v>48</v>
      </c>
      <c r="C67" s="350">
        <v>45</v>
      </c>
      <c r="D67" s="350">
        <v>3</v>
      </c>
      <c r="E67" s="350"/>
      <c r="F67" s="350">
        <v>478</v>
      </c>
      <c r="G67" s="350"/>
      <c r="H67" s="351"/>
      <c r="I67" s="350"/>
      <c r="J67" s="350"/>
      <c r="K67" s="350"/>
      <c r="L67" s="334"/>
      <c r="M67" s="350"/>
      <c r="N67" s="342"/>
      <c r="O67" s="350">
        <v>3</v>
      </c>
      <c r="P67" s="351"/>
      <c r="Q67" s="350">
        <v>2</v>
      </c>
      <c r="R67" s="350">
        <v>3</v>
      </c>
      <c r="S67" s="350">
        <v>3</v>
      </c>
      <c r="T67" s="333">
        <v>2</v>
      </c>
      <c r="U67" s="347">
        <v>2</v>
      </c>
      <c r="V67" s="334">
        <v>2</v>
      </c>
      <c r="W67" s="334"/>
      <c r="X67" s="334">
        <v>2</v>
      </c>
      <c r="Y67" s="340"/>
      <c r="Z67" s="340"/>
      <c r="AA67" s="340"/>
      <c r="AB67" s="334"/>
      <c r="AC67" s="334">
        <v>23</v>
      </c>
      <c r="AD67" s="333"/>
      <c r="AE67" s="346">
        <f t="shared" ref="AE67:AE84" si="23">C67+D67+E67+F67+G67+H67+I67+J67+K67+L67+M67+N67+O67+P67+Q67+R67+S67+T67+U67+V67+W67+X67+Y67+Z67+AA67+AB67+AC67+AD67</f>
        <v>568</v>
      </c>
      <c r="AF67" s="340"/>
      <c r="AG67" s="336">
        <f t="shared" ref="AG67:AG84" si="24">AE67+AF67</f>
        <v>568</v>
      </c>
      <c r="AH67" s="328"/>
    </row>
    <row r="68" spans="1:34" s="326" customFormat="1" ht="13.5" customHeight="1" x14ac:dyDescent="0.2">
      <c r="A68" s="326">
        <v>47</v>
      </c>
      <c r="B68" s="327">
        <v>49</v>
      </c>
      <c r="C68" s="334">
        <v>39</v>
      </c>
      <c r="D68" s="334">
        <v>1</v>
      </c>
      <c r="E68" s="350"/>
      <c r="F68" s="334">
        <v>303</v>
      </c>
      <c r="G68" s="334"/>
      <c r="H68" s="334"/>
      <c r="I68" s="334"/>
      <c r="J68" s="334"/>
      <c r="K68" s="334"/>
      <c r="L68" s="334"/>
      <c r="M68" s="334"/>
      <c r="N68" s="333">
        <v>40</v>
      </c>
      <c r="O68" s="334">
        <v>1</v>
      </c>
      <c r="P68" s="334"/>
      <c r="Q68" s="334">
        <v>1</v>
      </c>
      <c r="R68" s="334"/>
      <c r="S68" s="334">
        <v>1</v>
      </c>
      <c r="T68" s="333">
        <v>1</v>
      </c>
      <c r="U68" s="347">
        <v>1</v>
      </c>
      <c r="V68" s="334">
        <v>1</v>
      </c>
      <c r="W68" s="334"/>
      <c r="X68" s="334"/>
      <c r="Y68" s="340"/>
      <c r="Z68" s="340"/>
      <c r="AA68" s="340"/>
      <c r="AB68" s="334"/>
      <c r="AC68" s="334">
        <v>18</v>
      </c>
      <c r="AD68" s="333"/>
      <c r="AE68" s="346">
        <f t="shared" si="23"/>
        <v>407</v>
      </c>
      <c r="AF68" s="340"/>
      <c r="AG68" s="336">
        <f t="shared" si="24"/>
        <v>407</v>
      </c>
      <c r="AH68" s="328"/>
    </row>
    <row r="69" spans="1:34" s="326" customFormat="1" ht="13.5" customHeight="1" x14ac:dyDescent="0.2">
      <c r="A69" s="326">
        <v>48</v>
      </c>
      <c r="B69" s="327">
        <v>50</v>
      </c>
      <c r="C69" s="334">
        <v>16</v>
      </c>
      <c r="D69" s="334">
        <v>1</v>
      </c>
      <c r="E69" s="350"/>
      <c r="F69" s="334">
        <v>242</v>
      </c>
      <c r="G69" s="334"/>
      <c r="H69" s="338"/>
      <c r="I69" s="334"/>
      <c r="J69" s="334"/>
      <c r="K69" s="334"/>
      <c r="L69" s="334"/>
      <c r="M69" s="334"/>
      <c r="N69" s="333">
        <v>40</v>
      </c>
      <c r="O69" s="334">
        <v>1</v>
      </c>
      <c r="P69" s="338"/>
      <c r="Q69" s="334">
        <v>1</v>
      </c>
      <c r="R69" s="334"/>
      <c r="S69" s="334">
        <v>1</v>
      </c>
      <c r="T69" s="333">
        <v>1</v>
      </c>
      <c r="U69" s="347">
        <v>1</v>
      </c>
      <c r="V69" s="333">
        <v>1</v>
      </c>
      <c r="W69" s="333"/>
      <c r="X69" s="334"/>
      <c r="Y69" s="352"/>
      <c r="Z69" s="352"/>
      <c r="AA69" s="352"/>
      <c r="AB69" s="334"/>
      <c r="AC69" s="334">
        <v>12</v>
      </c>
      <c r="AD69" s="333"/>
      <c r="AE69" s="346">
        <f t="shared" si="23"/>
        <v>317</v>
      </c>
      <c r="AF69" s="352"/>
      <c r="AG69" s="336">
        <f t="shared" si="24"/>
        <v>317</v>
      </c>
      <c r="AH69" s="328"/>
    </row>
    <row r="70" spans="1:34" s="326" customFormat="1" ht="13.5" customHeight="1" x14ac:dyDescent="0.2">
      <c r="A70" s="326">
        <v>49</v>
      </c>
      <c r="B70" s="327">
        <v>51</v>
      </c>
      <c r="C70" s="334"/>
      <c r="D70" s="334"/>
      <c r="E70" s="350"/>
      <c r="F70" s="334">
        <v>7</v>
      </c>
      <c r="G70" s="334"/>
      <c r="H70" s="338"/>
      <c r="I70" s="334"/>
      <c r="J70" s="334"/>
      <c r="K70" s="334"/>
      <c r="L70" s="334"/>
      <c r="M70" s="334"/>
      <c r="N70" s="333"/>
      <c r="O70" s="334"/>
      <c r="P70" s="338"/>
      <c r="Q70" s="334"/>
      <c r="R70" s="334"/>
      <c r="S70" s="334"/>
      <c r="T70" s="333"/>
      <c r="U70" s="347"/>
      <c r="V70" s="333"/>
      <c r="W70" s="333"/>
      <c r="X70" s="334"/>
      <c r="Y70" s="352"/>
      <c r="Z70" s="352"/>
      <c r="AA70" s="352"/>
      <c r="AB70" s="334"/>
      <c r="AC70" s="334"/>
      <c r="AD70" s="333"/>
      <c r="AE70" s="346">
        <f t="shared" si="23"/>
        <v>7</v>
      </c>
      <c r="AF70" s="352"/>
      <c r="AG70" s="336">
        <f t="shared" si="24"/>
        <v>7</v>
      </c>
      <c r="AH70" s="328"/>
    </row>
    <row r="71" spans="1:34" s="326" customFormat="1" ht="13.5" customHeight="1" x14ac:dyDescent="0.2">
      <c r="A71" s="326">
        <v>50</v>
      </c>
      <c r="B71" s="327">
        <v>52</v>
      </c>
      <c r="C71" s="334"/>
      <c r="D71" s="334"/>
      <c r="E71" s="350"/>
      <c r="F71" s="334">
        <v>1173</v>
      </c>
      <c r="G71" s="334"/>
      <c r="H71" s="334"/>
      <c r="I71" s="334"/>
      <c r="J71" s="334"/>
      <c r="K71" s="334"/>
      <c r="L71" s="334"/>
      <c r="M71" s="334"/>
      <c r="N71" s="333">
        <v>38</v>
      </c>
      <c r="O71" s="334"/>
      <c r="P71" s="334"/>
      <c r="Q71" s="334"/>
      <c r="R71" s="334"/>
      <c r="S71" s="334"/>
      <c r="T71" s="333"/>
      <c r="U71" s="333"/>
      <c r="V71" s="333"/>
      <c r="W71" s="333"/>
      <c r="X71" s="334"/>
      <c r="Y71" s="352"/>
      <c r="Z71" s="352"/>
      <c r="AA71" s="352"/>
      <c r="AB71" s="334"/>
      <c r="AC71" s="334">
        <v>46</v>
      </c>
      <c r="AD71" s="333"/>
      <c r="AE71" s="346">
        <f t="shared" si="23"/>
        <v>1257</v>
      </c>
      <c r="AF71" s="352"/>
      <c r="AG71" s="336">
        <f t="shared" si="24"/>
        <v>1257</v>
      </c>
      <c r="AH71" s="328"/>
    </row>
    <row r="72" spans="1:34" s="326" customFormat="1" ht="13.5" customHeight="1" x14ac:dyDescent="0.2">
      <c r="A72" s="326">
        <v>51</v>
      </c>
      <c r="B72" s="327">
        <v>53</v>
      </c>
      <c r="C72" s="334"/>
      <c r="D72" s="334"/>
      <c r="E72" s="350"/>
      <c r="F72" s="334">
        <v>203</v>
      </c>
      <c r="G72" s="334"/>
      <c r="H72" s="334"/>
      <c r="I72" s="334"/>
      <c r="J72" s="334"/>
      <c r="K72" s="334"/>
      <c r="L72" s="334"/>
      <c r="M72" s="334"/>
      <c r="N72" s="333"/>
      <c r="O72" s="334"/>
      <c r="P72" s="334"/>
      <c r="Q72" s="334"/>
      <c r="R72" s="334"/>
      <c r="S72" s="334"/>
      <c r="T72" s="333"/>
      <c r="U72" s="333"/>
      <c r="V72" s="333"/>
      <c r="W72" s="333"/>
      <c r="X72" s="334"/>
      <c r="Y72" s="352"/>
      <c r="Z72" s="352"/>
      <c r="AA72" s="352"/>
      <c r="AB72" s="334"/>
      <c r="AC72" s="334">
        <v>4</v>
      </c>
      <c r="AD72" s="333"/>
      <c r="AE72" s="346">
        <f t="shared" si="23"/>
        <v>207</v>
      </c>
      <c r="AF72" s="352"/>
      <c r="AG72" s="336">
        <f t="shared" si="24"/>
        <v>207</v>
      </c>
      <c r="AH72" s="328"/>
    </row>
    <row r="73" spans="1:34" s="326" customFormat="1" ht="13.5" customHeight="1" x14ac:dyDescent="0.2">
      <c r="A73" s="326">
        <v>52</v>
      </c>
      <c r="B73" s="327">
        <v>54</v>
      </c>
      <c r="C73" s="334"/>
      <c r="D73" s="334"/>
      <c r="E73" s="350"/>
      <c r="F73" s="334">
        <v>70</v>
      </c>
      <c r="G73" s="334"/>
      <c r="H73" s="338"/>
      <c r="I73" s="334"/>
      <c r="J73" s="334"/>
      <c r="K73" s="334"/>
      <c r="L73" s="338"/>
      <c r="M73" s="334"/>
      <c r="N73" s="333"/>
      <c r="O73" s="338"/>
      <c r="P73" s="338"/>
      <c r="Q73" s="334"/>
      <c r="R73" s="334"/>
      <c r="S73" s="334"/>
      <c r="T73" s="333"/>
      <c r="U73" s="333"/>
      <c r="V73" s="333"/>
      <c r="W73" s="333"/>
      <c r="X73" s="333"/>
      <c r="Y73" s="335"/>
      <c r="Z73" s="335"/>
      <c r="AA73" s="335"/>
      <c r="AB73" s="334"/>
      <c r="AC73" s="334">
        <v>8</v>
      </c>
      <c r="AD73" s="333"/>
      <c r="AE73" s="346">
        <f t="shared" si="23"/>
        <v>78</v>
      </c>
      <c r="AF73" s="335"/>
      <c r="AG73" s="336">
        <f t="shared" si="24"/>
        <v>78</v>
      </c>
      <c r="AH73" s="328"/>
    </row>
    <row r="74" spans="1:34" s="326" customFormat="1" ht="13.5" customHeight="1" x14ac:dyDescent="0.2">
      <c r="A74" s="326">
        <v>53</v>
      </c>
      <c r="B74" s="327">
        <v>55</v>
      </c>
      <c r="C74" s="334"/>
      <c r="D74" s="334"/>
      <c r="E74" s="350"/>
      <c r="F74" s="334">
        <v>20</v>
      </c>
      <c r="G74" s="334"/>
      <c r="H74" s="338"/>
      <c r="I74" s="334"/>
      <c r="J74" s="334"/>
      <c r="K74" s="334"/>
      <c r="L74" s="338"/>
      <c r="M74" s="334"/>
      <c r="N74" s="333"/>
      <c r="O74" s="338"/>
      <c r="P74" s="338"/>
      <c r="Q74" s="334"/>
      <c r="R74" s="334"/>
      <c r="S74" s="334"/>
      <c r="T74" s="333"/>
      <c r="U74" s="333"/>
      <c r="V74" s="333"/>
      <c r="W74" s="333"/>
      <c r="X74" s="333"/>
      <c r="Y74" s="335"/>
      <c r="Z74" s="335"/>
      <c r="AA74" s="335"/>
      <c r="AB74" s="334"/>
      <c r="AC74" s="334"/>
      <c r="AD74" s="333"/>
      <c r="AE74" s="346">
        <f t="shared" si="23"/>
        <v>20</v>
      </c>
      <c r="AF74" s="335"/>
      <c r="AG74" s="336">
        <f t="shared" si="24"/>
        <v>20</v>
      </c>
      <c r="AH74" s="328"/>
    </row>
    <row r="75" spans="1:34" s="326" customFormat="1" ht="13.5" customHeight="1" x14ac:dyDescent="0.2">
      <c r="A75" s="326">
        <v>54</v>
      </c>
      <c r="B75" s="327">
        <v>56</v>
      </c>
      <c r="C75" s="334"/>
      <c r="D75" s="334"/>
      <c r="E75" s="350"/>
      <c r="F75" s="334">
        <v>5</v>
      </c>
      <c r="G75" s="334"/>
      <c r="H75" s="338"/>
      <c r="I75" s="334"/>
      <c r="J75" s="334"/>
      <c r="K75" s="334"/>
      <c r="L75" s="338"/>
      <c r="M75" s="334"/>
      <c r="N75" s="333"/>
      <c r="O75" s="338"/>
      <c r="P75" s="338"/>
      <c r="Q75" s="334"/>
      <c r="R75" s="334"/>
      <c r="S75" s="334"/>
      <c r="T75" s="333"/>
      <c r="U75" s="333"/>
      <c r="V75" s="333"/>
      <c r="W75" s="333"/>
      <c r="X75" s="333"/>
      <c r="Y75" s="335"/>
      <c r="Z75" s="335"/>
      <c r="AA75" s="335"/>
      <c r="AB75" s="334"/>
      <c r="AC75" s="334"/>
      <c r="AD75" s="333"/>
      <c r="AE75" s="346">
        <f t="shared" si="23"/>
        <v>5</v>
      </c>
      <c r="AF75" s="335"/>
      <c r="AG75" s="336">
        <f t="shared" si="24"/>
        <v>5</v>
      </c>
      <c r="AH75" s="328"/>
    </row>
    <row r="76" spans="1:34" s="326" customFormat="1" ht="13.5" customHeight="1" x14ac:dyDescent="0.2">
      <c r="A76" s="326">
        <v>55</v>
      </c>
      <c r="B76" s="327">
        <v>57</v>
      </c>
      <c r="C76" s="334"/>
      <c r="D76" s="334"/>
      <c r="E76" s="350"/>
      <c r="F76" s="334"/>
      <c r="G76" s="334"/>
      <c r="H76" s="338"/>
      <c r="I76" s="334"/>
      <c r="J76" s="334"/>
      <c r="K76" s="334"/>
      <c r="L76" s="338"/>
      <c r="M76" s="334"/>
      <c r="N76" s="333"/>
      <c r="O76" s="338"/>
      <c r="P76" s="338"/>
      <c r="Q76" s="334"/>
      <c r="R76" s="334"/>
      <c r="S76" s="334"/>
      <c r="T76" s="333"/>
      <c r="U76" s="333"/>
      <c r="V76" s="333"/>
      <c r="W76" s="333"/>
      <c r="X76" s="333"/>
      <c r="Y76" s="335"/>
      <c r="Z76" s="335"/>
      <c r="AA76" s="335"/>
      <c r="AB76" s="334"/>
      <c r="AC76" s="334"/>
      <c r="AD76" s="333"/>
      <c r="AE76" s="346">
        <f t="shared" si="23"/>
        <v>0</v>
      </c>
      <c r="AF76" s="335"/>
      <c r="AG76" s="336">
        <f t="shared" si="24"/>
        <v>0</v>
      </c>
      <c r="AH76" s="328"/>
    </row>
    <row r="77" spans="1:34" s="326" customFormat="1" ht="13.5" customHeight="1" x14ac:dyDescent="0.2">
      <c r="A77" s="326">
        <v>56</v>
      </c>
      <c r="B77" s="327">
        <v>58</v>
      </c>
      <c r="C77" s="334"/>
      <c r="D77" s="334">
        <v>16</v>
      </c>
      <c r="E77" s="350"/>
      <c r="F77" s="334"/>
      <c r="G77" s="334"/>
      <c r="H77" s="338"/>
      <c r="I77" s="334"/>
      <c r="J77" s="334"/>
      <c r="K77" s="334"/>
      <c r="L77" s="338"/>
      <c r="M77" s="334"/>
      <c r="N77" s="333"/>
      <c r="O77" s="338"/>
      <c r="P77" s="338"/>
      <c r="Q77" s="334"/>
      <c r="R77" s="334"/>
      <c r="S77" s="334"/>
      <c r="T77" s="333"/>
      <c r="U77" s="333"/>
      <c r="V77" s="333"/>
      <c r="W77" s="333"/>
      <c r="X77" s="333"/>
      <c r="Y77" s="335"/>
      <c r="Z77" s="335"/>
      <c r="AA77" s="335"/>
      <c r="AB77" s="334"/>
      <c r="AC77" s="334"/>
      <c r="AD77" s="333"/>
      <c r="AE77" s="346">
        <f t="shared" si="23"/>
        <v>16</v>
      </c>
      <c r="AF77" s="335"/>
      <c r="AG77" s="336">
        <f t="shared" si="24"/>
        <v>16</v>
      </c>
      <c r="AH77" s="328"/>
    </row>
    <row r="78" spans="1:34" s="326" customFormat="1" ht="13.5" customHeight="1" x14ac:dyDescent="0.2">
      <c r="A78" s="326">
        <v>57</v>
      </c>
      <c r="B78" s="327">
        <v>59</v>
      </c>
      <c r="C78" s="334"/>
      <c r="D78" s="334"/>
      <c r="E78" s="350"/>
      <c r="F78" s="334"/>
      <c r="G78" s="334"/>
      <c r="H78" s="338"/>
      <c r="I78" s="334"/>
      <c r="J78" s="334"/>
      <c r="K78" s="334"/>
      <c r="L78" s="338"/>
      <c r="M78" s="334"/>
      <c r="N78" s="333"/>
      <c r="O78" s="338"/>
      <c r="P78" s="338"/>
      <c r="Q78" s="334"/>
      <c r="R78" s="334"/>
      <c r="S78" s="334"/>
      <c r="T78" s="333"/>
      <c r="U78" s="333"/>
      <c r="V78" s="333"/>
      <c r="W78" s="333"/>
      <c r="X78" s="333"/>
      <c r="Y78" s="335"/>
      <c r="Z78" s="335"/>
      <c r="AA78" s="335"/>
      <c r="AB78" s="334"/>
      <c r="AC78" s="334"/>
      <c r="AD78" s="333"/>
      <c r="AE78" s="346">
        <f t="shared" si="23"/>
        <v>0</v>
      </c>
      <c r="AF78" s="335"/>
      <c r="AG78" s="336">
        <f t="shared" si="24"/>
        <v>0</v>
      </c>
      <c r="AH78" s="328"/>
    </row>
    <row r="79" spans="1:34" s="326" customFormat="1" ht="13.5" customHeight="1" x14ac:dyDescent="0.2">
      <c r="A79" s="326">
        <v>58</v>
      </c>
      <c r="B79" s="327">
        <v>60</v>
      </c>
      <c r="C79" s="334"/>
      <c r="D79" s="334"/>
      <c r="E79" s="350"/>
      <c r="F79" s="334"/>
      <c r="G79" s="334"/>
      <c r="H79" s="338"/>
      <c r="I79" s="334"/>
      <c r="J79" s="334"/>
      <c r="K79" s="334"/>
      <c r="L79" s="338"/>
      <c r="M79" s="334"/>
      <c r="N79" s="333"/>
      <c r="O79" s="334"/>
      <c r="P79" s="338"/>
      <c r="Q79" s="334"/>
      <c r="R79" s="334"/>
      <c r="S79" s="334"/>
      <c r="T79" s="334"/>
      <c r="U79" s="333"/>
      <c r="V79" s="333"/>
      <c r="W79" s="333"/>
      <c r="X79" s="333"/>
      <c r="Y79" s="335"/>
      <c r="Z79" s="335"/>
      <c r="AA79" s="335"/>
      <c r="AB79" s="334"/>
      <c r="AC79" s="334"/>
      <c r="AD79" s="333"/>
      <c r="AE79" s="346">
        <f t="shared" si="23"/>
        <v>0</v>
      </c>
      <c r="AF79" s="335"/>
      <c r="AG79" s="336">
        <f t="shared" si="24"/>
        <v>0</v>
      </c>
      <c r="AH79" s="328"/>
    </row>
    <row r="80" spans="1:34" s="326" customFormat="1" ht="13.5" customHeight="1" x14ac:dyDescent="0.2">
      <c r="A80" s="326">
        <v>59</v>
      </c>
      <c r="B80" s="327">
        <v>61</v>
      </c>
      <c r="C80" s="334"/>
      <c r="D80" s="334"/>
      <c r="E80" s="350"/>
      <c r="F80" s="334">
        <v>235</v>
      </c>
      <c r="G80" s="334"/>
      <c r="H80" s="338"/>
      <c r="I80" s="334"/>
      <c r="J80" s="334"/>
      <c r="K80" s="334"/>
      <c r="L80" s="338"/>
      <c r="M80" s="334"/>
      <c r="N80" s="333"/>
      <c r="O80" s="338"/>
      <c r="P80" s="338"/>
      <c r="Q80" s="334"/>
      <c r="R80" s="334"/>
      <c r="S80" s="334"/>
      <c r="T80" s="334"/>
      <c r="U80" s="333"/>
      <c r="V80" s="333"/>
      <c r="W80" s="333"/>
      <c r="X80" s="333"/>
      <c r="Y80" s="335"/>
      <c r="Z80" s="335"/>
      <c r="AA80" s="335"/>
      <c r="AB80" s="334"/>
      <c r="AC80" s="334"/>
      <c r="AD80" s="333"/>
      <c r="AE80" s="346">
        <f t="shared" si="23"/>
        <v>235</v>
      </c>
      <c r="AF80" s="335"/>
      <c r="AG80" s="336">
        <f t="shared" si="24"/>
        <v>235</v>
      </c>
      <c r="AH80" s="328"/>
    </row>
    <row r="81" spans="1:34" s="326" customFormat="1" ht="13.5" customHeight="1" x14ac:dyDescent="0.2">
      <c r="A81" s="326">
        <v>60</v>
      </c>
      <c r="B81" s="327">
        <v>62</v>
      </c>
      <c r="C81" s="333"/>
      <c r="D81" s="333"/>
      <c r="E81" s="350"/>
      <c r="F81" s="333">
        <v>310</v>
      </c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5"/>
      <c r="Z81" s="335"/>
      <c r="AA81" s="335"/>
      <c r="AB81" s="333"/>
      <c r="AC81" s="333"/>
      <c r="AD81" s="333"/>
      <c r="AE81" s="346">
        <f t="shared" si="23"/>
        <v>310</v>
      </c>
      <c r="AF81" s="335"/>
      <c r="AG81" s="336">
        <f t="shared" si="24"/>
        <v>310</v>
      </c>
      <c r="AH81" s="328"/>
    </row>
    <row r="82" spans="1:34" s="326" customFormat="1" ht="13.5" customHeight="1" x14ac:dyDescent="0.2">
      <c r="A82" s="326">
        <v>61</v>
      </c>
      <c r="B82" s="327">
        <v>63</v>
      </c>
      <c r="C82" s="333"/>
      <c r="D82" s="333"/>
      <c r="E82" s="350"/>
      <c r="F82" s="333">
        <v>326</v>
      </c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5"/>
      <c r="Z82" s="335"/>
      <c r="AA82" s="335"/>
      <c r="AB82" s="333"/>
      <c r="AC82" s="333"/>
      <c r="AD82" s="333"/>
      <c r="AE82" s="346">
        <f t="shared" si="23"/>
        <v>326</v>
      </c>
      <c r="AF82" s="335"/>
      <c r="AG82" s="336">
        <f t="shared" si="24"/>
        <v>326</v>
      </c>
      <c r="AH82" s="328"/>
    </row>
    <row r="83" spans="1:34" s="326" customFormat="1" ht="13.5" customHeight="1" x14ac:dyDescent="0.2">
      <c r="A83" s="326">
        <v>62</v>
      </c>
      <c r="B83" s="327">
        <v>64</v>
      </c>
      <c r="C83" s="333"/>
      <c r="D83" s="333"/>
      <c r="E83" s="350"/>
      <c r="F83" s="333">
        <v>200</v>
      </c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5"/>
      <c r="Z83" s="335"/>
      <c r="AA83" s="335"/>
      <c r="AB83" s="333"/>
      <c r="AC83" s="333"/>
      <c r="AD83" s="333"/>
      <c r="AE83" s="346">
        <f t="shared" si="23"/>
        <v>200</v>
      </c>
      <c r="AF83" s="335"/>
      <c r="AG83" s="336">
        <f t="shared" si="24"/>
        <v>200</v>
      </c>
      <c r="AH83" s="328"/>
    </row>
    <row r="84" spans="1:34" s="326" customFormat="1" ht="13.5" customHeight="1" x14ac:dyDescent="0.2">
      <c r="A84" s="326">
        <v>63</v>
      </c>
      <c r="B84" s="327">
        <v>65</v>
      </c>
      <c r="C84" s="333"/>
      <c r="D84" s="333"/>
      <c r="E84" s="350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5"/>
      <c r="Z84" s="335"/>
      <c r="AA84" s="335"/>
      <c r="AB84" s="333"/>
      <c r="AC84" s="333"/>
      <c r="AD84" s="333"/>
      <c r="AE84" s="346">
        <f t="shared" si="23"/>
        <v>0</v>
      </c>
      <c r="AF84" s="335"/>
      <c r="AG84" s="336">
        <f t="shared" si="24"/>
        <v>0</v>
      </c>
      <c r="AH84" s="328"/>
    </row>
    <row r="85" spans="1:34" s="326" customFormat="1" ht="22.5" customHeight="1" x14ac:dyDescent="0.2">
      <c r="A85" s="326">
        <v>0</v>
      </c>
      <c r="B85" s="330" t="s">
        <v>643</v>
      </c>
      <c r="C85" s="331">
        <v>30</v>
      </c>
      <c r="D85" s="331">
        <v>0</v>
      </c>
      <c r="E85" s="331">
        <v>0</v>
      </c>
      <c r="F85" s="331">
        <v>0</v>
      </c>
      <c r="G85" s="331">
        <v>0</v>
      </c>
      <c r="H85" s="331">
        <v>0</v>
      </c>
      <c r="I85" s="331">
        <v>0</v>
      </c>
      <c r="J85" s="331">
        <v>13</v>
      </c>
      <c r="K85" s="331">
        <v>10</v>
      </c>
      <c r="L85" s="331">
        <v>0</v>
      </c>
      <c r="M85" s="331">
        <v>0</v>
      </c>
      <c r="N85" s="331">
        <v>0</v>
      </c>
      <c r="O85" s="331">
        <v>0</v>
      </c>
      <c r="P85" s="331">
        <v>0</v>
      </c>
      <c r="Q85" s="331">
        <v>0</v>
      </c>
      <c r="R85" s="331">
        <v>0</v>
      </c>
      <c r="S85" s="331">
        <v>0</v>
      </c>
      <c r="T85" s="331">
        <v>0</v>
      </c>
      <c r="U85" s="331">
        <v>0</v>
      </c>
      <c r="V85" s="331">
        <v>0</v>
      </c>
      <c r="W85" s="331">
        <v>0</v>
      </c>
      <c r="X85" s="331">
        <v>0</v>
      </c>
      <c r="Y85" s="331">
        <v>0</v>
      </c>
      <c r="Z85" s="331">
        <v>0</v>
      </c>
      <c r="AA85" s="331">
        <v>0</v>
      </c>
      <c r="AB85" s="331">
        <v>0</v>
      </c>
      <c r="AC85" s="331">
        <v>0</v>
      </c>
      <c r="AD85" s="331">
        <v>0</v>
      </c>
      <c r="AE85" s="331">
        <f t="shared" ref="AE85:AG85" si="25">AE86+AE87</f>
        <v>53</v>
      </c>
      <c r="AF85" s="331">
        <f t="shared" si="25"/>
        <v>0</v>
      </c>
      <c r="AG85" s="331">
        <f t="shared" si="25"/>
        <v>53</v>
      </c>
      <c r="AH85" s="328"/>
    </row>
    <row r="86" spans="1:34" s="326" customFormat="1" ht="13.5" customHeight="1" x14ac:dyDescent="0.2">
      <c r="A86" s="326">
        <v>65</v>
      </c>
      <c r="B86" s="327">
        <v>66</v>
      </c>
      <c r="C86" s="334">
        <v>20</v>
      </c>
      <c r="D86" s="334"/>
      <c r="E86" s="334"/>
      <c r="F86" s="334"/>
      <c r="G86" s="334"/>
      <c r="H86" s="338"/>
      <c r="I86" s="334"/>
      <c r="J86" s="334">
        <v>13</v>
      </c>
      <c r="K86" s="334">
        <v>10</v>
      </c>
      <c r="L86" s="338"/>
      <c r="M86" s="334"/>
      <c r="N86" s="333"/>
      <c r="O86" s="338"/>
      <c r="P86" s="338"/>
      <c r="Q86" s="334"/>
      <c r="R86" s="334"/>
      <c r="S86" s="334"/>
      <c r="T86" s="334"/>
      <c r="U86" s="333"/>
      <c r="V86" s="333"/>
      <c r="W86" s="333"/>
      <c r="X86" s="333"/>
      <c r="Y86" s="335"/>
      <c r="Z86" s="335"/>
      <c r="AA86" s="335"/>
      <c r="AB86" s="334"/>
      <c r="AC86" s="334"/>
      <c r="AD86" s="333"/>
      <c r="AE86" s="346">
        <f>C86+D86+E86+F86+G86+H86+I86+J86+K86+L86+M86+N86+O86+P86+Q86+R86+S86+T86+U86+V86+W86+X86+Y86+Z86+AA86+AB86+AC86+AD86</f>
        <v>43</v>
      </c>
      <c r="AF86" s="335"/>
      <c r="AG86" s="336">
        <f>AE86+AF86</f>
        <v>43</v>
      </c>
      <c r="AH86" s="328"/>
    </row>
    <row r="87" spans="1:34" s="339" customFormat="1" ht="13.5" customHeight="1" x14ac:dyDescent="0.2">
      <c r="A87" s="339">
        <v>66</v>
      </c>
      <c r="B87" s="353">
        <v>67</v>
      </c>
      <c r="C87" s="334">
        <v>10</v>
      </c>
      <c r="D87" s="334"/>
      <c r="E87" s="334"/>
      <c r="F87" s="334"/>
      <c r="G87" s="334"/>
      <c r="H87" s="338"/>
      <c r="I87" s="334"/>
      <c r="J87" s="334"/>
      <c r="K87" s="334"/>
      <c r="L87" s="338"/>
      <c r="M87" s="334"/>
      <c r="N87" s="333"/>
      <c r="O87" s="338"/>
      <c r="P87" s="338"/>
      <c r="Q87" s="334"/>
      <c r="R87" s="334"/>
      <c r="S87" s="334"/>
      <c r="T87" s="334"/>
      <c r="U87" s="333"/>
      <c r="V87" s="333"/>
      <c r="W87" s="333"/>
      <c r="X87" s="333"/>
      <c r="Y87" s="335"/>
      <c r="Z87" s="335"/>
      <c r="AA87" s="335"/>
      <c r="AB87" s="334"/>
      <c r="AC87" s="334"/>
      <c r="AD87" s="333"/>
      <c r="AE87" s="346">
        <f>C87+D87+E87+F87+G87+H87+I87+J87+K87+L87+M87+N87+O87+P87+Q87+R87+S87+T87+U87+V87+W87+X87+Y87+Z87+AA87+AB87+AC87+AD87</f>
        <v>10</v>
      </c>
      <c r="AF87" s="335"/>
      <c r="AG87" s="336">
        <f>AE87+AF87</f>
        <v>10</v>
      </c>
      <c r="AH87" s="341"/>
    </row>
    <row r="88" spans="1:34" s="326" customFormat="1" ht="22.5" customHeight="1" x14ac:dyDescent="0.2">
      <c r="A88" s="326">
        <v>0</v>
      </c>
      <c r="B88" s="330" t="s">
        <v>644</v>
      </c>
      <c r="C88" s="331">
        <v>384</v>
      </c>
      <c r="D88" s="331">
        <v>220</v>
      </c>
      <c r="E88" s="331">
        <v>0</v>
      </c>
      <c r="F88" s="331">
        <v>0</v>
      </c>
      <c r="G88" s="331">
        <v>0</v>
      </c>
      <c r="H88" s="331">
        <v>0</v>
      </c>
      <c r="I88" s="331">
        <v>300</v>
      </c>
      <c r="J88" s="331">
        <v>79</v>
      </c>
      <c r="K88" s="331">
        <v>238</v>
      </c>
      <c r="L88" s="331">
        <v>0</v>
      </c>
      <c r="M88" s="331">
        <v>100</v>
      </c>
      <c r="N88" s="331">
        <v>220</v>
      </c>
      <c r="O88" s="331">
        <v>225</v>
      </c>
      <c r="P88" s="331">
        <v>0</v>
      </c>
      <c r="Q88" s="331">
        <v>30</v>
      </c>
      <c r="R88" s="331">
        <v>35</v>
      </c>
      <c r="S88" s="331">
        <v>91</v>
      </c>
      <c r="T88" s="331">
        <v>45</v>
      </c>
      <c r="U88" s="331">
        <v>0</v>
      </c>
      <c r="V88" s="331">
        <v>20</v>
      </c>
      <c r="W88" s="331">
        <v>10</v>
      </c>
      <c r="X88" s="331">
        <v>0</v>
      </c>
      <c r="Y88" s="331">
        <v>0</v>
      </c>
      <c r="Z88" s="331">
        <v>0</v>
      </c>
      <c r="AA88" s="331">
        <v>0</v>
      </c>
      <c r="AB88" s="331">
        <v>0</v>
      </c>
      <c r="AC88" s="331">
        <v>0</v>
      </c>
      <c r="AD88" s="331">
        <v>36</v>
      </c>
      <c r="AE88" s="331">
        <f t="shared" ref="AE88:AF88" si="26">SUM(AE89:AE97)</f>
        <v>2033</v>
      </c>
      <c r="AF88" s="331">
        <f t="shared" si="26"/>
        <v>0</v>
      </c>
      <c r="AG88" s="331">
        <f>SUM(AG89:AG97)</f>
        <v>2033</v>
      </c>
      <c r="AH88" s="328"/>
    </row>
    <row r="89" spans="1:34" s="326" customFormat="1" ht="13.5" customHeight="1" x14ac:dyDescent="0.2">
      <c r="A89" s="326">
        <v>67</v>
      </c>
      <c r="B89" s="354">
        <v>68</v>
      </c>
      <c r="C89" s="333">
        <v>80</v>
      </c>
      <c r="D89" s="333">
        <v>45</v>
      </c>
      <c r="E89" s="333"/>
      <c r="F89" s="333"/>
      <c r="G89" s="333"/>
      <c r="H89" s="333"/>
      <c r="I89" s="333">
        <v>44</v>
      </c>
      <c r="J89" s="333">
        <v>70</v>
      </c>
      <c r="K89" s="333">
        <v>208</v>
      </c>
      <c r="L89" s="333"/>
      <c r="M89" s="333">
        <v>55</v>
      </c>
      <c r="N89" s="333">
        <v>20</v>
      </c>
      <c r="O89" s="333">
        <v>65</v>
      </c>
      <c r="P89" s="333"/>
      <c r="Q89" s="333">
        <v>20</v>
      </c>
      <c r="R89" s="333"/>
      <c r="S89" s="333">
        <v>41</v>
      </c>
      <c r="T89" s="333">
        <v>5</v>
      </c>
      <c r="U89" s="333"/>
      <c r="V89" s="333"/>
      <c r="W89" s="333"/>
      <c r="X89" s="333"/>
      <c r="Y89" s="335"/>
      <c r="Z89" s="335"/>
      <c r="AA89" s="335"/>
      <c r="AB89" s="333"/>
      <c r="AC89" s="333"/>
      <c r="AD89" s="333">
        <v>12</v>
      </c>
      <c r="AE89" s="346">
        <f t="shared" ref="AE89:AE99" si="27">C89+D89+E89+F89+G89+H89+I89+J89+K89+L89+M89+N89+O89+P89+Q89+R89+S89+T89+U89+V89+W89+X89+Y89+Z89+AA89+AB89+AC89+AD89</f>
        <v>665</v>
      </c>
      <c r="AF89" s="335"/>
      <c r="AG89" s="336">
        <f t="shared" ref="AG89:AG99" si="28">AE89+AF89</f>
        <v>665</v>
      </c>
      <c r="AH89" s="328"/>
    </row>
    <row r="90" spans="1:34" s="326" customFormat="1" ht="13.5" customHeight="1" x14ac:dyDescent="0.2">
      <c r="A90" s="326">
        <v>68</v>
      </c>
      <c r="B90" s="354">
        <v>69</v>
      </c>
      <c r="C90" s="347">
        <v>15</v>
      </c>
      <c r="D90" s="333">
        <v>36</v>
      </c>
      <c r="E90" s="333"/>
      <c r="F90" s="333"/>
      <c r="G90" s="333"/>
      <c r="H90" s="333"/>
      <c r="I90" s="333"/>
      <c r="J90" s="333">
        <v>3</v>
      </c>
      <c r="K90" s="347">
        <v>5</v>
      </c>
      <c r="L90" s="333"/>
      <c r="M90" s="333">
        <v>15</v>
      </c>
      <c r="N90" s="333"/>
      <c r="O90" s="333">
        <v>25</v>
      </c>
      <c r="P90" s="333"/>
      <c r="Q90" s="333">
        <v>10</v>
      </c>
      <c r="R90" s="333">
        <v>35</v>
      </c>
      <c r="S90" s="333">
        <v>50</v>
      </c>
      <c r="T90" s="333">
        <v>40</v>
      </c>
      <c r="U90" s="333"/>
      <c r="V90" s="333">
        <v>17</v>
      </c>
      <c r="W90" s="333">
        <v>5</v>
      </c>
      <c r="X90" s="333"/>
      <c r="Y90" s="335"/>
      <c r="Z90" s="335"/>
      <c r="AA90" s="335"/>
      <c r="AB90" s="333"/>
      <c r="AC90" s="333"/>
      <c r="AD90" s="333"/>
      <c r="AE90" s="346">
        <f t="shared" si="27"/>
        <v>256</v>
      </c>
      <c r="AF90" s="335"/>
      <c r="AG90" s="336">
        <f t="shared" si="28"/>
        <v>256</v>
      </c>
      <c r="AH90" s="328"/>
    </row>
    <row r="91" spans="1:34" s="326" customFormat="1" ht="13.5" customHeight="1" x14ac:dyDescent="0.2">
      <c r="A91" s="326">
        <v>69</v>
      </c>
      <c r="B91" s="354">
        <v>70</v>
      </c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>
        <v>15</v>
      </c>
      <c r="N91" s="333"/>
      <c r="O91" s="333">
        <v>12</v>
      </c>
      <c r="P91" s="333"/>
      <c r="Q91" s="333"/>
      <c r="R91" s="333"/>
      <c r="S91" s="333"/>
      <c r="T91" s="333"/>
      <c r="U91" s="333"/>
      <c r="V91" s="333"/>
      <c r="W91" s="333"/>
      <c r="X91" s="333"/>
      <c r="Y91" s="335"/>
      <c r="Z91" s="335"/>
      <c r="AA91" s="335"/>
      <c r="AB91" s="333"/>
      <c r="AC91" s="333"/>
      <c r="AD91" s="333">
        <v>24</v>
      </c>
      <c r="AE91" s="346">
        <f t="shared" si="27"/>
        <v>51</v>
      </c>
      <c r="AF91" s="335"/>
      <c r="AG91" s="336">
        <f t="shared" si="28"/>
        <v>51</v>
      </c>
      <c r="AH91" s="328"/>
    </row>
    <row r="92" spans="1:34" s="326" customFormat="1" ht="13.5" customHeight="1" x14ac:dyDescent="0.2">
      <c r="A92" s="326">
        <v>70</v>
      </c>
      <c r="B92" s="354">
        <v>71</v>
      </c>
      <c r="C92" s="347">
        <v>250</v>
      </c>
      <c r="D92" s="333">
        <v>102</v>
      </c>
      <c r="E92" s="333"/>
      <c r="F92" s="333"/>
      <c r="G92" s="333"/>
      <c r="H92" s="345"/>
      <c r="I92" s="333">
        <v>196</v>
      </c>
      <c r="J92" s="333"/>
      <c r="K92" s="333"/>
      <c r="L92" s="345"/>
      <c r="M92" s="333">
        <v>15</v>
      </c>
      <c r="N92" s="333">
        <v>176</v>
      </c>
      <c r="O92" s="333">
        <v>105</v>
      </c>
      <c r="P92" s="333"/>
      <c r="Q92" s="333"/>
      <c r="R92" s="333"/>
      <c r="S92" s="333"/>
      <c r="T92" s="333"/>
      <c r="U92" s="333"/>
      <c r="V92" s="333"/>
      <c r="W92" s="333">
        <v>5</v>
      </c>
      <c r="X92" s="333"/>
      <c r="Y92" s="335"/>
      <c r="Z92" s="335"/>
      <c r="AA92" s="335"/>
      <c r="AB92" s="333"/>
      <c r="AC92" s="333"/>
      <c r="AD92" s="333"/>
      <c r="AE92" s="346">
        <f t="shared" si="27"/>
        <v>849</v>
      </c>
      <c r="AF92" s="335"/>
      <c r="AG92" s="336">
        <f t="shared" si="28"/>
        <v>849</v>
      </c>
      <c r="AH92" s="328"/>
    </row>
    <row r="93" spans="1:34" s="326" customFormat="1" ht="13.5" customHeight="1" x14ac:dyDescent="0.2">
      <c r="A93" s="326">
        <v>71</v>
      </c>
      <c r="B93" s="354">
        <v>72</v>
      </c>
      <c r="C93" s="333"/>
      <c r="D93" s="333"/>
      <c r="E93" s="333"/>
      <c r="F93" s="333"/>
      <c r="G93" s="333"/>
      <c r="H93" s="333"/>
      <c r="I93" s="333"/>
      <c r="J93" s="333"/>
      <c r="K93" s="333">
        <v>10</v>
      </c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5"/>
      <c r="Z93" s="335"/>
      <c r="AA93" s="335"/>
      <c r="AB93" s="333"/>
      <c r="AC93" s="333"/>
      <c r="AD93" s="333"/>
      <c r="AE93" s="346">
        <f t="shared" si="27"/>
        <v>10</v>
      </c>
      <c r="AF93" s="335"/>
      <c r="AG93" s="336">
        <f t="shared" si="28"/>
        <v>10</v>
      </c>
      <c r="AH93" s="328"/>
    </row>
    <row r="94" spans="1:34" s="326" customFormat="1" ht="13.5" customHeight="1" x14ac:dyDescent="0.2">
      <c r="A94" s="326">
        <v>72</v>
      </c>
      <c r="B94" s="354">
        <v>73</v>
      </c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5"/>
      <c r="Z94" s="335"/>
      <c r="AA94" s="335"/>
      <c r="AB94" s="333"/>
      <c r="AC94" s="333"/>
      <c r="AD94" s="333"/>
      <c r="AE94" s="346">
        <f t="shared" si="27"/>
        <v>0</v>
      </c>
      <c r="AF94" s="335"/>
      <c r="AG94" s="336">
        <f t="shared" si="28"/>
        <v>0</v>
      </c>
      <c r="AH94" s="328"/>
    </row>
    <row r="95" spans="1:34" s="339" customFormat="1" ht="13.5" customHeight="1" x14ac:dyDescent="0.2">
      <c r="A95" s="339">
        <v>73</v>
      </c>
      <c r="B95" s="354">
        <v>74</v>
      </c>
      <c r="C95" s="333">
        <v>9</v>
      </c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>
        <v>4</v>
      </c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5"/>
      <c r="Z95" s="335"/>
      <c r="AA95" s="335"/>
      <c r="AB95" s="333"/>
      <c r="AC95" s="333"/>
      <c r="AD95" s="333"/>
      <c r="AE95" s="346">
        <f t="shared" si="27"/>
        <v>13</v>
      </c>
      <c r="AF95" s="335"/>
      <c r="AG95" s="336">
        <f t="shared" si="28"/>
        <v>13</v>
      </c>
      <c r="AH95" s="341"/>
    </row>
    <row r="96" spans="1:34" s="326" customFormat="1" ht="13.5" customHeight="1" x14ac:dyDescent="0.2">
      <c r="B96" s="327">
        <v>75</v>
      </c>
      <c r="C96" s="333"/>
      <c r="D96" s="333"/>
      <c r="E96" s="333"/>
      <c r="F96" s="333"/>
      <c r="G96" s="333"/>
      <c r="H96" s="333"/>
      <c r="I96" s="333"/>
      <c r="J96" s="333"/>
      <c r="K96" s="333">
        <v>15</v>
      </c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5"/>
      <c r="Z96" s="335"/>
      <c r="AA96" s="335"/>
      <c r="AB96" s="333"/>
      <c r="AC96" s="333"/>
      <c r="AD96" s="333"/>
      <c r="AE96" s="346">
        <f t="shared" si="27"/>
        <v>15</v>
      </c>
      <c r="AF96" s="335"/>
      <c r="AG96" s="336">
        <f t="shared" si="28"/>
        <v>15</v>
      </c>
      <c r="AH96" s="328"/>
    </row>
    <row r="97" spans="1:34" s="326" customFormat="1" ht="13.5" customHeight="1" x14ac:dyDescent="0.2">
      <c r="B97" s="327">
        <v>76</v>
      </c>
      <c r="C97" s="333">
        <v>30</v>
      </c>
      <c r="D97" s="333">
        <v>37</v>
      </c>
      <c r="E97" s="333"/>
      <c r="F97" s="333"/>
      <c r="G97" s="333"/>
      <c r="H97" s="333"/>
      <c r="I97" s="333">
        <v>60</v>
      </c>
      <c r="J97" s="333">
        <v>6</v>
      </c>
      <c r="K97" s="333"/>
      <c r="L97" s="333"/>
      <c r="M97" s="333"/>
      <c r="N97" s="333">
        <v>20</v>
      </c>
      <c r="O97" s="333">
        <v>18</v>
      </c>
      <c r="P97" s="333"/>
      <c r="Q97" s="333"/>
      <c r="R97" s="333"/>
      <c r="S97" s="333"/>
      <c r="T97" s="333"/>
      <c r="U97" s="333"/>
      <c r="V97" s="333">
        <v>3</v>
      </c>
      <c r="W97" s="333"/>
      <c r="X97" s="333"/>
      <c r="Y97" s="335"/>
      <c r="Z97" s="335"/>
      <c r="AA97" s="335"/>
      <c r="AB97" s="333"/>
      <c r="AC97" s="333"/>
      <c r="AD97" s="333"/>
      <c r="AE97" s="346">
        <f t="shared" si="27"/>
        <v>174</v>
      </c>
      <c r="AF97" s="335"/>
      <c r="AG97" s="336">
        <f t="shared" si="28"/>
        <v>174</v>
      </c>
      <c r="AH97" s="328"/>
    </row>
    <row r="98" spans="1:34" s="329" customFormat="1" ht="25.5" customHeight="1" x14ac:dyDescent="0.2">
      <c r="B98" s="330" t="s">
        <v>571</v>
      </c>
      <c r="C98" s="355">
        <v>96</v>
      </c>
      <c r="D98" s="355">
        <v>0</v>
      </c>
      <c r="E98" s="355">
        <v>0</v>
      </c>
      <c r="F98" s="355">
        <v>0</v>
      </c>
      <c r="G98" s="355">
        <v>0</v>
      </c>
      <c r="H98" s="355">
        <v>0</v>
      </c>
      <c r="I98" s="355">
        <v>0</v>
      </c>
      <c r="J98" s="355">
        <v>0</v>
      </c>
      <c r="K98" s="355">
        <v>0</v>
      </c>
      <c r="L98" s="355">
        <v>0</v>
      </c>
      <c r="M98" s="355">
        <v>0</v>
      </c>
      <c r="N98" s="355">
        <v>0</v>
      </c>
      <c r="O98" s="355">
        <v>0</v>
      </c>
      <c r="P98" s="355">
        <v>0</v>
      </c>
      <c r="Q98" s="355">
        <v>0</v>
      </c>
      <c r="R98" s="355">
        <v>0</v>
      </c>
      <c r="S98" s="355">
        <v>0</v>
      </c>
      <c r="T98" s="355">
        <v>0</v>
      </c>
      <c r="U98" s="355">
        <v>0</v>
      </c>
      <c r="V98" s="355">
        <v>0</v>
      </c>
      <c r="W98" s="355">
        <v>0</v>
      </c>
      <c r="X98" s="355">
        <v>0</v>
      </c>
      <c r="Y98" s="356">
        <v>0</v>
      </c>
      <c r="Z98" s="356">
        <v>0</v>
      </c>
      <c r="AA98" s="356">
        <v>0</v>
      </c>
      <c r="AB98" s="355">
        <v>0</v>
      </c>
      <c r="AC98" s="355">
        <v>0</v>
      </c>
      <c r="AD98" s="355">
        <v>0</v>
      </c>
      <c r="AE98" s="331">
        <f>AE99</f>
        <v>96</v>
      </c>
      <c r="AF98" s="356"/>
      <c r="AG98" s="355">
        <f>AG99</f>
        <v>96</v>
      </c>
      <c r="AH98" s="332"/>
    </row>
    <row r="99" spans="1:34" s="326" customFormat="1" ht="13.5" customHeight="1" x14ac:dyDescent="0.2">
      <c r="B99" s="353">
        <v>77</v>
      </c>
      <c r="C99" s="333">
        <v>96</v>
      </c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5"/>
      <c r="Z99" s="335"/>
      <c r="AA99" s="335"/>
      <c r="AB99" s="333"/>
      <c r="AC99" s="333"/>
      <c r="AD99" s="333"/>
      <c r="AE99" s="346">
        <f t="shared" si="27"/>
        <v>96</v>
      </c>
      <c r="AF99" s="335"/>
      <c r="AG99" s="336">
        <f t="shared" si="28"/>
        <v>96</v>
      </c>
      <c r="AH99" s="328"/>
    </row>
    <row r="100" spans="1:34" s="326" customFormat="1" ht="22.5" customHeight="1" x14ac:dyDescent="0.2">
      <c r="A100" s="326">
        <v>0</v>
      </c>
      <c r="B100" s="330" t="s">
        <v>645</v>
      </c>
      <c r="C100" s="331">
        <v>188</v>
      </c>
      <c r="D100" s="331">
        <v>0</v>
      </c>
      <c r="E100" s="331">
        <v>0</v>
      </c>
      <c r="F100" s="331">
        <v>0</v>
      </c>
      <c r="G100" s="331">
        <v>0</v>
      </c>
      <c r="H100" s="331">
        <v>0</v>
      </c>
      <c r="I100" s="331">
        <v>0</v>
      </c>
      <c r="J100" s="331">
        <v>136</v>
      </c>
      <c r="K100" s="331">
        <v>40</v>
      </c>
      <c r="L100" s="331">
        <v>60</v>
      </c>
      <c r="M100" s="331">
        <v>0</v>
      </c>
      <c r="N100" s="331">
        <v>0</v>
      </c>
      <c r="O100" s="331">
        <v>15</v>
      </c>
      <c r="P100" s="331">
        <v>0</v>
      </c>
      <c r="Q100" s="331">
        <v>0</v>
      </c>
      <c r="R100" s="331">
        <v>0</v>
      </c>
      <c r="S100" s="331">
        <v>0</v>
      </c>
      <c r="T100" s="331">
        <v>0</v>
      </c>
      <c r="U100" s="331">
        <v>0</v>
      </c>
      <c r="V100" s="331">
        <v>0</v>
      </c>
      <c r="W100" s="331">
        <v>0</v>
      </c>
      <c r="X100" s="331">
        <v>0</v>
      </c>
      <c r="Y100" s="331">
        <v>0</v>
      </c>
      <c r="Z100" s="331">
        <v>0</v>
      </c>
      <c r="AA100" s="331">
        <v>0</v>
      </c>
      <c r="AB100" s="331">
        <v>46</v>
      </c>
      <c r="AC100" s="331">
        <v>0</v>
      </c>
      <c r="AD100" s="331">
        <v>22</v>
      </c>
      <c r="AE100" s="331">
        <f t="shared" ref="AE100:AG100" si="29">SUM(AE101:AE103)</f>
        <v>507</v>
      </c>
      <c r="AF100" s="331">
        <f t="shared" si="29"/>
        <v>0</v>
      </c>
      <c r="AG100" s="331">
        <f t="shared" si="29"/>
        <v>507</v>
      </c>
      <c r="AH100" s="328"/>
    </row>
    <row r="101" spans="1:34" s="326" customFormat="1" ht="13.5" customHeight="1" x14ac:dyDescent="0.2">
      <c r="A101" s="326">
        <v>74</v>
      </c>
      <c r="B101" s="327">
        <v>78</v>
      </c>
      <c r="C101" s="347">
        <v>158</v>
      </c>
      <c r="D101" s="333"/>
      <c r="E101" s="333"/>
      <c r="F101" s="333"/>
      <c r="G101" s="333"/>
      <c r="H101" s="333"/>
      <c r="I101" s="333"/>
      <c r="J101" s="333">
        <v>136</v>
      </c>
      <c r="K101" s="333">
        <v>40</v>
      </c>
      <c r="L101" s="333">
        <v>40</v>
      </c>
      <c r="M101" s="333"/>
      <c r="N101" s="333"/>
      <c r="O101" s="333">
        <v>15</v>
      </c>
      <c r="P101" s="333"/>
      <c r="Q101" s="333"/>
      <c r="R101" s="333"/>
      <c r="S101" s="333"/>
      <c r="T101" s="333"/>
      <c r="U101" s="333"/>
      <c r="V101" s="333"/>
      <c r="W101" s="333"/>
      <c r="X101" s="333"/>
      <c r="Y101" s="335"/>
      <c r="Z101" s="335"/>
      <c r="AA101" s="335"/>
      <c r="AB101" s="333">
        <v>46</v>
      </c>
      <c r="AC101" s="333"/>
      <c r="AD101" s="333">
        <v>22</v>
      </c>
      <c r="AE101" s="346">
        <f>C101+D101+E101+F101+G101+H101+I101+J101+K101+L101+M101+N101+O101+P101+Q101+R101+S101+T101+U101+V101+W101+X101+Y101+Z101+AA101+AB101+AC101+AD101</f>
        <v>457</v>
      </c>
      <c r="AF101" s="335"/>
      <c r="AG101" s="336">
        <f>AE101+AF101</f>
        <v>457</v>
      </c>
      <c r="AH101" s="328"/>
    </row>
    <row r="102" spans="1:34" s="326" customFormat="1" ht="13.5" customHeight="1" x14ac:dyDescent="0.2">
      <c r="A102" s="326">
        <v>75</v>
      </c>
      <c r="B102" s="327">
        <v>79</v>
      </c>
      <c r="C102" s="347">
        <v>30</v>
      </c>
      <c r="D102" s="333"/>
      <c r="E102" s="333"/>
      <c r="F102" s="333"/>
      <c r="G102" s="333"/>
      <c r="H102" s="333"/>
      <c r="I102" s="333"/>
      <c r="J102" s="333"/>
      <c r="K102" s="333"/>
      <c r="L102" s="333">
        <v>20</v>
      </c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5"/>
      <c r="Z102" s="335"/>
      <c r="AA102" s="335"/>
      <c r="AB102" s="333"/>
      <c r="AC102" s="333"/>
      <c r="AD102" s="333"/>
      <c r="AE102" s="346">
        <f>C102+D102+E102+F102+G102+H102+I102+J102+K102+L102+M102+N102+O102+P102+Q102+R102+S102+T102+U102+V102+W102+X102+Y102+Z102+AA102+AB102+AC102+AD102</f>
        <v>50</v>
      </c>
      <c r="AF102" s="335"/>
      <c r="AG102" s="336">
        <f>AE102+AF102</f>
        <v>50</v>
      </c>
      <c r="AH102" s="328"/>
    </row>
    <row r="103" spans="1:34" s="326" customFormat="1" ht="13.5" customHeight="1" x14ac:dyDescent="0.2">
      <c r="A103" s="326">
        <v>76</v>
      </c>
      <c r="B103" s="327">
        <v>80</v>
      </c>
      <c r="C103" s="347"/>
      <c r="D103" s="333"/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5"/>
      <c r="Z103" s="335"/>
      <c r="AA103" s="335"/>
      <c r="AB103" s="333"/>
      <c r="AC103" s="333"/>
      <c r="AD103" s="333"/>
      <c r="AE103" s="346">
        <f>C103+D103+E103+F103+G103+H103+I103+J103+K103+L103+M103+N103+O103+P103+Q103+R103+S103+T103+U103+V103+W103+X103+Y103+Z103+AA103+AB103+AC103+AD103</f>
        <v>0</v>
      </c>
      <c r="AF103" s="335"/>
      <c r="AG103" s="336">
        <f>AE103+AF103</f>
        <v>0</v>
      </c>
      <c r="AH103" s="328"/>
    </row>
    <row r="104" spans="1:34" s="339" customFormat="1" ht="22.5" customHeight="1" x14ac:dyDescent="0.2">
      <c r="A104" s="339">
        <v>0</v>
      </c>
      <c r="B104" s="330" t="s">
        <v>646</v>
      </c>
      <c r="C104" s="355">
        <v>385</v>
      </c>
      <c r="D104" s="355">
        <v>20</v>
      </c>
      <c r="E104" s="355">
        <v>0</v>
      </c>
      <c r="F104" s="355">
        <v>0</v>
      </c>
      <c r="G104" s="355">
        <v>0</v>
      </c>
      <c r="H104" s="355">
        <v>0</v>
      </c>
      <c r="I104" s="355">
        <v>0</v>
      </c>
      <c r="J104" s="355">
        <v>17</v>
      </c>
      <c r="K104" s="355">
        <v>6</v>
      </c>
      <c r="L104" s="355">
        <v>0</v>
      </c>
      <c r="M104" s="355">
        <v>0</v>
      </c>
      <c r="N104" s="355">
        <v>0</v>
      </c>
      <c r="O104" s="355">
        <v>83</v>
      </c>
      <c r="P104" s="355">
        <v>0</v>
      </c>
      <c r="Q104" s="355">
        <v>0</v>
      </c>
      <c r="R104" s="355">
        <v>0</v>
      </c>
      <c r="S104" s="355">
        <v>0</v>
      </c>
      <c r="T104" s="355">
        <v>0</v>
      </c>
      <c r="U104" s="355">
        <v>0</v>
      </c>
      <c r="V104" s="355">
        <v>0</v>
      </c>
      <c r="W104" s="355">
        <v>0</v>
      </c>
      <c r="X104" s="355">
        <v>0</v>
      </c>
      <c r="Y104" s="356">
        <v>0</v>
      </c>
      <c r="Z104" s="356">
        <v>0</v>
      </c>
      <c r="AA104" s="356">
        <v>0</v>
      </c>
      <c r="AB104" s="355">
        <v>25</v>
      </c>
      <c r="AC104" s="355">
        <v>0</v>
      </c>
      <c r="AD104" s="355">
        <v>0</v>
      </c>
      <c r="AE104" s="331">
        <f t="shared" ref="AE104:AG104" si="30">SUM(AE105:AE108)</f>
        <v>536</v>
      </c>
      <c r="AF104" s="356">
        <f t="shared" si="30"/>
        <v>0</v>
      </c>
      <c r="AG104" s="355">
        <f t="shared" si="30"/>
        <v>536</v>
      </c>
      <c r="AH104" s="341"/>
    </row>
    <row r="105" spans="1:34" s="326" customFormat="1" ht="13.5" customHeight="1" x14ac:dyDescent="0.2">
      <c r="A105" s="326">
        <v>77</v>
      </c>
      <c r="B105" s="327">
        <v>81</v>
      </c>
      <c r="C105" s="347">
        <v>173</v>
      </c>
      <c r="D105" s="333">
        <v>20</v>
      </c>
      <c r="E105" s="333"/>
      <c r="F105" s="333"/>
      <c r="G105" s="333"/>
      <c r="H105" s="333"/>
      <c r="I105" s="333"/>
      <c r="J105" s="333">
        <v>15</v>
      </c>
      <c r="K105" s="333">
        <v>6</v>
      </c>
      <c r="L105" s="333"/>
      <c r="M105" s="333"/>
      <c r="N105" s="333"/>
      <c r="O105" s="333">
        <v>80</v>
      </c>
      <c r="P105" s="333"/>
      <c r="Q105" s="333"/>
      <c r="R105" s="333"/>
      <c r="S105" s="333"/>
      <c r="T105" s="333"/>
      <c r="U105" s="333"/>
      <c r="V105" s="333"/>
      <c r="W105" s="333"/>
      <c r="X105" s="333"/>
      <c r="Y105" s="335"/>
      <c r="Z105" s="335"/>
      <c r="AA105" s="335"/>
      <c r="AB105" s="333">
        <v>25</v>
      </c>
      <c r="AC105" s="333"/>
      <c r="AD105" s="333"/>
      <c r="AE105" s="346">
        <f>C105+D105+E105+F105+G105+H105+I105+J105+K105+L105+M105+N105+O105+P105+Q105+R105+S105+T105+U105+V105+W105+X105+Y105+Z105+AA105+AB105+AC105+AD105</f>
        <v>319</v>
      </c>
      <c r="AF105" s="335"/>
      <c r="AG105" s="336">
        <f>AE105+AF105</f>
        <v>319</v>
      </c>
      <c r="AH105" s="328"/>
    </row>
    <row r="106" spans="1:34" s="339" customFormat="1" ht="13.5" customHeight="1" x14ac:dyDescent="0.2">
      <c r="A106" s="339">
        <v>78</v>
      </c>
      <c r="B106" s="327">
        <v>82</v>
      </c>
      <c r="C106" s="347">
        <v>42</v>
      </c>
      <c r="D106" s="333"/>
      <c r="E106" s="333"/>
      <c r="F106" s="333"/>
      <c r="G106" s="333"/>
      <c r="H106" s="333"/>
      <c r="I106" s="333"/>
      <c r="J106" s="333">
        <v>2</v>
      </c>
      <c r="K106" s="333"/>
      <c r="L106" s="333"/>
      <c r="M106" s="333"/>
      <c r="N106" s="333"/>
      <c r="O106" s="333">
        <v>3</v>
      </c>
      <c r="P106" s="333"/>
      <c r="Q106" s="333"/>
      <c r="R106" s="333"/>
      <c r="S106" s="333"/>
      <c r="T106" s="333"/>
      <c r="U106" s="333"/>
      <c r="V106" s="333"/>
      <c r="W106" s="333"/>
      <c r="X106" s="333"/>
      <c r="Y106" s="335"/>
      <c r="Z106" s="335"/>
      <c r="AA106" s="335"/>
      <c r="AB106" s="333"/>
      <c r="AC106" s="333"/>
      <c r="AD106" s="333"/>
      <c r="AE106" s="346">
        <f>C106+D106+E106+F106+G106+H106+I106+J106+K106+L106+M106+N106+O106+P106+Q106+R106+S106+T106+U106+V106+W106+X106+Y106+Z106+AA106+AB106+AC106+AD106</f>
        <v>47</v>
      </c>
      <c r="AF106" s="335"/>
      <c r="AG106" s="336">
        <f>AE106+AF106</f>
        <v>47</v>
      </c>
      <c r="AH106" s="341"/>
    </row>
    <row r="107" spans="1:34" s="326" customFormat="1" ht="13.5" customHeight="1" x14ac:dyDescent="0.2">
      <c r="B107" s="327">
        <v>83</v>
      </c>
      <c r="C107" s="347">
        <v>170</v>
      </c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5"/>
      <c r="Z107" s="335"/>
      <c r="AA107" s="335"/>
      <c r="AB107" s="333"/>
      <c r="AC107" s="333"/>
      <c r="AD107" s="333"/>
      <c r="AE107" s="346">
        <f>C107+D107+E107+F107+G107+H107+I107+J107+K107+L107+M107+N107+O107+P107+Q107+R107+S107+T107+U107+V107+W107+X107+Y107+Z107+AA107+AB107+AC107+AD107</f>
        <v>170</v>
      </c>
      <c r="AF107" s="335"/>
      <c r="AG107" s="336">
        <f>AE107+AF107</f>
        <v>170</v>
      </c>
      <c r="AH107" s="328"/>
    </row>
    <row r="108" spans="1:34" s="326" customFormat="1" ht="13.5" customHeight="1" x14ac:dyDescent="0.2">
      <c r="B108" s="327">
        <v>84</v>
      </c>
      <c r="C108" s="347"/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5"/>
      <c r="Z108" s="335"/>
      <c r="AA108" s="335"/>
      <c r="AB108" s="333"/>
      <c r="AC108" s="333"/>
      <c r="AD108" s="333"/>
      <c r="AE108" s="346">
        <f>C108+D108+E108+F108+G108+H108+I108+J108+K108+L108+M108+N108+O108+P108+Q108+R108+S108+T108+U108+V108+W108+X108+Y108+Z108+AA108+AB108+AC108+AD108</f>
        <v>0</v>
      </c>
      <c r="AF108" s="335"/>
      <c r="AG108" s="336">
        <f>AE108+AF108</f>
        <v>0</v>
      </c>
      <c r="AH108" s="328"/>
    </row>
    <row r="109" spans="1:34" s="339" customFormat="1" ht="22.5" customHeight="1" x14ac:dyDescent="0.2">
      <c r="A109" s="339">
        <v>0</v>
      </c>
      <c r="B109" s="330" t="s">
        <v>647</v>
      </c>
      <c r="C109" s="331">
        <v>0</v>
      </c>
      <c r="D109" s="331">
        <v>0</v>
      </c>
      <c r="E109" s="331">
        <v>0</v>
      </c>
      <c r="F109" s="331">
        <v>0</v>
      </c>
      <c r="G109" s="331">
        <v>0</v>
      </c>
      <c r="H109" s="331">
        <v>0</v>
      </c>
      <c r="I109" s="331">
        <v>0</v>
      </c>
      <c r="J109" s="331">
        <v>65</v>
      </c>
      <c r="K109" s="331">
        <v>0</v>
      </c>
      <c r="L109" s="331">
        <v>0</v>
      </c>
      <c r="M109" s="331">
        <v>0</v>
      </c>
      <c r="N109" s="331">
        <v>0</v>
      </c>
      <c r="O109" s="331">
        <v>60</v>
      </c>
      <c r="P109" s="331">
        <v>0</v>
      </c>
      <c r="Q109" s="331">
        <v>0</v>
      </c>
      <c r="R109" s="331">
        <v>0</v>
      </c>
      <c r="S109" s="331">
        <v>20</v>
      </c>
      <c r="T109" s="331">
        <v>0</v>
      </c>
      <c r="U109" s="331">
        <v>0</v>
      </c>
      <c r="V109" s="331">
        <v>0</v>
      </c>
      <c r="W109" s="331">
        <v>0</v>
      </c>
      <c r="X109" s="331">
        <v>0</v>
      </c>
      <c r="Y109" s="331">
        <v>0</v>
      </c>
      <c r="Z109" s="331">
        <v>0</v>
      </c>
      <c r="AA109" s="331">
        <v>0</v>
      </c>
      <c r="AB109" s="331">
        <v>0</v>
      </c>
      <c r="AC109" s="331">
        <v>0</v>
      </c>
      <c r="AD109" s="331">
        <v>0</v>
      </c>
      <c r="AE109" s="331">
        <f t="shared" ref="AE109:AG109" si="31">AE110</f>
        <v>145</v>
      </c>
      <c r="AF109" s="331">
        <f t="shared" si="31"/>
        <v>0</v>
      </c>
      <c r="AG109" s="331">
        <f t="shared" si="31"/>
        <v>145</v>
      </c>
      <c r="AH109" s="341"/>
    </row>
    <row r="110" spans="1:34" ht="13.5" customHeight="1" x14ac:dyDescent="0.2">
      <c r="A110" s="314">
        <v>79</v>
      </c>
      <c r="B110" s="327">
        <v>85</v>
      </c>
      <c r="C110" s="333"/>
      <c r="D110" s="333"/>
      <c r="E110" s="333"/>
      <c r="F110" s="333"/>
      <c r="G110" s="333"/>
      <c r="H110" s="333"/>
      <c r="I110" s="333"/>
      <c r="J110" s="333">
        <v>65</v>
      </c>
      <c r="K110" s="333"/>
      <c r="L110" s="333"/>
      <c r="M110" s="333"/>
      <c r="N110" s="333"/>
      <c r="O110" s="333">
        <v>60</v>
      </c>
      <c r="P110" s="333"/>
      <c r="Q110" s="333"/>
      <c r="R110" s="333"/>
      <c r="S110" s="333">
        <v>20</v>
      </c>
      <c r="T110" s="333"/>
      <c r="U110" s="333"/>
      <c r="V110" s="333"/>
      <c r="W110" s="333"/>
      <c r="X110" s="333"/>
      <c r="Y110" s="335"/>
      <c r="Z110" s="335"/>
      <c r="AA110" s="335"/>
      <c r="AB110" s="333"/>
      <c r="AC110" s="333"/>
      <c r="AD110" s="333"/>
      <c r="AE110" s="346">
        <f>C110+D110+E110+F110+G110+H110+I110+J110+K110+L110+M110+N110+O110+P110+Q110+R110+S110+T110+U110+V110+W110+X110+Y110+Z110+AA110+AB110+AC110+AD110</f>
        <v>145</v>
      </c>
      <c r="AF110" s="335"/>
      <c r="AG110" s="336">
        <f>AE110+AF110</f>
        <v>145</v>
      </c>
    </row>
    <row r="111" spans="1:34" ht="22.5" customHeight="1" x14ac:dyDescent="0.2">
      <c r="A111" s="314">
        <v>0</v>
      </c>
      <c r="B111" s="330" t="s">
        <v>648</v>
      </c>
      <c r="C111" s="331">
        <v>20</v>
      </c>
      <c r="D111" s="331">
        <v>0</v>
      </c>
      <c r="E111" s="331">
        <v>0</v>
      </c>
      <c r="F111" s="331">
        <v>0</v>
      </c>
      <c r="G111" s="331">
        <v>0</v>
      </c>
      <c r="H111" s="331">
        <v>0</v>
      </c>
      <c r="I111" s="331">
        <v>0</v>
      </c>
      <c r="J111" s="331">
        <v>92</v>
      </c>
      <c r="K111" s="331">
        <v>0</v>
      </c>
      <c r="L111" s="331">
        <v>0</v>
      </c>
      <c r="M111" s="331">
        <v>0</v>
      </c>
      <c r="N111" s="331">
        <v>0</v>
      </c>
      <c r="O111" s="331">
        <v>24</v>
      </c>
      <c r="P111" s="331">
        <v>0</v>
      </c>
      <c r="Q111" s="331">
        <v>0</v>
      </c>
      <c r="R111" s="331">
        <v>0</v>
      </c>
      <c r="S111" s="331">
        <v>0</v>
      </c>
      <c r="T111" s="331">
        <v>0</v>
      </c>
      <c r="U111" s="331">
        <v>0</v>
      </c>
      <c r="V111" s="331">
        <v>0</v>
      </c>
      <c r="W111" s="331">
        <v>0</v>
      </c>
      <c r="X111" s="331">
        <v>0</v>
      </c>
      <c r="Y111" s="331">
        <v>0</v>
      </c>
      <c r="Z111" s="331">
        <v>0</v>
      </c>
      <c r="AA111" s="331">
        <v>0</v>
      </c>
      <c r="AB111" s="331">
        <v>0</v>
      </c>
      <c r="AC111" s="331">
        <v>0</v>
      </c>
      <c r="AD111" s="331">
        <v>0</v>
      </c>
      <c r="AE111" s="331">
        <f>SUM(AE112:AE114)</f>
        <v>136</v>
      </c>
      <c r="AF111" s="331">
        <f t="shared" ref="AF111:AG111" si="32">SUM(AF112:AF114)</f>
        <v>0</v>
      </c>
      <c r="AG111" s="331">
        <f t="shared" si="32"/>
        <v>136</v>
      </c>
    </row>
    <row r="112" spans="1:34" ht="13.5" customHeight="1" x14ac:dyDescent="0.2">
      <c r="A112" s="314">
        <v>80</v>
      </c>
      <c r="B112" s="327">
        <v>86</v>
      </c>
      <c r="C112" s="333">
        <v>20</v>
      </c>
      <c r="D112" s="333"/>
      <c r="E112" s="333"/>
      <c r="F112" s="333"/>
      <c r="G112" s="333"/>
      <c r="H112" s="333"/>
      <c r="I112" s="333"/>
      <c r="J112" s="333">
        <v>92</v>
      </c>
      <c r="K112" s="333"/>
      <c r="L112" s="333"/>
      <c r="M112" s="333"/>
      <c r="N112" s="333"/>
      <c r="O112" s="333">
        <v>24</v>
      </c>
      <c r="P112" s="333"/>
      <c r="Q112" s="333"/>
      <c r="R112" s="333"/>
      <c r="S112" s="333"/>
      <c r="T112" s="333"/>
      <c r="U112" s="333"/>
      <c r="V112" s="333"/>
      <c r="W112" s="333"/>
      <c r="X112" s="333"/>
      <c r="Y112" s="335"/>
      <c r="Z112" s="335"/>
      <c r="AA112" s="335"/>
      <c r="AB112" s="333"/>
      <c r="AC112" s="333"/>
      <c r="AD112" s="333"/>
      <c r="AE112" s="346">
        <f>C112+D112+E112+F112+G112+H112+I112+J112+K112+L112+M112+N112+O112+P112+Q112+R112+S112+T112+U112+V112+W112+X112+Y112+Z112+AA112+AB112+AC112+AD112</f>
        <v>136</v>
      </c>
      <c r="AF112" s="335"/>
      <c r="AG112" s="336">
        <f>AE112+AF112</f>
        <v>136</v>
      </c>
    </row>
    <row r="113" spans="1:36" ht="12.75" customHeight="1" x14ac:dyDescent="0.2">
      <c r="B113" s="327">
        <v>87</v>
      </c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5"/>
      <c r="Z113" s="335"/>
      <c r="AA113" s="335"/>
      <c r="AB113" s="333"/>
      <c r="AC113" s="333"/>
      <c r="AD113" s="333"/>
      <c r="AE113" s="346">
        <f>C113+D113+E113+F113+G113+H113+I113+J113+K113+L113+M113+N113+O113+P113+Q113+R113+S113+T113+U113+V113+W113+X113+Y113+Z113+AA113+AB113+AC113+AD113</f>
        <v>0</v>
      </c>
      <c r="AF113" s="335"/>
      <c r="AG113" s="336">
        <f>AE113+AF113</f>
        <v>0</v>
      </c>
    </row>
    <row r="114" spans="1:36" s="315" customFormat="1" ht="13.5" customHeight="1" x14ac:dyDescent="0.2">
      <c r="A114" s="314">
        <v>81</v>
      </c>
      <c r="B114" s="327">
        <v>88</v>
      </c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5"/>
      <c r="Z114" s="335"/>
      <c r="AA114" s="335"/>
      <c r="AB114" s="333"/>
      <c r="AC114" s="333"/>
      <c r="AD114" s="333"/>
      <c r="AE114" s="346">
        <f>C114+D114+E114+F114+G114+H114+I114+J114+K114+L114+M114+N114+O114+P114+Q114+R114+S114+T114+U114+V114+W114+X114+Y114+Z114+AA114+AB114+AC114+AD114</f>
        <v>0</v>
      </c>
      <c r="AF114" s="335"/>
      <c r="AG114" s="336">
        <f>AE114+AF114</f>
        <v>0</v>
      </c>
      <c r="AI114" s="314"/>
      <c r="AJ114" s="314"/>
    </row>
    <row r="115" spans="1:36" s="315" customFormat="1" ht="21.75" customHeight="1" x14ac:dyDescent="0.2">
      <c r="A115" s="314"/>
      <c r="B115" s="357" t="s">
        <v>44</v>
      </c>
      <c r="C115" s="358">
        <f>C6+C11+C13+C16+C18+C20+C23+C31+C34+C43+C47+C64+C66+C85+C88+C98+C100+C104+C109+C111+C55</f>
        <v>3006</v>
      </c>
      <c r="D115" s="358">
        <f t="shared" ref="D115:AG115" si="33">D6+D11+D13+D16+D18+D20+D23+D31+D34+D43+D47+D64+D66+D85+D88+D98+D100+D104+D109+D111+D55</f>
        <v>809</v>
      </c>
      <c r="E115" s="358">
        <f t="shared" si="33"/>
        <v>905</v>
      </c>
      <c r="F115" s="358">
        <f t="shared" si="33"/>
        <v>3632</v>
      </c>
      <c r="G115" s="358">
        <f t="shared" si="33"/>
        <v>1971</v>
      </c>
      <c r="H115" s="358">
        <f t="shared" si="33"/>
        <v>52</v>
      </c>
      <c r="I115" s="358">
        <f t="shared" si="33"/>
        <v>300</v>
      </c>
      <c r="J115" s="358">
        <f t="shared" si="33"/>
        <v>1266</v>
      </c>
      <c r="K115" s="358">
        <f t="shared" si="33"/>
        <v>440</v>
      </c>
      <c r="L115" s="358">
        <f t="shared" si="33"/>
        <v>1409</v>
      </c>
      <c r="M115" s="358">
        <f t="shared" si="33"/>
        <v>405</v>
      </c>
      <c r="N115" s="358">
        <f t="shared" si="33"/>
        <v>605</v>
      </c>
      <c r="O115" s="358">
        <f>O6+O11+O13+O16+O18+O20+O23+O31+O34+O43+O47+O64+O66+O85+O88+O98+O100+O104+O109+O111+O55</f>
        <v>840</v>
      </c>
      <c r="P115" s="358">
        <f t="shared" si="33"/>
        <v>100</v>
      </c>
      <c r="Q115" s="358">
        <f t="shared" si="33"/>
        <v>46</v>
      </c>
      <c r="R115" s="358">
        <f t="shared" si="33"/>
        <v>152</v>
      </c>
      <c r="S115" s="358">
        <f t="shared" si="33"/>
        <v>819</v>
      </c>
      <c r="T115" s="358">
        <f t="shared" si="33"/>
        <v>124</v>
      </c>
      <c r="U115" s="358">
        <f t="shared" si="33"/>
        <v>4</v>
      </c>
      <c r="V115" s="358">
        <f t="shared" si="33"/>
        <v>36</v>
      </c>
      <c r="W115" s="358">
        <f t="shared" si="33"/>
        <v>10</v>
      </c>
      <c r="X115" s="358">
        <f t="shared" si="33"/>
        <v>97</v>
      </c>
      <c r="Y115" s="358">
        <f t="shared" si="33"/>
        <v>130</v>
      </c>
      <c r="Z115" s="358">
        <f t="shared" si="33"/>
        <v>100</v>
      </c>
      <c r="AA115" s="358">
        <f t="shared" si="33"/>
        <v>0</v>
      </c>
      <c r="AB115" s="358">
        <f t="shared" si="33"/>
        <v>275</v>
      </c>
      <c r="AC115" s="358">
        <f t="shared" si="33"/>
        <v>114</v>
      </c>
      <c r="AD115" s="358">
        <f>AD6+AD11+AD13+AD16+AD18+AD20+AD23+AD31+AD34+AD43+AD47+AD64+AD66+AD85+AD88+AD98+AD100+AD104+AD109+AD111+AD55</f>
        <v>62</v>
      </c>
      <c r="AE115" s="358">
        <f t="shared" si="33"/>
        <v>17709</v>
      </c>
      <c r="AF115" s="358">
        <f t="shared" si="33"/>
        <v>0</v>
      </c>
      <c r="AG115" s="358">
        <f t="shared" si="33"/>
        <v>17709</v>
      </c>
      <c r="AI115" s="314"/>
      <c r="AJ115" s="314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N140" activePane="bottomRight" state="frozen"/>
      <selection pane="topRight" activeCell="D1" sqref="D1"/>
      <selection pane="bottomLeft" activeCell="A9" sqref="A9"/>
      <selection pane="bottomRight" activeCell="C132" sqref="C132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  <c r="Q2" s="1126"/>
      <c r="R2" s="1126"/>
      <c r="S2" s="1126"/>
      <c r="T2" s="1126"/>
      <c r="U2" s="1126"/>
      <c r="V2" s="1126"/>
      <c r="W2" s="1126"/>
      <c r="X2" s="1126"/>
      <c r="Y2" s="1126"/>
      <c r="Z2" s="1126"/>
    </row>
    <row r="3" spans="1:26" x14ac:dyDescent="0.25">
      <c r="C3" s="6"/>
      <c r="E3" s="32"/>
      <c r="M3" s="1138"/>
      <c r="N3" s="1138"/>
      <c r="O3" s="1138"/>
    </row>
    <row r="4" spans="1:26" s="10" customFormat="1" ht="42" customHeight="1" x14ac:dyDescent="0.25">
      <c r="A4" s="1130" t="s">
        <v>0</v>
      </c>
      <c r="B4" s="1130" t="s">
        <v>1</v>
      </c>
      <c r="C4" s="1135" t="s">
        <v>2</v>
      </c>
      <c r="D4" s="1154" t="s">
        <v>517</v>
      </c>
      <c r="E4" s="1154"/>
      <c r="F4" s="1154"/>
      <c r="G4" s="1154"/>
      <c r="H4" s="1154"/>
      <c r="I4" s="1154"/>
      <c r="J4" s="1154"/>
      <c r="K4" s="1154"/>
      <c r="L4" s="1155" t="s">
        <v>518</v>
      </c>
      <c r="M4" s="1156"/>
      <c r="N4" s="1156"/>
      <c r="O4" s="1156"/>
      <c r="P4" s="1156"/>
      <c r="Q4" s="1156"/>
      <c r="R4" s="1145" t="s">
        <v>519</v>
      </c>
      <c r="S4" s="1145"/>
      <c r="T4" s="1145"/>
      <c r="U4" s="1145"/>
      <c r="V4" s="1145"/>
      <c r="W4" s="1145"/>
      <c r="X4" s="1145"/>
      <c r="Y4" s="1145"/>
      <c r="Z4" s="1145"/>
    </row>
    <row r="5" spans="1:26" s="10" customFormat="1" ht="68.25" customHeight="1" x14ac:dyDescent="0.25">
      <c r="A5" s="1131"/>
      <c r="B5" s="1131"/>
      <c r="C5" s="1158"/>
      <c r="D5" s="1147" t="s">
        <v>520</v>
      </c>
      <c r="E5" s="1147" t="s">
        <v>521</v>
      </c>
      <c r="F5" s="253" t="s">
        <v>726</v>
      </c>
      <c r="G5" s="253" t="s">
        <v>725</v>
      </c>
      <c r="H5" s="1147" t="s">
        <v>449</v>
      </c>
      <c r="I5" s="1147"/>
      <c r="J5" s="1147"/>
      <c r="K5" s="1148" t="s">
        <v>13</v>
      </c>
      <c r="L5" s="1150" t="s">
        <v>522</v>
      </c>
      <c r="M5" s="1150" t="s">
        <v>523</v>
      </c>
      <c r="N5" s="1150" t="s">
        <v>524</v>
      </c>
      <c r="O5" s="1150" t="s">
        <v>525</v>
      </c>
      <c r="P5" s="1150" t="s">
        <v>526</v>
      </c>
      <c r="Q5" s="1157" t="s">
        <v>13</v>
      </c>
      <c r="R5" s="1146" t="s">
        <v>527</v>
      </c>
      <c r="S5" s="1146" t="s">
        <v>528</v>
      </c>
      <c r="T5" s="1146" t="s">
        <v>529</v>
      </c>
      <c r="U5" s="1146" t="s">
        <v>530</v>
      </c>
      <c r="V5" s="1146" t="s">
        <v>531</v>
      </c>
      <c r="W5" s="1146" t="s">
        <v>532</v>
      </c>
      <c r="X5" s="1143" t="s">
        <v>533</v>
      </c>
      <c r="Y5" s="1144" t="s">
        <v>534</v>
      </c>
      <c r="Z5" s="1145" t="s">
        <v>13</v>
      </c>
    </row>
    <row r="6" spans="1:26" ht="60" customHeight="1" x14ac:dyDescent="0.25">
      <c r="A6" s="1137"/>
      <c r="B6" s="1137"/>
      <c r="C6" s="1136"/>
      <c r="D6" s="1147"/>
      <c r="E6" s="1147"/>
      <c r="F6" s="265" t="s">
        <v>535</v>
      </c>
      <c r="G6" s="265" t="s">
        <v>13</v>
      </c>
      <c r="H6" s="25" t="s">
        <v>536</v>
      </c>
      <c r="I6" s="263" t="s">
        <v>537</v>
      </c>
      <c r="J6" s="263" t="s">
        <v>538</v>
      </c>
      <c r="K6" s="1149"/>
      <c r="L6" s="1150"/>
      <c r="M6" s="1150"/>
      <c r="N6" s="1150"/>
      <c r="O6" s="1150"/>
      <c r="P6" s="1150"/>
      <c r="Q6" s="1157"/>
      <c r="R6" s="1146"/>
      <c r="S6" s="1146"/>
      <c r="T6" s="1146"/>
      <c r="U6" s="1146"/>
      <c r="V6" s="1146"/>
      <c r="W6" s="1146"/>
      <c r="X6" s="1143"/>
      <c r="Y6" s="1144"/>
      <c r="Z6" s="1145"/>
    </row>
    <row r="7" spans="1:26" x14ac:dyDescent="0.25">
      <c r="A7" s="1139" t="s">
        <v>13</v>
      </c>
      <c r="B7" s="1139"/>
      <c r="C7" s="1139"/>
      <c r="D7" s="269">
        <f>D8+D10+D9</f>
        <v>104674</v>
      </c>
      <c r="E7" s="269">
        <f t="shared" ref="E7:Z7" si="0">E8+E10+E9</f>
        <v>5360</v>
      </c>
      <c r="F7" s="269">
        <f t="shared" si="0"/>
        <v>14971</v>
      </c>
      <c r="G7" s="269">
        <f t="shared" si="0"/>
        <v>10675</v>
      </c>
      <c r="H7" s="269">
        <f t="shared" si="0"/>
        <v>8260</v>
      </c>
      <c r="I7" s="269">
        <f t="shared" si="0"/>
        <v>549</v>
      </c>
      <c r="J7" s="269">
        <f t="shared" si="0"/>
        <v>1866</v>
      </c>
      <c r="K7" s="269">
        <f t="shared" si="0"/>
        <v>135680</v>
      </c>
      <c r="L7" s="269">
        <f t="shared" si="0"/>
        <v>2668</v>
      </c>
      <c r="M7" s="269">
        <f t="shared" si="0"/>
        <v>15352</v>
      </c>
      <c r="N7" s="269">
        <f t="shared" si="0"/>
        <v>49448</v>
      </c>
      <c r="O7" s="269">
        <f t="shared" si="0"/>
        <v>30177</v>
      </c>
      <c r="P7" s="269">
        <f t="shared" si="0"/>
        <v>6323</v>
      </c>
      <c r="Q7" s="269">
        <f t="shared" si="0"/>
        <v>103968</v>
      </c>
      <c r="R7" s="269">
        <f t="shared" si="0"/>
        <v>344</v>
      </c>
      <c r="S7" s="269">
        <f t="shared" si="0"/>
        <v>815</v>
      </c>
      <c r="T7" s="269">
        <f t="shared" si="0"/>
        <v>665</v>
      </c>
      <c r="U7" s="269">
        <f t="shared" si="0"/>
        <v>435</v>
      </c>
      <c r="V7" s="269">
        <f t="shared" si="0"/>
        <v>510</v>
      </c>
      <c r="W7" s="269">
        <f t="shared" si="0"/>
        <v>800</v>
      </c>
      <c r="X7" s="269">
        <f t="shared" si="0"/>
        <v>2106</v>
      </c>
      <c r="Y7" s="269">
        <f t="shared" si="0"/>
        <v>48</v>
      </c>
      <c r="Z7" s="269">
        <f t="shared" si="0"/>
        <v>5723</v>
      </c>
    </row>
    <row r="8" spans="1:26" x14ac:dyDescent="0.25">
      <c r="A8" s="16"/>
      <c r="B8" s="16"/>
      <c r="C8" s="17" t="s">
        <v>14</v>
      </c>
      <c r="D8" s="243"/>
      <c r="E8" s="243"/>
      <c r="F8" s="243"/>
      <c r="G8" s="243">
        <f>H8+I8+J8</f>
        <v>0</v>
      </c>
      <c r="H8" s="243"/>
      <c r="I8" s="243"/>
      <c r="J8" s="243"/>
      <c r="K8" s="243">
        <f>D8+E8+F8+G8</f>
        <v>0</v>
      </c>
      <c r="L8" s="243"/>
      <c r="M8" s="272"/>
      <c r="N8" s="272"/>
      <c r="O8" s="243"/>
      <c r="P8" s="243"/>
      <c r="Q8" s="243">
        <f>P8+L8+M8+N8+O8</f>
        <v>0</v>
      </c>
      <c r="R8" s="243"/>
      <c r="S8" s="243"/>
      <c r="T8" s="243"/>
      <c r="U8" s="243"/>
      <c r="V8" s="243"/>
      <c r="W8" s="243"/>
      <c r="X8" s="243"/>
      <c r="Y8" s="243"/>
      <c r="Z8" s="243">
        <f>R8+S8+T8+U8+V8+W8+X8+Y8</f>
        <v>0</v>
      </c>
    </row>
    <row r="9" spans="1:26" x14ac:dyDescent="0.25">
      <c r="A9" s="16"/>
      <c r="B9" s="16"/>
      <c r="C9" s="17" t="s">
        <v>554</v>
      </c>
      <c r="D9" s="243"/>
      <c r="E9" s="243"/>
      <c r="F9" s="243"/>
      <c r="G9" s="243">
        <f>H9+I9+J9</f>
        <v>0</v>
      </c>
      <c r="H9" s="243"/>
      <c r="I9" s="243"/>
      <c r="J9" s="243"/>
      <c r="K9" s="243">
        <f>D9+E9+F9+G9</f>
        <v>0</v>
      </c>
      <c r="L9" s="243">
        <v>67</v>
      </c>
      <c r="M9" s="244">
        <v>200</v>
      </c>
      <c r="N9" s="244">
        <v>267</v>
      </c>
      <c r="O9" s="243">
        <v>133</v>
      </c>
      <c r="P9" s="243"/>
      <c r="Q9" s="243">
        <f>P9+L9+M9+N9+O9</f>
        <v>667</v>
      </c>
      <c r="R9" s="243"/>
      <c r="S9" s="243"/>
      <c r="T9" s="243"/>
      <c r="U9" s="243"/>
      <c r="V9" s="243"/>
      <c r="W9" s="243"/>
      <c r="X9" s="243"/>
      <c r="Y9" s="243"/>
      <c r="Z9" s="243">
        <f>R9+S9+T9+U9+V9+W9+X9+Y9</f>
        <v>0</v>
      </c>
    </row>
    <row r="10" spans="1:26" s="10" customFormat="1" x14ac:dyDescent="0.25">
      <c r="A10" s="1139" t="s">
        <v>15</v>
      </c>
      <c r="B10" s="1139"/>
      <c r="C10" s="1139"/>
      <c r="D10" s="269">
        <f>SUM(D11:D148)-D91</f>
        <v>104674</v>
      </c>
      <c r="E10" s="269">
        <f t="shared" ref="E10:P10" si="1">SUM(E11:E148)-E91</f>
        <v>5360</v>
      </c>
      <c r="F10" s="269">
        <f t="shared" si="1"/>
        <v>14971</v>
      </c>
      <c r="G10" s="269">
        <f t="shared" si="1"/>
        <v>10675</v>
      </c>
      <c r="H10" s="269">
        <f t="shared" si="1"/>
        <v>8260</v>
      </c>
      <c r="I10" s="269">
        <f t="shared" si="1"/>
        <v>549</v>
      </c>
      <c r="J10" s="269">
        <f t="shared" si="1"/>
        <v>1866</v>
      </c>
      <c r="K10" s="269">
        <f t="shared" si="1"/>
        <v>135680</v>
      </c>
      <c r="L10" s="269">
        <f t="shared" si="1"/>
        <v>2601</v>
      </c>
      <c r="M10" s="269">
        <f t="shared" si="1"/>
        <v>15152</v>
      </c>
      <c r="N10" s="269">
        <f t="shared" si="1"/>
        <v>49181</v>
      </c>
      <c r="O10" s="269">
        <f t="shared" si="1"/>
        <v>30044</v>
      </c>
      <c r="P10" s="269">
        <f t="shared" si="1"/>
        <v>6323</v>
      </c>
      <c r="Q10" s="269">
        <f t="shared" ref="Q10" si="2">SUM(Q11:Q148)-Q91</f>
        <v>103301</v>
      </c>
      <c r="R10" s="269">
        <f t="shared" ref="R10" si="3">SUM(R11:R148)-R91</f>
        <v>344</v>
      </c>
      <c r="S10" s="269">
        <f t="shared" ref="S10" si="4">SUM(S11:S148)-S91</f>
        <v>815</v>
      </c>
      <c r="T10" s="269">
        <f t="shared" ref="T10" si="5">SUM(T11:T148)-T91</f>
        <v>665</v>
      </c>
      <c r="U10" s="269">
        <f t="shared" ref="U10" si="6">SUM(U11:U148)-U91</f>
        <v>435</v>
      </c>
      <c r="V10" s="269">
        <f t="shared" ref="V10" si="7">SUM(V11:V148)-V91</f>
        <v>510</v>
      </c>
      <c r="W10" s="269">
        <f t="shared" ref="W10" si="8">SUM(W11:W148)-W91</f>
        <v>800</v>
      </c>
      <c r="X10" s="269">
        <f t="shared" ref="X10" si="9">SUM(X11:X148)-X91</f>
        <v>2106</v>
      </c>
      <c r="Y10" s="269">
        <f t="shared" ref="Y10" si="10">SUM(Y11:Y148)-Y91</f>
        <v>48</v>
      </c>
      <c r="Z10" s="269">
        <f t="shared" ref="Z10" si="11">SUM(Z11:Z148)-Z91</f>
        <v>5723</v>
      </c>
    </row>
    <row r="11" spans="1:26" s="20" customFormat="1" x14ac:dyDescent="0.25">
      <c r="A11" s="808">
        <v>1</v>
      </c>
      <c r="B11" s="71" t="s">
        <v>54</v>
      </c>
      <c r="C11" s="31" t="s">
        <v>55</v>
      </c>
      <c r="D11" s="716">
        <v>393</v>
      </c>
      <c r="E11" s="716">
        <v>0</v>
      </c>
      <c r="F11" s="716">
        <v>0</v>
      </c>
      <c r="G11" s="716">
        <f>H11+I11+J11</f>
        <v>0</v>
      </c>
      <c r="H11" s="716">
        <v>0</v>
      </c>
      <c r="I11" s="716">
        <v>0</v>
      </c>
      <c r="J11" s="716">
        <v>0</v>
      </c>
      <c r="K11" s="716">
        <f>D11+E11+F11+G11</f>
        <v>393</v>
      </c>
      <c r="L11" s="716">
        <v>0</v>
      </c>
      <c r="M11" s="716">
        <v>0</v>
      </c>
      <c r="N11" s="716">
        <v>0</v>
      </c>
      <c r="O11" s="716">
        <v>0</v>
      </c>
      <c r="P11" s="716">
        <v>0</v>
      </c>
      <c r="Q11" s="243">
        <f>L11+M11+N11+O11+P11</f>
        <v>0</v>
      </c>
      <c r="R11" s="243"/>
      <c r="S11" s="243"/>
      <c r="T11" s="243"/>
      <c r="U11" s="243"/>
      <c r="V11" s="243"/>
      <c r="W11" s="243"/>
      <c r="X11" s="243"/>
      <c r="Y11" s="243"/>
      <c r="Z11" s="243">
        <f>R11+S11+T11+U11+V11+W11+X11+Y11</f>
        <v>0</v>
      </c>
    </row>
    <row r="12" spans="1:26" s="20" customFormat="1" x14ac:dyDescent="0.25">
      <c r="A12" s="808">
        <v>2</v>
      </c>
      <c r="B12" s="72" t="s">
        <v>56</v>
      </c>
      <c r="C12" s="31" t="s">
        <v>57</v>
      </c>
      <c r="D12" s="716">
        <v>407</v>
      </c>
      <c r="E12" s="716">
        <v>0</v>
      </c>
      <c r="F12" s="716">
        <v>59</v>
      </c>
      <c r="G12" s="716">
        <f t="shared" ref="G12:G75" si="12">H12+I12+J12</f>
        <v>0</v>
      </c>
      <c r="H12" s="716">
        <v>0</v>
      </c>
      <c r="I12" s="716">
        <v>0</v>
      </c>
      <c r="J12" s="716">
        <v>0</v>
      </c>
      <c r="K12" s="716">
        <f t="shared" ref="K12:K75" si="13">D12+E12+F12+G12</f>
        <v>466</v>
      </c>
      <c r="L12" s="716">
        <v>0</v>
      </c>
      <c r="M12" s="716">
        <v>0</v>
      </c>
      <c r="N12" s="716">
        <v>0</v>
      </c>
      <c r="O12" s="716">
        <v>0</v>
      </c>
      <c r="P12" s="716">
        <v>0</v>
      </c>
      <c r="Q12" s="243">
        <f t="shared" ref="Q12:Q75" si="14">L12+M12+N12+O12+P12</f>
        <v>0</v>
      </c>
      <c r="R12" s="243"/>
      <c r="S12" s="243"/>
      <c r="T12" s="243"/>
      <c r="U12" s="243"/>
      <c r="V12" s="243"/>
      <c r="W12" s="243"/>
      <c r="X12" s="243"/>
      <c r="Y12" s="243"/>
      <c r="Z12" s="243">
        <f t="shared" ref="Z12:Z75" si="15">R12+S12+T12+U12+V12+W12+X12+Y12</f>
        <v>0</v>
      </c>
    </row>
    <row r="13" spans="1:26" s="10" customFormat="1" x14ac:dyDescent="0.25">
      <c r="A13" s="808">
        <v>3</v>
      </c>
      <c r="B13" s="807" t="s">
        <v>16</v>
      </c>
      <c r="C13" s="31" t="s">
        <v>17</v>
      </c>
      <c r="D13" s="716">
        <v>1643</v>
      </c>
      <c r="E13" s="716">
        <v>92</v>
      </c>
      <c r="F13" s="716">
        <v>237</v>
      </c>
      <c r="G13" s="716">
        <f t="shared" si="12"/>
        <v>0</v>
      </c>
      <c r="H13" s="716">
        <v>0</v>
      </c>
      <c r="I13" s="716">
        <v>0</v>
      </c>
      <c r="J13" s="716">
        <v>0</v>
      </c>
      <c r="K13" s="716">
        <f t="shared" si="13"/>
        <v>1972</v>
      </c>
      <c r="L13" s="716">
        <v>48</v>
      </c>
      <c r="M13" s="716">
        <v>334</v>
      </c>
      <c r="N13" s="716">
        <v>959</v>
      </c>
      <c r="O13" s="716">
        <v>650</v>
      </c>
      <c r="P13" s="716">
        <v>0</v>
      </c>
      <c r="Q13" s="243">
        <f t="shared" si="14"/>
        <v>1991</v>
      </c>
      <c r="R13" s="243"/>
      <c r="S13" s="243"/>
      <c r="T13" s="243"/>
      <c r="U13" s="243"/>
      <c r="V13" s="243"/>
      <c r="W13" s="243"/>
      <c r="X13" s="243"/>
      <c r="Y13" s="243"/>
      <c r="Z13" s="243">
        <f t="shared" si="15"/>
        <v>0</v>
      </c>
    </row>
    <row r="14" spans="1:26" s="27" customFormat="1" x14ac:dyDescent="0.25">
      <c r="A14" s="808">
        <v>4</v>
      </c>
      <c r="B14" s="71" t="s">
        <v>58</v>
      </c>
      <c r="C14" s="31" t="s">
        <v>59</v>
      </c>
      <c r="D14" s="716">
        <v>437</v>
      </c>
      <c r="E14" s="716">
        <v>0</v>
      </c>
      <c r="F14" s="716">
        <v>0</v>
      </c>
      <c r="G14" s="716">
        <f t="shared" si="12"/>
        <v>0</v>
      </c>
      <c r="H14" s="716">
        <v>0</v>
      </c>
      <c r="I14" s="716">
        <v>0</v>
      </c>
      <c r="J14" s="716">
        <v>0</v>
      </c>
      <c r="K14" s="716">
        <f t="shared" si="13"/>
        <v>437</v>
      </c>
      <c r="L14" s="716">
        <v>0</v>
      </c>
      <c r="M14" s="716">
        <v>0</v>
      </c>
      <c r="N14" s="716">
        <v>0</v>
      </c>
      <c r="O14" s="716">
        <v>0</v>
      </c>
      <c r="P14" s="716">
        <v>0</v>
      </c>
      <c r="Q14" s="243">
        <f t="shared" si="14"/>
        <v>0</v>
      </c>
      <c r="R14" s="243"/>
      <c r="S14" s="243"/>
      <c r="T14" s="243"/>
      <c r="U14" s="243"/>
      <c r="V14" s="243"/>
      <c r="W14" s="243"/>
      <c r="X14" s="243"/>
      <c r="Y14" s="243"/>
      <c r="Z14" s="243">
        <f t="shared" si="15"/>
        <v>0</v>
      </c>
    </row>
    <row r="15" spans="1:26" s="27" customFormat="1" x14ac:dyDescent="0.25">
      <c r="A15" s="808">
        <v>5</v>
      </c>
      <c r="B15" s="71" t="s">
        <v>60</v>
      </c>
      <c r="C15" s="31" t="s">
        <v>61</v>
      </c>
      <c r="D15" s="716">
        <v>475</v>
      </c>
      <c r="E15" s="716">
        <v>13</v>
      </c>
      <c r="F15" s="716">
        <v>69</v>
      </c>
      <c r="G15" s="716">
        <f t="shared" si="12"/>
        <v>0</v>
      </c>
      <c r="H15" s="716">
        <v>0</v>
      </c>
      <c r="I15" s="716">
        <v>0</v>
      </c>
      <c r="J15" s="716">
        <v>0</v>
      </c>
      <c r="K15" s="716">
        <f t="shared" si="13"/>
        <v>557</v>
      </c>
      <c r="L15" s="716">
        <v>0</v>
      </c>
      <c r="M15" s="716">
        <v>0</v>
      </c>
      <c r="N15" s="716">
        <v>0</v>
      </c>
      <c r="O15" s="716">
        <v>0</v>
      </c>
      <c r="P15" s="716">
        <v>0</v>
      </c>
      <c r="Q15" s="243">
        <f t="shared" si="14"/>
        <v>0</v>
      </c>
      <c r="R15" s="243"/>
      <c r="S15" s="243"/>
      <c r="T15" s="243"/>
      <c r="U15" s="243"/>
      <c r="V15" s="243"/>
      <c r="W15" s="243"/>
      <c r="X15" s="243"/>
      <c r="Y15" s="243"/>
      <c r="Z15" s="243">
        <f t="shared" si="15"/>
        <v>0</v>
      </c>
    </row>
    <row r="16" spans="1:26" s="245" customFormat="1" x14ac:dyDescent="0.25">
      <c r="A16" s="808">
        <v>6</v>
      </c>
      <c r="B16" s="807" t="s">
        <v>18</v>
      </c>
      <c r="C16" s="31" t="s">
        <v>19</v>
      </c>
      <c r="D16" s="716">
        <v>3393</v>
      </c>
      <c r="E16" s="716">
        <v>93</v>
      </c>
      <c r="F16" s="716">
        <v>495</v>
      </c>
      <c r="G16" s="716">
        <f t="shared" si="12"/>
        <v>598</v>
      </c>
      <c r="H16" s="716">
        <v>450</v>
      </c>
      <c r="I16" s="716">
        <v>58</v>
      </c>
      <c r="J16" s="716">
        <v>90</v>
      </c>
      <c r="K16" s="716">
        <f t="shared" si="13"/>
        <v>4579</v>
      </c>
      <c r="L16" s="716">
        <v>110</v>
      </c>
      <c r="M16" s="716">
        <v>871</v>
      </c>
      <c r="N16" s="716">
        <v>2668</v>
      </c>
      <c r="O16" s="716">
        <v>1807</v>
      </c>
      <c r="P16" s="716">
        <v>0</v>
      </c>
      <c r="Q16" s="243">
        <f t="shared" si="14"/>
        <v>5456</v>
      </c>
      <c r="R16" s="243"/>
      <c r="S16" s="243"/>
      <c r="T16" s="243"/>
      <c r="U16" s="243"/>
      <c r="V16" s="243"/>
      <c r="W16" s="243"/>
      <c r="X16" s="243"/>
      <c r="Y16" s="243"/>
      <c r="Z16" s="243">
        <f t="shared" si="15"/>
        <v>0</v>
      </c>
    </row>
    <row r="17" spans="1:26" s="27" customFormat="1" x14ac:dyDescent="0.25">
      <c r="A17" s="808">
        <v>7</v>
      </c>
      <c r="B17" s="71" t="s">
        <v>62</v>
      </c>
      <c r="C17" s="31" t="s">
        <v>63</v>
      </c>
      <c r="D17" s="716">
        <v>1246</v>
      </c>
      <c r="E17" s="716">
        <v>34</v>
      </c>
      <c r="F17" s="716">
        <v>181</v>
      </c>
      <c r="G17" s="716">
        <f t="shared" si="12"/>
        <v>155</v>
      </c>
      <c r="H17" s="716">
        <v>142</v>
      </c>
      <c r="I17" s="716">
        <v>3</v>
      </c>
      <c r="J17" s="716">
        <v>10</v>
      </c>
      <c r="K17" s="716">
        <f t="shared" si="13"/>
        <v>1616</v>
      </c>
      <c r="L17" s="716">
        <v>0</v>
      </c>
      <c r="M17" s="716">
        <v>0</v>
      </c>
      <c r="N17" s="716">
        <v>0</v>
      </c>
      <c r="O17" s="716">
        <v>0</v>
      </c>
      <c r="P17" s="716">
        <v>0</v>
      </c>
      <c r="Q17" s="243">
        <f t="shared" si="14"/>
        <v>0</v>
      </c>
      <c r="R17" s="243"/>
      <c r="S17" s="243"/>
      <c r="T17" s="243"/>
      <c r="U17" s="243"/>
      <c r="V17" s="243"/>
      <c r="W17" s="243"/>
      <c r="X17" s="243"/>
      <c r="Y17" s="243"/>
      <c r="Z17" s="243">
        <f t="shared" si="15"/>
        <v>0</v>
      </c>
    </row>
    <row r="18" spans="1:26" s="27" customFormat="1" x14ac:dyDescent="0.25">
      <c r="A18" s="808">
        <v>8</v>
      </c>
      <c r="B18" s="807" t="s">
        <v>64</v>
      </c>
      <c r="C18" s="31" t="s">
        <v>65</v>
      </c>
      <c r="D18" s="716">
        <v>503</v>
      </c>
      <c r="E18" s="716">
        <v>0</v>
      </c>
      <c r="F18" s="716">
        <v>73</v>
      </c>
      <c r="G18" s="716">
        <f t="shared" si="12"/>
        <v>0</v>
      </c>
      <c r="H18" s="716">
        <v>0</v>
      </c>
      <c r="I18" s="716">
        <v>0</v>
      </c>
      <c r="J18" s="716">
        <v>0</v>
      </c>
      <c r="K18" s="716">
        <f t="shared" si="13"/>
        <v>576</v>
      </c>
      <c r="L18" s="716">
        <v>0</v>
      </c>
      <c r="M18" s="716">
        <v>0</v>
      </c>
      <c r="N18" s="716">
        <v>0</v>
      </c>
      <c r="O18" s="716">
        <v>0</v>
      </c>
      <c r="P18" s="716">
        <v>0</v>
      </c>
      <c r="Q18" s="243">
        <f t="shared" si="14"/>
        <v>0</v>
      </c>
      <c r="R18" s="243"/>
      <c r="S18" s="243"/>
      <c r="T18" s="243"/>
      <c r="U18" s="243"/>
      <c r="V18" s="243"/>
      <c r="W18" s="243"/>
      <c r="X18" s="243"/>
      <c r="Y18" s="243"/>
      <c r="Z18" s="243">
        <f t="shared" si="15"/>
        <v>0</v>
      </c>
    </row>
    <row r="19" spans="1:26" s="245" customFormat="1" x14ac:dyDescent="0.25">
      <c r="A19" s="808">
        <v>9</v>
      </c>
      <c r="B19" s="807" t="s">
        <v>66</v>
      </c>
      <c r="C19" s="31" t="s">
        <v>67</v>
      </c>
      <c r="D19" s="716">
        <v>450</v>
      </c>
      <c r="E19" s="716">
        <v>0</v>
      </c>
      <c r="F19" s="716">
        <v>66</v>
      </c>
      <c r="G19" s="716">
        <f t="shared" si="12"/>
        <v>0</v>
      </c>
      <c r="H19" s="716">
        <v>0</v>
      </c>
      <c r="I19" s="716">
        <v>0</v>
      </c>
      <c r="J19" s="716">
        <v>0</v>
      </c>
      <c r="K19" s="716">
        <f t="shared" si="13"/>
        <v>516</v>
      </c>
      <c r="L19" s="716">
        <v>0</v>
      </c>
      <c r="M19" s="716">
        <v>0</v>
      </c>
      <c r="N19" s="716">
        <v>0</v>
      </c>
      <c r="O19" s="716">
        <v>0</v>
      </c>
      <c r="P19" s="716">
        <v>0</v>
      </c>
      <c r="Q19" s="243">
        <f t="shared" si="14"/>
        <v>0</v>
      </c>
      <c r="R19" s="243"/>
      <c r="S19" s="243"/>
      <c r="T19" s="243"/>
      <c r="U19" s="243"/>
      <c r="V19" s="243"/>
      <c r="W19" s="243"/>
      <c r="X19" s="243"/>
      <c r="Y19" s="243"/>
      <c r="Z19" s="243">
        <f t="shared" si="15"/>
        <v>0</v>
      </c>
    </row>
    <row r="20" spans="1:26" s="27" customFormat="1" x14ac:dyDescent="0.25">
      <c r="A20" s="808">
        <v>10</v>
      </c>
      <c r="B20" s="807" t="s">
        <v>68</v>
      </c>
      <c r="C20" s="31" t="s">
        <v>69</v>
      </c>
      <c r="D20" s="716">
        <v>630</v>
      </c>
      <c r="E20" s="716">
        <v>0</v>
      </c>
      <c r="F20" s="716">
        <v>92</v>
      </c>
      <c r="G20" s="716">
        <f t="shared" si="12"/>
        <v>0</v>
      </c>
      <c r="H20" s="716">
        <v>0</v>
      </c>
      <c r="I20" s="716">
        <v>0</v>
      </c>
      <c r="J20" s="716">
        <v>0</v>
      </c>
      <c r="K20" s="716">
        <f t="shared" si="13"/>
        <v>722</v>
      </c>
      <c r="L20" s="716">
        <v>0</v>
      </c>
      <c r="M20" s="716">
        <v>0</v>
      </c>
      <c r="N20" s="716">
        <v>0</v>
      </c>
      <c r="O20" s="716">
        <v>0</v>
      </c>
      <c r="P20" s="716">
        <v>0</v>
      </c>
      <c r="Q20" s="243">
        <f t="shared" si="14"/>
        <v>0</v>
      </c>
      <c r="R20" s="243"/>
      <c r="S20" s="243"/>
      <c r="T20" s="243"/>
      <c r="U20" s="243"/>
      <c r="V20" s="243"/>
      <c r="W20" s="243"/>
      <c r="X20" s="243"/>
      <c r="Y20" s="243"/>
      <c r="Z20" s="243">
        <f t="shared" si="15"/>
        <v>0</v>
      </c>
    </row>
    <row r="21" spans="1:26" s="27" customFormat="1" x14ac:dyDescent="0.25">
      <c r="A21" s="808">
        <v>11</v>
      </c>
      <c r="B21" s="807" t="s">
        <v>70</v>
      </c>
      <c r="C21" s="31" t="s">
        <v>71</v>
      </c>
      <c r="D21" s="716">
        <v>448</v>
      </c>
      <c r="E21" s="716">
        <v>0</v>
      </c>
      <c r="F21" s="716">
        <v>65</v>
      </c>
      <c r="G21" s="716">
        <f t="shared" si="12"/>
        <v>0</v>
      </c>
      <c r="H21" s="716">
        <v>0</v>
      </c>
      <c r="I21" s="716">
        <v>0</v>
      </c>
      <c r="J21" s="716">
        <v>0</v>
      </c>
      <c r="K21" s="716">
        <f t="shared" si="13"/>
        <v>513</v>
      </c>
      <c r="L21" s="716">
        <v>0</v>
      </c>
      <c r="M21" s="716">
        <v>0</v>
      </c>
      <c r="N21" s="716">
        <v>0</v>
      </c>
      <c r="O21" s="716">
        <v>0</v>
      </c>
      <c r="P21" s="716">
        <v>0</v>
      </c>
      <c r="Q21" s="243">
        <f t="shared" si="14"/>
        <v>0</v>
      </c>
      <c r="R21" s="243"/>
      <c r="S21" s="243"/>
      <c r="T21" s="243"/>
      <c r="U21" s="243"/>
      <c r="V21" s="243"/>
      <c r="W21" s="243"/>
      <c r="X21" s="243"/>
      <c r="Y21" s="243"/>
      <c r="Z21" s="243">
        <f t="shared" si="15"/>
        <v>0</v>
      </c>
    </row>
    <row r="22" spans="1:26" s="27" customFormat="1" x14ac:dyDescent="0.25">
      <c r="A22" s="808">
        <v>12</v>
      </c>
      <c r="B22" s="807" t="s">
        <v>72</v>
      </c>
      <c r="C22" s="31" t="s">
        <v>73</v>
      </c>
      <c r="D22" s="716">
        <v>928</v>
      </c>
      <c r="E22" s="716">
        <v>0</v>
      </c>
      <c r="F22" s="716">
        <v>135</v>
      </c>
      <c r="G22" s="716">
        <f t="shared" si="12"/>
        <v>133</v>
      </c>
      <c r="H22" s="716">
        <v>106</v>
      </c>
      <c r="I22" s="716">
        <v>5</v>
      </c>
      <c r="J22" s="716">
        <v>22</v>
      </c>
      <c r="K22" s="716">
        <f t="shared" si="13"/>
        <v>1196</v>
      </c>
      <c r="L22" s="716">
        <v>0</v>
      </c>
      <c r="M22" s="716">
        <v>0</v>
      </c>
      <c r="N22" s="716">
        <v>0</v>
      </c>
      <c r="O22" s="716">
        <v>0</v>
      </c>
      <c r="P22" s="716">
        <v>0</v>
      </c>
      <c r="Q22" s="243">
        <f t="shared" si="14"/>
        <v>0</v>
      </c>
      <c r="R22" s="243"/>
      <c r="S22" s="243"/>
      <c r="T22" s="243"/>
      <c r="U22" s="243"/>
      <c r="V22" s="243"/>
      <c r="W22" s="243"/>
      <c r="X22" s="243"/>
      <c r="Y22" s="243"/>
      <c r="Z22" s="243">
        <f t="shared" si="15"/>
        <v>0</v>
      </c>
    </row>
    <row r="23" spans="1:26" s="27" customFormat="1" x14ac:dyDescent="0.25">
      <c r="A23" s="808">
        <v>13</v>
      </c>
      <c r="B23" s="807" t="s">
        <v>74</v>
      </c>
      <c r="C23" s="31" t="s">
        <v>75</v>
      </c>
      <c r="D23" s="716">
        <v>0</v>
      </c>
      <c r="E23" s="716">
        <v>0</v>
      </c>
      <c r="F23" s="716">
        <v>0</v>
      </c>
      <c r="G23" s="716">
        <f t="shared" si="12"/>
        <v>0</v>
      </c>
      <c r="H23" s="716">
        <v>0</v>
      </c>
      <c r="I23" s="716">
        <v>0</v>
      </c>
      <c r="J23" s="716">
        <v>0</v>
      </c>
      <c r="K23" s="716">
        <f t="shared" si="13"/>
        <v>0</v>
      </c>
      <c r="L23" s="716">
        <v>0</v>
      </c>
      <c r="M23" s="716">
        <v>0</v>
      </c>
      <c r="N23" s="716">
        <v>0</v>
      </c>
      <c r="O23" s="716">
        <v>0</v>
      </c>
      <c r="P23" s="716">
        <v>0</v>
      </c>
      <c r="Q23" s="243">
        <f t="shared" si="14"/>
        <v>0</v>
      </c>
      <c r="R23" s="243"/>
      <c r="S23" s="243"/>
      <c r="T23" s="243"/>
      <c r="U23" s="243"/>
      <c r="V23" s="243"/>
      <c r="W23" s="243"/>
      <c r="X23" s="243"/>
      <c r="Y23" s="243"/>
      <c r="Z23" s="243">
        <f t="shared" si="15"/>
        <v>0</v>
      </c>
    </row>
    <row r="24" spans="1:26" s="27" customFormat="1" x14ac:dyDescent="0.25">
      <c r="A24" s="808">
        <v>14</v>
      </c>
      <c r="B24" s="807" t="s">
        <v>76</v>
      </c>
      <c r="C24" s="31" t="s">
        <v>77</v>
      </c>
      <c r="D24" s="716">
        <v>576</v>
      </c>
      <c r="E24" s="716">
        <v>10</v>
      </c>
      <c r="F24" s="716">
        <v>84</v>
      </c>
      <c r="G24" s="716">
        <f t="shared" si="12"/>
        <v>43</v>
      </c>
      <c r="H24" s="716">
        <v>43</v>
      </c>
      <c r="I24" s="716">
        <v>0</v>
      </c>
      <c r="J24" s="716">
        <v>0</v>
      </c>
      <c r="K24" s="716">
        <f t="shared" si="13"/>
        <v>713</v>
      </c>
      <c r="L24" s="716">
        <v>0</v>
      </c>
      <c r="M24" s="716">
        <v>0</v>
      </c>
      <c r="N24" s="716">
        <v>0</v>
      </c>
      <c r="O24" s="716">
        <v>0</v>
      </c>
      <c r="P24" s="716">
        <v>0</v>
      </c>
      <c r="Q24" s="243">
        <f t="shared" si="14"/>
        <v>0</v>
      </c>
      <c r="R24" s="243"/>
      <c r="S24" s="243"/>
      <c r="T24" s="243"/>
      <c r="U24" s="243"/>
      <c r="V24" s="243"/>
      <c r="W24" s="243"/>
      <c r="X24" s="243"/>
      <c r="Y24" s="243"/>
      <c r="Z24" s="243">
        <f t="shared" si="15"/>
        <v>0</v>
      </c>
    </row>
    <row r="25" spans="1:26" s="27" customFormat="1" x14ac:dyDescent="0.25">
      <c r="A25" s="808">
        <v>15</v>
      </c>
      <c r="B25" s="807" t="s">
        <v>78</v>
      </c>
      <c r="C25" s="31" t="s">
        <v>79</v>
      </c>
      <c r="D25" s="716">
        <v>831</v>
      </c>
      <c r="E25" s="716">
        <v>0</v>
      </c>
      <c r="F25" s="716">
        <v>121</v>
      </c>
      <c r="G25" s="716">
        <f t="shared" si="12"/>
        <v>0</v>
      </c>
      <c r="H25" s="716">
        <v>0</v>
      </c>
      <c r="I25" s="716">
        <v>0</v>
      </c>
      <c r="J25" s="716">
        <v>0</v>
      </c>
      <c r="K25" s="716">
        <f t="shared" si="13"/>
        <v>952</v>
      </c>
      <c r="L25" s="716">
        <v>0</v>
      </c>
      <c r="M25" s="716">
        <v>0</v>
      </c>
      <c r="N25" s="716">
        <v>0</v>
      </c>
      <c r="O25" s="716">
        <v>0</v>
      </c>
      <c r="P25" s="716">
        <v>0</v>
      </c>
      <c r="Q25" s="243">
        <f t="shared" si="14"/>
        <v>0</v>
      </c>
      <c r="R25" s="243"/>
      <c r="S25" s="243"/>
      <c r="T25" s="243"/>
      <c r="U25" s="243"/>
      <c r="V25" s="243"/>
      <c r="W25" s="243"/>
      <c r="X25" s="243"/>
      <c r="Y25" s="243"/>
      <c r="Z25" s="243">
        <f t="shared" si="15"/>
        <v>0</v>
      </c>
    </row>
    <row r="26" spans="1:26" s="27" customFormat="1" x14ac:dyDescent="0.25">
      <c r="A26" s="808">
        <v>16</v>
      </c>
      <c r="B26" s="807" t="s">
        <v>80</v>
      </c>
      <c r="C26" s="31" t="s">
        <v>81</v>
      </c>
      <c r="D26" s="716">
        <v>1087</v>
      </c>
      <c r="E26" s="716">
        <v>30</v>
      </c>
      <c r="F26" s="716">
        <v>158</v>
      </c>
      <c r="G26" s="716">
        <f t="shared" si="12"/>
        <v>122</v>
      </c>
      <c r="H26" s="716">
        <v>117</v>
      </c>
      <c r="I26" s="716">
        <v>5</v>
      </c>
      <c r="J26" s="716">
        <v>0</v>
      </c>
      <c r="K26" s="716">
        <f t="shared" si="13"/>
        <v>1397</v>
      </c>
      <c r="L26" s="716">
        <v>0</v>
      </c>
      <c r="M26" s="716">
        <v>0</v>
      </c>
      <c r="N26" s="716">
        <v>0</v>
      </c>
      <c r="O26" s="716">
        <v>0</v>
      </c>
      <c r="P26" s="716">
        <v>0</v>
      </c>
      <c r="Q26" s="243">
        <f t="shared" si="14"/>
        <v>0</v>
      </c>
      <c r="R26" s="243"/>
      <c r="S26" s="243"/>
      <c r="T26" s="243"/>
      <c r="U26" s="243"/>
      <c r="V26" s="243"/>
      <c r="W26" s="243"/>
      <c r="X26" s="243"/>
      <c r="Y26" s="243"/>
      <c r="Z26" s="243">
        <f t="shared" si="15"/>
        <v>0</v>
      </c>
    </row>
    <row r="27" spans="1:26" s="27" customFormat="1" x14ac:dyDescent="0.25">
      <c r="A27" s="808">
        <v>17</v>
      </c>
      <c r="B27" s="807" t="s">
        <v>20</v>
      </c>
      <c r="C27" s="31" t="s">
        <v>21</v>
      </c>
      <c r="D27" s="716">
        <v>2256</v>
      </c>
      <c r="E27" s="716">
        <v>89</v>
      </c>
      <c r="F27" s="716">
        <v>351</v>
      </c>
      <c r="G27" s="716">
        <f t="shared" si="12"/>
        <v>391</v>
      </c>
      <c r="H27" s="716">
        <v>302</v>
      </c>
      <c r="I27" s="716">
        <v>40</v>
      </c>
      <c r="J27" s="716">
        <v>49</v>
      </c>
      <c r="K27" s="716">
        <f t="shared" si="13"/>
        <v>3087</v>
      </c>
      <c r="L27" s="716">
        <v>41</v>
      </c>
      <c r="M27" s="716">
        <v>595</v>
      </c>
      <c r="N27" s="716">
        <v>2909</v>
      </c>
      <c r="O27" s="716">
        <v>2023</v>
      </c>
      <c r="P27" s="716">
        <v>0</v>
      </c>
      <c r="Q27" s="243">
        <f t="shared" si="14"/>
        <v>5568</v>
      </c>
      <c r="R27" s="243"/>
      <c r="S27" s="243"/>
      <c r="T27" s="243"/>
      <c r="U27" s="243"/>
      <c r="V27" s="243"/>
      <c r="W27" s="243"/>
      <c r="X27" s="243"/>
      <c r="Y27" s="243"/>
      <c r="Z27" s="243">
        <f t="shared" si="15"/>
        <v>0</v>
      </c>
    </row>
    <row r="28" spans="1:26" s="27" customFormat="1" x14ac:dyDescent="0.25">
      <c r="A28" s="808">
        <v>18</v>
      </c>
      <c r="B28" s="71" t="s">
        <v>82</v>
      </c>
      <c r="C28" s="31" t="s">
        <v>83</v>
      </c>
      <c r="D28" s="716">
        <v>338</v>
      </c>
      <c r="E28" s="716">
        <v>0</v>
      </c>
      <c r="F28" s="716">
        <v>0</v>
      </c>
      <c r="G28" s="716">
        <f t="shared" si="12"/>
        <v>0</v>
      </c>
      <c r="H28" s="716">
        <v>0</v>
      </c>
      <c r="I28" s="716">
        <v>0</v>
      </c>
      <c r="J28" s="716">
        <v>0</v>
      </c>
      <c r="K28" s="716">
        <f t="shared" si="13"/>
        <v>338</v>
      </c>
      <c r="L28" s="716">
        <v>0</v>
      </c>
      <c r="M28" s="716">
        <v>0</v>
      </c>
      <c r="N28" s="716">
        <v>0</v>
      </c>
      <c r="O28" s="716">
        <v>0</v>
      </c>
      <c r="P28" s="716">
        <v>0</v>
      </c>
      <c r="Q28" s="243">
        <f t="shared" si="14"/>
        <v>0</v>
      </c>
      <c r="R28" s="243"/>
      <c r="S28" s="243"/>
      <c r="T28" s="243"/>
      <c r="U28" s="243"/>
      <c r="V28" s="243"/>
      <c r="W28" s="243"/>
      <c r="X28" s="243"/>
      <c r="Y28" s="243"/>
      <c r="Z28" s="243">
        <f t="shared" si="15"/>
        <v>0</v>
      </c>
    </row>
    <row r="29" spans="1:26" s="27" customFormat="1" x14ac:dyDescent="0.25">
      <c r="A29" s="808">
        <v>19</v>
      </c>
      <c r="B29" s="71" t="s">
        <v>84</v>
      </c>
      <c r="C29" s="31" t="s">
        <v>85</v>
      </c>
      <c r="D29" s="716">
        <v>286</v>
      </c>
      <c r="E29" s="716">
        <v>0</v>
      </c>
      <c r="F29" s="716">
        <v>42</v>
      </c>
      <c r="G29" s="716">
        <f t="shared" si="12"/>
        <v>40</v>
      </c>
      <c r="H29" s="716">
        <v>35</v>
      </c>
      <c r="I29" s="716">
        <v>0</v>
      </c>
      <c r="J29" s="716">
        <v>5</v>
      </c>
      <c r="K29" s="716">
        <f t="shared" si="13"/>
        <v>368</v>
      </c>
      <c r="L29" s="716">
        <v>0</v>
      </c>
      <c r="M29" s="716">
        <v>0</v>
      </c>
      <c r="N29" s="716">
        <v>0</v>
      </c>
      <c r="O29" s="716">
        <v>0</v>
      </c>
      <c r="P29" s="716">
        <v>0</v>
      </c>
      <c r="Q29" s="243">
        <f t="shared" si="14"/>
        <v>0</v>
      </c>
      <c r="R29" s="243"/>
      <c r="S29" s="243"/>
      <c r="T29" s="243"/>
      <c r="U29" s="243"/>
      <c r="V29" s="243"/>
      <c r="W29" s="243"/>
      <c r="X29" s="243"/>
      <c r="Y29" s="243"/>
      <c r="Z29" s="243">
        <f t="shared" si="15"/>
        <v>0</v>
      </c>
    </row>
    <row r="30" spans="1:26" s="245" customFormat="1" x14ac:dyDescent="0.25">
      <c r="A30" s="808">
        <v>20</v>
      </c>
      <c r="B30" s="71" t="s">
        <v>86</v>
      </c>
      <c r="C30" s="31" t="s">
        <v>87</v>
      </c>
      <c r="D30" s="716">
        <v>1610</v>
      </c>
      <c r="E30" s="716">
        <v>41</v>
      </c>
      <c r="F30" s="716">
        <v>215</v>
      </c>
      <c r="G30" s="716">
        <f t="shared" si="12"/>
        <v>184</v>
      </c>
      <c r="H30" s="716">
        <v>154</v>
      </c>
      <c r="I30" s="716">
        <v>0</v>
      </c>
      <c r="J30" s="716">
        <v>30</v>
      </c>
      <c r="K30" s="716">
        <f t="shared" si="13"/>
        <v>2050</v>
      </c>
      <c r="L30" s="716">
        <v>0</v>
      </c>
      <c r="M30" s="716">
        <v>0</v>
      </c>
      <c r="N30" s="716">
        <v>0</v>
      </c>
      <c r="O30" s="716">
        <v>0</v>
      </c>
      <c r="P30" s="716">
        <v>0</v>
      </c>
      <c r="Q30" s="243">
        <f t="shared" si="14"/>
        <v>0</v>
      </c>
      <c r="R30" s="243"/>
      <c r="S30" s="243"/>
      <c r="T30" s="243"/>
      <c r="U30" s="243"/>
      <c r="V30" s="243"/>
      <c r="W30" s="243"/>
      <c r="X30" s="243"/>
      <c r="Y30" s="243"/>
      <c r="Z30" s="243">
        <f t="shared" si="15"/>
        <v>0</v>
      </c>
    </row>
    <row r="31" spans="1:26" s="27" customFormat="1" x14ac:dyDescent="0.25">
      <c r="A31" s="808">
        <v>21</v>
      </c>
      <c r="B31" s="71" t="s">
        <v>22</v>
      </c>
      <c r="C31" s="31" t="s">
        <v>23</v>
      </c>
      <c r="D31" s="716">
        <v>1391</v>
      </c>
      <c r="E31" s="716">
        <v>42</v>
      </c>
      <c r="F31" s="716">
        <v>181</v>
      </c>
      <c r="G31" s="716">
        <f t="shared" si="12"/>
        <v>160</v>
      </c>
      <c r="H31" s="716">
        <v>155</v>
      </c>
      <c r="I31" s="716">
        <v>0</v>
      </c>
      <c r="J31" s="716">
        <v>5</v>
      </c>
      <c r="K31" s="716">
        <f t="shared" si="13"/>
        <v>1774</v>
      </c>
      <c r="L31" s="716">
        <v>0</v>
      </c>
      <c r="M31" s="716">
        <v>0</v>
      </c>
      <c r="N31" s="716">
        <v>0</v>
      </c>
      <c r="O31" s="716">
        <v>0</v>
      </c>
      <c r="P31" s="716">
        <v>0</v>
      </c>
      <c r="Q31" s="243">
        <f t="shared" si="14"/>
        <v>0</v>
      </c>
      <c r="R31" s="243"/>
      <c r="S31" s="243"/>
      <c r="T31" s="243"/>
      <c r="U31" s="243"/>
      <c r="V31" s="243"/>
      <c r="W31" s="243"/>
      <c r="X31" s="243"/>
      <c r="Y31" s="243"/>
      <c r="Z31" s="243">
        <f t="shared" si="15"/>
        <v>0</v>
      </c>
    </row>
    <row r="32" spans="1:26" s="27" customFormat="1" x14ac:dyDescent="0.25">
      <c r="A32" s="808">
        <v>22</v>
      </c>
      <c r="B32" s="807" t="s">
        <v>24</v>
      </c>
      <c r="C32" s="31" t="s">
        <v>25</v>
      </c>
      <c r="D32" s="716">
        <v>307</v>
      </c>
      <c r="E32" s="716">
        <v>0</v>
      </c>
      <c r="F32" s="716">
        <v>45</v>
      </c>
      <c r="G32" s="716">
        <f t="shared" si="12"/>
        <v>0</v>
      </c>
      <c r="H32" s="716">
        <v>0</v>
      </c>
      <c r="I32" s="716">
        <v>0</v>
      </c>
      <c r="J32" s="716">
        <v>0</v>
      </c>
      <c r="K32" s="716">
        <f t="shared" si="13"/>
        <v>352</v>
      </c>
      <c r="L32" s="716">
        <v>0</v>
      </c>
      <c r="M32" s="716">
        <v>0</v>
      </c>
      <c r="N32" s="716">
        <v>0</v>
      </c>
      <c r="O32" s="716">
        <v>0</v>
      </c>
      <c r="P32" s="716">
        <v>0</v>
      </c>
      <c r="Q32" s="243">
        <f t="shared" si="14"/>
        <v>0</v>
      </c>
      <c r="R32" s="243"/>
      <c r="S32" s="243"/>
      <c r="T32" s="243"/>
      <c r="U32" s="243"/>
      <c r="V32" s="243"/>
      <c r="W32" s="243"/>
      <c r="X32" s="243"/>
      <c r="Y32" s="243"/>
      <c r="Z32" s="243">
        <f t="shared" si="15"/>
        <v>0</v>
      </c>
    </row>
    <row r="33" spans="1:26" x14ac:dyDescent="0.25">
      <c r="A33" s="808">
        <v>23</v>
      </c>
      <c r="B33" s="807" t="s">
        <v>88</v>
      </c>
      <c r="C33" s="31" t="s">
        <v>89</v>
      </c>
      <c r="D33" s="716">
        <v>0</v>
      </c>
      <c r="E33" s="716">
        <v>0</v>
      </c>
      <c r="F33" s="716">
        <v>0</v>
      </c>
      <c r="G33" s="716">
        <f t="shared" si="12"/>
        <v>0</v>
      </c>
      <c r="H33" s="716">
        <v>0</v>
      </c>
      <c r="I33" s="716">
        <v>0</v>
      </c>
      <c r="J33" s="716">
        <v>0</v>
      </c>
      <c r="K33" s="716">
        <f t="shared" si="13"/>
        <v>0</v>
      </c>
      <c r="L33" s="716">
        <v>0</v>
      </c>
      <c r="M33" s="716">
        <v>0</v>
      </c>
      <c r="N33" s="716">
        <v>0</v>
      </c>
      <c r="O33" s="716">
        <v>0</v>
      </c>
      <c r="P33" s="716">
        <v>0</v>
      </c>
      <c r="Q33" s="243">
        <f t="shared" si="14"/>
        <v>0</v>
      </c>
      <c r="R33" s="243"/>
      <c r="S33" s="243"/>
      <c r="T33" s="243"/>
      <c r="U33" s="243"/>
      <c r="V33" s="243"/>
      <c r="W33" s="243"/>
      <c r="X33" s="243"/>
      <c r="Y33" s="243"/>
      <c r="Z33" s="243">
        <f t="shared" si="15"/>
        <v>0</v>
      </c>
    </row>
    <row r="34" spans="1:26" s="245" customFormat="1" ht="12.75" customHeight="1" x14ac:dyDescent="0.25">
      <c r="A34" s="808">
        <v>24</v>
      </c>
      <c r="B34" s="807" t="s">
        <v>90</v>
      </c>
      <c r="C34" s="31" t="s">
        <v>91</v>
      </c>
      <c r="D34" s="716">
        <v>0</v>
      </c>
      <c r="E34" s="716">
        <v>0</v>
      </c>
      <c r="F34" s="716">
        <v>0</v>
      </c>
      <c r="G34" s="716">
        <f t="shared" si="12"/>
        <v>0</v>
      </c>
      <c r="H34" s="716">
        <v>0</v>
      </c>
      <c r="I34" s="716">
        <v>0</v>
      </c>
      <c r="J34" s="716">
        <v>0</v>
      </c>
      <c r="K34" s="716">
        <f t="shared" si="13"/>
        <v>0</v>
      </c>
      <c r="L34" s="716">
        <v>0</v>
      </c>
      <c r="M34" s="716">
        <v>0</v>
      </c>
      <c r="N34" s="716">
        <v>0</v>
      </c>
      <c r="O34" s="716">
        <v>0</v>
      </c>
      <c r="P34" s="716">
        <v>0</v>
      </c>
      <c r="Q34" s="243">
        <f t="shared" si="14"/>
        <v>0</v>
      </c>
      <c r="R34" s="243"/>
      <c r="S34" s="243"/>
      <c r="T34" s="243"/>
      <c r="U34" s="243"/>
      <c r="V34" s="243"/>
      <c r="W34" s="243"/>
      <c r="X34" s="243"/>
      <c r="Y34" s="243"/>
      <c r="Z34" s="243">
        <f t="shared" si="15"/>
        <v>0</v>
      </c>
    </row>
    <row r="35" spans="1:26" s="245" customFormat="1" x14ac:dyDescent="0.25">
      <c r="A35" s="808">
        <v>25</v>
      </c>
      <c r="B35" s="71" t="s">
        <v>92</v>
      </c>
      <c r="C35" s="31" t="s">
        <v>93</v>
      </c>
      <c r="D35" s="716">
        <v>7795</v>
      </c>
      <c r="E35" s="716">
        <v>208</v>
      </c>
      <c r="F35" s="716">
        <v>832</v>
      </c>
      <c r="G35" s="716">
        <f t="shared" si="12"/>
        <v>985</v>
      </c>
      <c r="H35" s="716">
        <v>849</v>
      </c>
      <c r="I35" s="716">
        <v>7</v>
      </c>
      <c r="J35" s="716">
        <v>129</v>
      </c>
      <c r="K35" s="716">
        <f t="shared" si="13"/>
        <v>9820</v>
      </c>
      <c r="L35" s="716">
        <v>479</v>
      </c>
      <c r="M35" s="716">
        <v>1907</v>
      </c>
      <c r="N35" s="716">
        <v>3126</v>
      </c>
      <c r="O35" s="716">
        <v>1564</v>
      </c>
      <c r="P35" s="716">
        <v>95</v>
      </c>
      <c r="Q35" s="243">
        <f t="shared" si="14"/>
        <v>7171</v>
      </c>
      <c r="R35" s="243"/>
      <c r="S35" s="243"/>
      <c r="T35" s="243"/>
      <c r="U35" s="243"/>
      <c r="V35" s="243"/>
      <c r="W35" s="243"/>
      <c r="X35" s="243"/>
      <c r="Y35" s="243"/>
      <c r="Z35" s="243">
        <f t="shared" si="15"/>
        <v>0</v>
      </c>
    </row>
    <row r="36" spans="1:26" s="27" customFormat="1" x14ac:dyDescent="0.25">
      <c r="A36" s="808">
        <v>26</v>
      </c>
      <c r="B36" s="807" t="s">
        <v>94</v>
      </c>
      <c r="C36" s="31" t="s">
        <v>95</v>
      </c>
      <c r="D36" s="716">
        <v>0</v>
      </c>
      <c r="E36" s="716">
        <v>0</v>
      </c>
      <c r="F36" s="716">
        <v>0</v>
      </c>
      <c r="G36" s="716">
        <f t="shared" si="12"/>
        <v>0</v>
      </c>
      <c r="H36" s="716">
        <v>0</v>
      </c>
      <c r="I36" s="716">
        <v>0</v>
      </c>
      <c r="J36" s="716">
        <v>0</v>
      </c>
      <c r="K36" s="716">
        <f t="shared" si="13"/>
        <v>0</v>
      </c>
      <c r="L36" s="716">
        <v>0</v>
      </c>
      <c r="M36" s="716">
        <v>0</v>
      </c>
      <c r="N36" s="716">
        <v>0</v>
      </c>
      <c r="O36" s="716">
        <v>0</v>
      </c>
      <c r="P36" s="716">
        <v>0</v>
      </c>
      <c r="Q36" s="243">
        <f t="shared" si="14"/>
        <v>0</v>
      </c>
      <c r="R36" s="243"/>
      <c r="S36" s="243"/>
      <c r="T36" s="243"/>
      <c r="U36" s="243"/>
      <c r="V36" s="243"/>
      <c r="W36" s="243"/>
      <c r="X36" s="243"/>
      <c r="Y36" s="243"/>
      <c r="Z36" s="243">
        <f t="shared" si="15"/>
        <v>0</v>
      </c>
    </row>
    <row r="37" spans="1:26" s="27" customFormat="1" x14ac:dyDescent="0.25">
      <c r="A37" s="808">
        <v>27</v>
      </c>
      <c r="B37" s="72" t="s">
        <v>96</v>
      </c>
      <c r="C37" s="31" t="s">
        <v>97</v>
      </c>
      <c r="D37" s="716">
        <v>0</v>
      </c>
      <c r="E37" s="716">
        <v>0</v>
      </c>
      <c r="F37" s="716">
        <v>0</v>
      </c>
      <c r="G37" s="716">
        <f t="shared" si="12"/>
        <v>0</v>
      </c>
      <c r="H37" s="716">
        <v>0</v>
      </c>
      <c r="I37" s="716">
        <v>0</v>
      </c>
      <c r="J37" s="716">
        <v>0</v>
      </c>
      <c r="K37" s="716">
        <f t="shared" si="13"/>
        <v>0</v>
      </c>
      <c r="L37" s="716">
        <v>0</v>
      </c>
      <c r="M37" s="716">
        <v>0</v>
      </c>
      <c r="N37" s="716">
        <v>0</v>
      </c>
      <c r="O37" s="716">
        <v>0</v>
      </c>
      <c r="P37" s="716">
        <v>0</v>
      </c>
      <c r="Q37" s="243">
        <f t="shared" si="14"/>
        <v>0</v>
      </c>
      <c r="R37" s="243"/>
      <c r="S37" s="243"/>
      <c r="T37" s="243"/>
      <c r="U37" s="243"/>
      <c r="V37" s="243"/>
      <c r="W37" s="243"/>
      <c r="X37" s="243"/>
      <c r="Y37" s="243"/>
      <c r="Z37" s="243">
        <f t="shared" si="15"/>
        <v>0</v>
      </c>
    </row>
    <row r="38" spans="1:26" s="27" customFormat="1" x14ac:dyDescent="0.25">
      <c r="A38" s="808">
        <v>28</v>
      </c>
      <c r="B38" s="72" t="s">
        <v>26</v>
      </c>
      <c r="C38" s="31" t="s">
        <v>27</v>
      </c>
      <c r="D38" s="716">
        <v>1789</v>
      </c>
      <c r="E38" s="716">
        <v>58</v>
      </c>
      <c r="F38" s="716">
        <v>260</v>
      </c>
      <c r="G38" s="716">
        <f t="shared" si="12"/>
        <v>392</v>
      </c>
      <c r="H38" s="716">
        <v>347</v>
      </c>
      <c r="I38" s="716">
        <v>1</v>
      </c>
      <c r="J38" s="716">
        <v>44</v>
      </c>
      <c r="K38" s="716">
        <f t="shared" si="13"/>
        <v>2499</v>
      </c>
      <c r="L38" s="716">
        <v>9</v>
      </c>
      <c r="M38" s="716">
        <v>132</v>
      </c>
      <c r="N38" s="716">
        <v>1904</v>
      </c>
      <c r="O38" s="716">
        <v>1289</v>
      </c>
      <c r="P38" s="716">
        <v>0</v>
      </c>
      <c r="Q38" s="243">
        <f t="shared" si="14"/>
        <v>3334</v>
      </c>
      <c r="R38" s="243"/>
      <c r="S38" s="243"/>
      <c r="T38" s="243"/>
      <c r="U38" s="243"/>
      <c r="V38" s="243"/>
      <c r="W38" s="243"/>
      <c r="X38" s="243"/>
      <c r="Y38" s="243"/>
      <c r="Z38" s="243">
        <f t="shared" si="15"/>
        <v>0</v>
      </c>
    </row>
    <row r="39" spans="1:26" s="27" customFormat="1" x14ac:dyDescent="0.25">
      <c r="A39" s="808">
        <v>29</v>
      </c>
      <c r="B39" s="71" t="s">
        <v>98</v>
      </c>
      <c r="C39" s="31" t="s">
        <v>99</v>
      </c>
      <c r="D39" s="716">
        <v>3152</v>
      </c>
      <c r="E39" s="716">
        <v>72</v>
      </c>
      <c r="F39" s="716">
        <v>383</v>
      </c>
      <c r="G39" s="716">
        <f t="shared" si="12"/>
        <v>426</v>
      </c>
      <c r="H39" s="716">
        <v>336</v>
      </c>
      <c r="I39" s="716">
        <v>30</v>
      </c>
      <c r="J39" s="716">
        <v>60</v>
      </c>
      <c r="K39" s="716">
        <f t="shared" si="13"/>
        <v>4033</v>
      </c>
      <c r="L39" s="716">
        <v>66</v>
      </c>
      <c r="M39" s="716">
        <v>690</v>
      </c>
      <c r="N39" s="716">
        <v>1163</v>
      </c>
      <c r="O39" s="716">
        <v>786</v>
      </c>
      <c r="P39" s="716">
        <v>0</v>
      </c>
      <c r="Q39" s="243">
        <f t="shared" si="14"/>
        <v>2705</v>
      </c>
      <c r="R39" s="243"/>
      <c r="S39" s="243"/>
      <c r="T39" s="243"/>
      <c r="U39" s="243"/>
      <c r="V39" s="243"/>
      <c r="W39" s="243"/>
      <c r="X39" s="243"/>
      <c r="Y39" s="243"/>
      <c r="Z39" s="243">
        <f t="shared" si="15"/>
        <v>0</v>
      </c>
    </row>
    <row r="40" spans="1:26" s="27" customFormat="1" x14ac:dyDescent="0.25">
      <c r="A40" s="808">
        <v>30</v>
      </c>
      <c r="B40" s="72" t="s">
        <v>100</v>
      </c>
      <c r="C40" s="31" t="s">
        <v>101</v>
      </c>
      <c r="D40" s="716">
        <v>505</v>
      </c>
      <c r="E40" s="716">
        <v>0</v>
      </c>
      <c r="F40" s="716">
        <v>73</v>
      </c>
      <c r="G40" s="716">
        <f t="shared" si="12"/>
        <v>0</v>
      </c>
      <c r="H40" s="716">
        <v>0</v>
      </c>
      <c r="I40" s="716">
        <v>0</v>
      </c>
      <c r="J40" s="716">
        <v>0</v>
      </c>
      <c r="K40" s="716">
        <f t="shared" si="13"/>
        <v>578</v>
      </c>
      <c r="L40" s="716">
        <v>0</v>
      </c>
      <c r="M40" s="716">
        <v>0</v>
      </c>
      <c r="N40" s="716">
        <v>0</v>
      </c>
      <c r="O40" s="716">
        <v>0</v>
      </c>
      <c r="P40" s="716">
        <v>0</v>
      </c>
      <c r="Q40" s="243">
        <f t="shared" si="14"/>
        <v>0</v>
      </c>
      <c r="R40" s="243"/>
      <c r="S40" s="243"/>
      <c r="T40" s="243"/>
      <c r="U40" s="243"/>
      <c r="V40" s="243"/>
      <c r="W40" s="243"/>
      <c r="X40" s="243"/>
      <c r="Y40" s="243"/>
      <c r="Z40" s="243">
        <f t="shared" si="15"/>
        <v>0</v>
      </c>
    </row>
    <row r="41" spans="1:26" s="245" customFormat="1" x14ac:dyDescent="0.25">
      <c r="A41" s="808">
        <v>31</v>
      </c>
      <c r="B41" s="807" t="s">
        <v>102</v>
      </c>
      <c r="C41" s="31" t="s">
        <v>103</v>
      </c>
      <c r="D41" s="716">
        <v>1820</v>
      </c>
      <c r="E41" s="716">
        <v>50</v>
      </c>
      <c r="F41" s="716">
        <v>265</v>
      </c>
      <c r="G41" s="716">
        <f t="shared" si="12"/>
        <v>231</v>
      </c>
      <c r="H41" s="716">
        <v>201</v>
      </c>
      <c r="I41" s="716">
        <v>15</v>
      </c>
      <c r="J41" s="716">
        <v>15</v>
      </c>
      <c r="K41" s="716">
        <f t="shared" si="13"/>
        <v>2366</v>
      </c>
      <c r="L41" s="716">
        <v>0</v>
      </c>
      <c r="M41" s="716">
        <v>0</v>
      </c>
      <c r="N41" s="716">
        <v>0</v>
      </c>
      <c r="O41" s="716">
        <v>0</v>
      </c>
      <c r="P41" s="716">
        <v>0</v>
      </c>
      <c r="Q41" s="243">
        <f t="shared" si="14"/>
        <v>0</v>
      </c>
      <c r="R41" s="243"/>
      <c r="S41" s="243"/>
      <c r="T41" s="243"/>
      <c r="U41" s="243"/>
      <c r="V41" s="243"/>
      <c r="W41" s="243"/>
      <c r="X41" s="243"/>
      <c r="Y41" s="243"/>
      <c r="Z41" s="243">
        <f t="shared" si="15"/>
        <v>0</v>
      </c>
    </row>
    <row r="42" spans="1:26" x14ac:dyDescent="0.25">
      <c r="A42" s="808">
        <v>32</v>
      </c>
      <c r="B42" s="72" t="s">
        <v>104</v>
      </c>
      <c r="C42" s="31" t="s">
        <v>105</v>
      </c>
      <c r="D42" s="716">
        <v>669</v>
      </c>
      <c r="E42" s="716">
        <v>0</v>
      </c>
      <c r="F42" s="716">
        <v>97</v>
      </c>
      <c r="G42" s="716">
        <f t="shared" si="12"/>
        <v>82</v>
      </c>
      <c r="H42" s="716">
        <v>57</v>
      </c>
      <c r="I42" s="716">
        <v>1</v>
      </c>
      <c r="J42" s="716">
        <v>24</v>
      </c>
      <c r="K42" s="716">
        <f t="shared" si="13"/>
        <v>848</v>
      </c>
      <c r="L42" s="716">
        <v>0</v>
      </c>
      <c r="M42" s="716">
        <v>0</v>
      </c>
      <c r="N42" s="716">
        <v>0</v>
      </c>
      <c r="O42" s="716">
        <v>0</v>
      </c>
      <c r="P42" s="716">
        <v>0</v>
      </c>
      <c r="Q42" s="243">
        <f t="shared" si="14"/>
        <v>0</v>
      </c>
      <c r="R42" s="243"/>
      <c r="S42" s="243"/>
      <c r="T42" s="243"/>
      <c r="U42" s="243"/>
      <c r="V42" s="243"/>
      <c r="W42" s="243"/>
      <c r="X42" s="243"/>
      <c r="Y42" s="243"/>
      <c r="Z42" s="243">
        <f t="shared" si="15"/>
        <v>0</v>
      </c>
    </row>
    <row r="43" spans="1:26" s="27" customFormat="1" x14ac:dyDescent="0.25">
      <c r="A43" s="808">
        <v>33</v>
      </c>
      <c r="B43" s="71" t="s">
        <v>106</v>
      </c>
      <c r="C43" s="31" t="s">
        <v>107</v>
      </c>
      <c r="D43" s="716">
        <v>1831</v>
      </c>
      <c r="E43" s="716">
        <v>48</v>
      </c>
      <c r="F43" s="716">
        <v>255</v>
      </c>
      <c r="G43" s="716">
        <f t="shared" si="12"/>
        <v>199</v>
      </c>
      <c r="H43" s="716">
        <v>188</v>
      </c>
      <c r="I43" s="716">
        <v>0</v>
      </c>
      <c r="J43" s="716">
        <v>11</v>
      </c>
      <c r="K43" s="716">
        <f t="shared" si="13"/>
        <v>2333</v>
      </c>
      <c r="L43" s="716">
        <v>0</v>
      </c>
      <c r="M43" s="716">
        <v>0</v>
      </c>
      <c r="N43" s="716">
        <v>0</v>
      </c>
      <c r="O43" s="716">
        <v>0</v>
      </c>
      <c r="P43" s="716">
        <v>0</v>
      </c>
      <c r="Q43" s="243">
        <f t="shared" si="14"/>
        <v>0</v>
      </c>
      <c r="R43" s="243"/>
      <c r="S43" s="243"/>
      <c r="T43" s="243"/>
      <c r="U43" s="243"/>
      <c r="V43" s="243"/>
      <c r="W43" s="243"/>
      <c r="X43" s="243"/>
      <c r="Y43" s="243"/>
      <c r="Z43" s="243">
        <f t="shared" si="15"/>
        <v>0</v>
      </c>
    </row>
    <row r="44" spans="1:26" s="27" customFormat="1" x14ac:dyDescent="0.25">
      <c r="A44" s="808">
        <v>34</v>
      </c>
      <c r="B44" s="809" t="s">
        <v>108</v>
      </c>
      <c r="C44" s="810" t="s">
        <v>109</v>
      </c>
      <c r="D44" s="716">
        <v>599</v>
      </c>
      <c r="E44" s="716">
        <v>16</v>
      </c>
      <c r="F44" s="716">
        <v>87</v>
      </c>
      <c r="G44" s="716">
        <f t="shared" si="12"/>
        <v>0</v>
      </c>
      <c r="H44" s="716">
        <v>0</v>
      </c>
      <c r="I44" s="716">
        <v>0</v>
      </c>
      <c r="J44" s="716">
        <v>0</v>
      </c>
      <c r="K44" s="716">
        <f t="shared" si="13"/>
        <v>702</v>
      </c>
      <c r="L44" s="716">
        <v>0</v>
      </c>
      <c r="M44" s="716">
        <v>0</v>
      </c>
      <c r="N44" s="716">
        <v>0</v>
      </c>
      <c r="O44" s="716">
        <v>0</v>
      </c>
      <c r="P44" s="716">
        <v>0</v>
      </c>
      <c r="Q44" s="243">
        <f t="shared" si="14"/>
        <v>0</v>
      </c>
      <c r="R44" s="243"/>
      <c r="S44" s="243"/>
      <c r="T44" s="243"/>
      <c r="U44" s="243"/>
      <c r="V44" s="243"/>
      <c r="W44" s="243"/>
      <c r="X44" s="243"/>
      <c r="Y44" s="243"/>
      <c r="Z44" s="243">
        <f t="shared" si="15"/>
        <v>0</v>
      </c>
    </row>
    <row r="45" spans="1:26" s="27" customFormat="1" x14ac:dyDescent="0.25">
      <c r="A45" s="808">
        <v>35</v>
      </c>
      <c r="B45" s="71" t="s">
        <v>110</v>
      </c>
      <c r="C45" s="31" t="s">
        <v>111</v>
      </c>
      <c r="D45" s="716">
        <v>385</v>
      </c>
      <c r="E45" s="716">
        <v>0</v>
      </c>
      <c r="F45" s="716">
        <v>0</v>
      </c>
      <c r="G45" s="716">
        <f t="shared" si="12"/>
        <v>0</v>
      </c>
      <c r="H45" s="716">
        <v>0</v>
      </c>
      <c r="I45" s="716">
        <v>0</v>
      </c>
      <c r="J45" s="716">
        <v>0</v>
      </c>
      <c r="K45" s="716">
        <f t="shared" si="13"/>
        <v>385</v>
      </c>
      <c r="L45" s="716">
        <v>0</v>
      </c>
      <c r="M45" s="716">
        <v>0</v>
      </c>
      <c r="N45" s="716">
        <v>0</v>
      </c>
      <c r="O45" s="716">
        <v>0</v>
      </c>
      <c r="P45" s="716">
        <v>0</v>
      </c>
      <c r="Q45" s="243">
        <f t="shared" si="14"/>
        <v>0</v>
      </c>
      <c r="R45" s="243"/>
      <c r="S45" s="243"/>
      <c r="T45" s="243"/>
      <c r="U45" s="243"/>
      <c r="V45" s="243"/>
      <c r="W45" s="243"/>
      <c r="X45" s="243"/>
      <c r="Y45" s="243"/>
      <c r="Z45" s="243">
        <f t="shared" si="15"/>
        <v>0</v>
      </c>
    </row>
    <row r="46" spans="1:26" x14ac:dyDescent="0.25">
      <c r="A46" s="808">
        <v>36</v>
      </c>
      <c r="B46" s="71" t="s">
        <v>112</v>
      </c>
      <c r="C46" s="31" t="s">
        <v>113</v>
      </c>
      <c r="D46" s="716">
        <v>684</v>
      </c>
      <c r="E46" s="716">
        <v>19</v>
      </c>
      <c r="F46" s="716">
        <v>99</v>
      </c>
      <c r="G46" s="716">
        <f t="shared" si="12"/>
        <v>88</v>
      </c>
      <c r="H46" s="716">
        <v>65</v>
      </c>
      <c r="I46" s="716">
        <v>1</v>
      </c>
      <c r="J46" s="716">
        <v>22</v>
      </c>
      <c r="K46" s="716">
        <f t="shared" si="13"/>
        <v>890</v>
      </c>
      <c r="L46" s="716">
        <v>0</v>
      </c>
      <c r="M46" s="716">
        <v>0</v>
      </c>
      <c r="N46" s="716">
        <v>0</v>
      </c>
      <c r="O46" s="716">
        <v>0</v>
      </c>
      <c r="P46" s="716">
        <v>0</v>
      </c>
      <c r="Q46" s="243">
        <f t="shared" si="14"/>
        <v>0</v>
      </c>
      <c r="R46" s="243"/>
      <c r="S46" s="243"/>
      <c r="T46" s="243"/>
      <c r="U46" s="243"/>
      <c r="V46" s="243"/>
      <c r="W46" s="243"/>
      <c r="X46" s="243"/>
      <c r="Y46" s="243"/>
      <c r="Z46" s="243">
        <f t="shared" si="15"/>
        <v>0</v>
      </c>
    </row>
    <row r="47" spans="1:26" s="27" customFormat="1" x14ac:dyDescent="0.25">
      <c r="A47" s="808">
        <v>37</v>
      </c>
      <c r="B47" s="807" t="s">
        <v>114</v>
      </c>
      <c r="C47" s="31" t="s">
        <v>115</v>
      </c>
      <c r="D47" s="716">
        <v>312</v>
      </c>
      <c r="E47" s="716">
        <v>0</v>
      </c>
      <c r="F47" s="716">
        <v>45</v>
      </c>
      <c r="G47" s="716">
        <f t="shared" si="12"/>
        <v>0</v>
      </c>
      <c r="H47" s="716">
        <v>0</v>
      </c>
      <c r="I47" s="716">
        <v>0</v>
      </c>
      <c r="J47" s="716">
        <v>0</v>
      </c>
      <c r="K47" s="716">
        <f t="shared" si="13"/>
        <v>357</v>
      </c>
      <c r="L47" s="716">
        <v>0</v>
      </c>
      <c r="M47" s="716">
        <v>0</v>
      </c>
      <c r="N47" s="716">
        <v>0</v>
      </c>
      <c r="O47" s="716">
        <v>0</v>
      </c>
      <c r="P47" s="716">
        <v>0</v>
      </c>
      <c r="Q47" s="243">
        <f t="shared" si="14"/>
        <v>0</v>
      </c>
      <c r="R47" s="243"/>
      <c r="S47" s="243"/>
      <c r="T47" s="243"/>
      <c r="U47" s="243"/>
      <c r="V47" s="243"/>
      <c r="W47" s="243"/>
      <c r="X47" s="243"/>
      <c r="Y47" s="243"/>
      <c r="Z47" s="243">
        <f t="shared" si="15"/>
        <v>0</v>
      </c>
    </row>
    <row r="48" spans="1:26" s="27" customFormat="1" x14ac:dyDescent="0.25">
      <c r="A48" s="808">
        <v>38</v>
      </c>
      <c r="B48" s="72" t="s">
        <v>116</v>
      </c>
      <c r="C48" s="31" t="s">
        <v>117</v>
      </c>
      <c r="D48" s="716">
        <v>450</v>
      </c>
      <c r="E48" s="716">
        <v>0</v>
      </c>
      <c r="F48" s="716">
        <v>65</v>
      </c>
      <c r="G48" s="716">
        <f t="shared" si="12"/>
        <v>0</v>
      </c>
      <c r="H48" s="716">
        <v>0</v>
      </c>
      <c r="I48" s="716">
        <v>0</v>
      </c>
      <c r="J48" s="716">
        <v>0</v>
      </c>
      <c r="K48" s="716">
        <f t="shared" si="13"/>
        <v>515</v>
      </c>
      <c r="L48" s="716">
        <v>8</v>
      </c>
      <c r="M48" s="716">
        <v>64</v>
      </c>
      <c r="N48" s="716">
        <v>160</v>
      </c>
      <c r="O48" s="716">
        <v>108</v>
      </c>
      <c r="P48" s="716">
        <v>0</v>
      </c>
      <c r="Q48" s="243">
        <f t="shared" si="14"/>
        <v>340</v>
      </c>
      <c r="R48" s="243"/>
      <c r="S48" s="243"/>
      <c r="T48" s="243"/>
      <c r="U48" s="243"/>
      <c r="V48" s="243"/>
      <c r="W48" s="243"/>
      <c r="X48" s="243"/>
      <c r="Y48" s="243"/>
      <c r="Z48" s="243">
        <f t="shared" si="15"/>
        <v>0</v>
      </c>
    </row>
    <row r="49" spans="1:26" s="27" customFormat="1" x14ac:dyDescent="0.25">
      <c r="A49" s="808">
        <v>39</v>
      </c>
      <c r="B49" s="807" t="s">
        <v>28</v>
      </c>
      <c r="C49" s="31" t="s">
        <v>29</v>
      </c>
      <c r="D49" s="716">
        <v>2603</v>
      </c>
      <c r="E49" s="716">
        <v>178</v>
      </c>
      <c r="F49" s="716">
        <v>340</v>
      </c>
      <c r="G49" s="716">
        <f t="shared" si="12"/>
        <v>1082</v>
      </c>
      <c r="H49" s="716">
        <v>922</v>
      </c>
      <c r="I49" s="716">
        <v>60</v>
      </c>
      <c r="J49" s="716">
        <v>100</v>
      </c>
      <c r="K49" s="716">
        <f t="shared" si="13"/>
        <v>4203</v>
      </c>
      <c r="L49" s="716">
        <v>44</v>
      </c>
      <c r="M49" s="716">
        <v>384</v>
      </c>
      <c r="N49" s="716">
        <v>1077</v>
      </c>
      <c r="O49" s="716">
        <v>697</v>
      </c>
      <c r="P49" s="716">
        <v>0</v>
      </c>
      <c r="Q49" s="243">
        <f t="shared" si="14"/>
        <v>2202</v>
      </c>
      <c r="R49" s="243"/>
      <c r="S49" s="243"/>
      <c r="T49" s="243"/>
      <c r="U49" s="243"/>
      <c r="V49" s="243"/>
      <c r="W49" s="243"/>
      <c r="X49" s="243"/>
      <c r="Y49" s="243"/>
      <c r="Z49" s="243">
        <f t="shared" si="15"/>
        <v>0</v>
      </c>
    </row>
    <row r="50" spans="1:26" s="27" customFormat="1" x14ac:dyDescent="0.25">
      <c r="A50" s="808">
        <v>40</v>
      </c>
      <c r="B50" s="71" t="s">
        <v>118</v>
      </c>
      <c r="C50" s="31" t="s">
        <v>119</v>
      </c>
      <c r="D50" s="716">
        <v>542</v>
      </c>
      <c r="E50" s="716">
        <v>0</v>
      </c>
      <c r="F50" s="716">
        <v>79</v>
      </c>
      <c r="G50" s="716">
        <f t="shared" si="12"/>
        <v>0</v>
      </c>
      <c r="H50" s="716">
        <v>0</v>
      </c>
      <c r="I50" s="716">
        <v>0</v>
      </c>
      <c r="J50" s="716">
        <v>0</v>
      </c>
      <c r="K50" s="716">
        <f t="shared" si="13"/>
        <v>621</v>
      </c>
      <c r="L50" s="716">
        <v>0</v>
      </c>
      <c r="M50" s="716">
        <v>0</v>
      </c>
      <c r="N50" s="716">
        <v>0</v>
      </c>
      <c r="O50" s="716">
        <v>0</v>
      </c>
      <c r="P50" s="716">
        <v>0</v>
      </c>
      <c r="Q50" s="243">
        <f t="shared" si="14"/>
        <v>0</v>
      </c>
      <c r="R50" s="243"/>
      <c r="S50" s="243"/>
      <c r="T50" s="243"/>
      <c r="U50" s="243"/>
      <c r="V50" s="243"/>
      <c r="W50" s="243"/>
      <c r="X50" s="243"/>
      <c r="Y50" s="243"/>
      <c r="Z50" s="243">
        <f t="shared" si="15"/>
        <v>0</v>
      </c>
    </row>
    <row r="51" spans="1:26" s="27" customFormat="1" x14ac:dyDescent="0.25">
      <c r="A51" s="808">
        <v>41</v>
      </c>
      <c r="B51" s="71" t="s">
        <v>120</v>
      </c>
      <c r="C51" s="31" t="s">
        <v>121</v>
      </c>
      <c r="D51" s="716">
        <v>1898</v>
      </c>
      <c r="E51" s="716">
        <v>52</v>
      </c>
      <c r="F51" s="716">
        <v>276</v>
      </c>
      <c r="G51" s="716">
        <f t="shared" si="12"/>
        <v>0</v>
      </c>
      <c r="H51" s="716">
        <v>0</v>
      </c>
      <c r="I51" s="716">
        <v>0</v>
      </c>
      <c r="J51" s="716">
        <v>0</v>
      </c>
      <c r="K51" s="716">
        <f t="shared" si="13"/>
        <v>2226</v>
      </c>
      <c r="L51" s="716">
        <v>95</v>
      </c>
      <c r="M51" s="716">
        <v>697</v>
      </c>
      <c r="N51" s="716">
        <v>1394</v>
      </c>
      <c r="O51" s="716">
        <v>1145</v>
      </c>
      <c r="P51" s="716">
        <v>0</v>
      </c>
      <c r="Q51" s="243">
        <f t="shared" si="14"/>
        <v>3331</v>
      </c>
      <c r="R51" s="243"/>
      <c r="S51" s="243"/>
      <c r="T51" s="243"/>
      <c r="U51" s="243"/>
      <c r="V51" s="243"/>
      <c r="W51" s="243"/>
      <c r="X51" s="243"/>
      <c r="Y51" s="243"/>
      <c r="Z51" s="243">
        <f t="shared" si="15"/>
        <v>0</v>
      </c>
    </row>
    <row r="52" spans="1:26" s="245" customFormat="1" x14ac:dyDescent="0.25">
      <c r="A52" s="808">
        <v>42</v>
      </c>
      <c r="B52" s="807" t="s">
        <v>122</v>
      </c>
      <c r="C52" s="31" t="s">
        <v>123</v>
      </c>
      <c r="D52" s="716">
        <v>415</v>
      </c>
      <c r="E52" s="716">
        <v>0</v>
      </c>
      <c r="F52" s="716">
        <v>60</v>
      </c>
      <c r="G52" s="716">
        <f t="shared" si="12"/>
        <v>0</v>
      </c>
      <c r="H52" s="716">
        <v>0</v>
      </c>
      <c r="I52" s="716">
        <v>0</v>
      </c>
      <c r="J52" s="716">
        <v>0</v>
      </c>
      <c r="K52" s="716">
        <f t="shared" si="13"/>
        <v>475</v>
      </c>
      <c r="L52" s="716">
        <v>0</v>
      </c>
      <c r="M52" s="716">
        <v>0</v>
      </c>
      <c r="N52" s="716">
        <v>0</v>
      </c>
      <c r="O52" s="716">
        <v>0</v>
      </c>
      <c r="P52" s="716">
        <v>0</v>
      </c>
      <c r="Q52" s="243">
        <f t="shared" si="14"/>
        <v>0</v>
      </c>
      <c r="R52" s="243"/>
      <c r="S52" s="243"/>
      <c r="T52" s="243"/>
      <c r="U52" s="243"/>
      <c r="V52" s="243"/>
      <c r="W52" s="243"/>
      <c r="X52" s="243"/>
      <c r="Y52" s="243"/>
      <c r="Z52" s="243">
        <f t="shared" si="15"/>
        <v>0</v>
      </c>
    </row>
    <row r="53" spans="1:26" s="27" customFormat="1" x14ac:dyDescent="0.25">
      <c r="A53" s="808">
        <v>43</v>
      </c>
      <c r="B53" s="72" t="s">
        <v>124</v>
      </c>
      <c r="C53" s="31" t="s">
        <v>125</v>
      </c>
      <c r="D53" s="716">
        <v>567</v>
      </c>
      <c r="E53" s="716">
        <v>16</v>
      </c>
      <c r="F53" s="716">
        <v>82</v>
      </c>
      <c r="G53" s="716">
        <f t="shared" si="12"/>
        <v>0</v>
      </c>
      <c r="H53" s="716">
        <v>0</v>
      </c>
      <c r="I53" s="716">
        <v>0</v>
      </c>
      <c r="J53" s="716">
        <v>0</v>
      </c>
      <c r="K53" s="716">
        <f t="shared" si="13"/>
        <v>665</v>
      </c>
      <c r="L53" s="716">
        <v>0</v>
      </c>
      <c r="M53" s="716">
        <v>0</v>
      </c>
      <c r="N53" s="716">
        <v>0</v>
      </c>
      <c r="O53" s="716">
        <v>0</v>
      </c>
      <c r="P53" s="716">
        <v>0</v>
      </c>
      <c r="Q53" s="243">
        <f t="shared" si="14"/>
        <v>0</v>
      </c>
      <c r="R53" s="243"/>
      <c r="S53" s="243"/>
      <c r="T53" s="243"/>
      <c r="U53" s="243"/>
      <c r="V53" s="243"/>
      <c r="W53" s="243"/>
      <c r="X53" s="243"/>
      <c r="Y53" s="243"/>
      <c r="Z53" s="243">
        <f t="shared" si="15"/>
        <v>0</v>
      </c>
    </row>
    <row r="54" spans="1:26" s="27" customFormat="1" x14ac:dyDescent="0.25">
      <c r="A54" s="808">
        <v>44</v>
      </c>
      <c r="B54" s="807" t="s">
        <v>126</v>
      </c>
      <c r="C54" s="31" t="s">
        <v>127</v>
      </c>
      <c r="D54" s="716">
        <v>664</v>
      </c>
      <c r="E54" s="716">
        <v>0</v>
      </c>
      <c r="F54" s="716">
        <v>97</v>
      </c>
      <c r="G54" s="716">
        <f t="shared" si="12"/>
        <v>85</v>
      </c>
      <c r="H54" s="716">
        <v>79</v>
      </c>
      <c r="I54" s="716">
        <v>1</v>
      </c>
      <c r="J54" s="716">
        <v>5</v>
      </c>
      <c r="K54" s="716">
        <f t="shared" si="13"/>
        <v>846</v>
      </c>
      <c r="L54" s="716">
        <v>0</v>
      </c>
      <c r="M54" s="716">
        <v>0</v>
      </c>
      <c r="N54" s="716">
        <v>0</v>
      </c>
      <c r="O54" s="716">
        <v>0</v>
      </c>
      <c r="P54" s="716">
        <v>0</v>
      </c>
      <c r="Q54" s="243">
        <f t="shared" si="14"/>
        <v>0</v>
      </c>
      <c r="R54" s="243"/>
      <c r="S54" s="243"/>
      <c r="T54" s="243"/>
      <c r="U54" s="243"/>
      <c r="V54" s="243"/>
      <c r="W54" s="243"/>
      <c r="X54" s="243"/>
      <c r="Y54" s="243"/>
      <c r="Z54" s="243">
        <f t="shared" si="15"/>
        <v>0</v>
      </c>
    </row>
    <row r="55" spans="1:26" s="27" customFormat="1" x14ac:dyDescent="0.25">
      <c r="A55" s="808">
        <v>45</v>
      </c>
      <c r="B55" s="72" t="s">
        <v>128</v>
      </c>
      <c r="C55" s="31" t="s">
        <v>129</v>
      </c>
      <c r="D55" s="716">
        <v>785</v>
      </c>
      <c r="E55" s="716">
        <v>22</v>
      </c>
      <c r="F55" s="716">
        <v>114</v>
      </c>
      <c r="G55" s="716">
        <f t="shared" si="12"/>
        <v>0</v>
      </c>
      <c r="H55" s="716">
        <v>0</v>
      </c>
      <c r="I55" s="716">
        <v>0</v>
      </c>
      <c r="J55" s="716">
        <v>0</v>
      </c>
      <c r="K55" s="716">
        <f t="shared" si="13"/>
        <v>921</v>
      </c>
      <c r="L55" s="716">
        <v>29</v>
      </c>
      <c r="M55" s="716">
        <v>410</v>
      </c>
      <c r="N55" s="716">
        <v>819</v>
      </c>
      <c r="O55" s="716">
        <v>213</v>
      </c>
      <c r="P55" s="716">
        <v>0</v>
      </c>
      <c r="Q55" s="243">
        <f t="shared" si="14"/>
        <v>1471</v>
      </c>
      <c r="R55" s="243"/>
      <c r="S55" s="243"/>
      <c r="T55" s="243"/>
      <c r="U55" s="243"/>
      <c r="V55" s="243"/>
      <c r="W55" s="243"/>
      <c r="X55" s="243"/>
      <c r="Y55" s="243"/>
      <c r="Z55" s="243">
        <f t="shared" si="15"/>
        <v>0</v>
      </c>
    </row>
    <row r="56" spans="1:26" s="27" customFormat="1" x14ac:dyDescent="0.25">
      <c r="A56" s="808">
        <v>46</v>
      </c>
      <c r="B56" s="807" t="s">
        <v>130</v>
      </c>
      <c r="C56" s="31" t="s">
        <v>131</v>
      </c>
      <c r="D56" s="716">
        <v>279</v>
      </c>
      <c r="E56" s="716">
        <v>8</v>
      </c>
      <c r="F56" s="716">
        <v>41</v>
      </c>
      <c r="G56" s="716">
        <f t="shared" si="12"/>
        <v>0</v>
      </c>
      <c r="H56" s="716">
        <v>0</v>
      </c>
      <c r="I56" s="716">
        <v>0</v>
      </c>
      <c r="J56" s="716">
        <v>0</v>
      </c>
      <c r="K56" s="716">
        <f t="shared" si="13"/>
        <v>328</v>
      </c>
      <c r="L56" s="716">
        <v>0</v>
      </c>
      <c r="M56" s="716">
        <v>0</v>
      </c>
      <c r="N56" s="716">
        <v>0</v>
      </c>
      <c r="O56" s="716">
        <v>0</v>
      </c>
      <c r="P56" s="716">
        <v>0</v>
      </c>
      <c r="Q56" s="243">
        <f t="shared" si="14"/>
        <v>0</v>
      </c>
      <c r="R56" s="243"/>
      <c r="S56" s="243"/>
      <c r="T56" s="243"/>
      <c r="U56" s="243"/>
      <c r="V56" s="243"/>
      <c r="W56" s="243"/>
      <c r="X56" s="243"/>
      <c r="Y56" s="243"/>
      <c r="Z56" s="243">
        <f t="shared" si="15"/>
        <v>0</v>
      </c>
    </row>
    <row r="57" spans="1:26" s="27" customFormat="1" x14ac:dyDescent="0.25">
      <c r="A57" s="808">
        <v>47</v>
      </c>
      <c r="B57" s="72" t="s">
        <v>132</v>
      </c>
      <c r="C57" s="31" t="s">
        <v>133</v>
      </c>
      <c r="D57" s="716">
        <v>511</v>
      </c>
      <c r="E57" s="716">
        <v>14</v>
      </c>
      <c r="F57" s="716">
        <v>74</v>
      </c>
      <c r="G57" s="716">
        <f t="shared" si="12"/>
        <v>0</v>
      </c>
      <c r="H57" s="716">
        <v>0</v>
      </c>
      <c r="I57" s="716">
        <v>0</v>
      </c>
      <c r="J57" s="716">
        <v>0</v>
      </c>
      <c r="K57" s="716">
        <f t="shared" si="13"/>
        <v>599</v>
      </c>
      <c r="L57" s="716">
        <v>0</v>
      </c>
      <c r="M57" s="716">
        <v>0</v>
      </c>
      <c r="N57" s="716">
        <v>0</v>
      </c>
      <c r="O57" s="716">
        <v>0</v>
      </c>
      <c r="P57" s="716">
        <v>0</v>
      </c>
      <c r="Q57" s="243">
        <f t="shared" si="14"/>
        <v>0</v>
      </c>
      <c r="R57" s="243"/>
      <c r="S57" s="243"/>
      <c r="T57" s="243"/>
      <c r="U57" s="243"/>
      <c r="V57" s="243"/>
      <c r="W57" s="243"/>
      <c r="X57" s="243"/>
      <c r="Y57" s="243"/>
      <c r="Z57" s="243">
        <f t="shared" si="15"/>
        <v>0</v>
      </c>
    </row>
    <row r="58" spans="1:26" s="27" customFormat="1" x14ac:dyDescent="0.25">
      <c r="A58" s="808">
        <v>48</v>
      </c>
      <c r="B58" s="807" t="s">
        <v>134</v>
      </c>
      <c r="C58" s="31" t="s">
        <v>135</v>
      </c>
      <c r="D58" s="716">
        <v>808</v>
      </c>
      <c r="E58" s="716">
        <v>0</v>
      </c>
      <c r="F58" s="716">
        <v>118</v>
      </c>
      <c r="G58" s="716">
        <f t="shared" si="12"/>
        <v>0</v>
      </c>
      <c r="H58" s="716">
        <v>0</v>
      </c>
      <c r="I58" s="716">
        <v>0</v>
      </c>
      <c r="J58" s="716">
        <v>0</v>
      </c>
      <c r="K58" s="716">
        <f t="shared" si="13"/>
        <v>926</v>
      </c>
      <c r="L58" s="716">
        <v>0</v>
      </c>
      <c r="M58" s="716">
        <v>0</v>
      </c>
      <c r="N58" s="716">
        <v>0</v>
      </c>
      <c r="O58" s="716">
        <v>0</v>
      </c>
      <c r="P58" s="716">
        <v>0</v>
      </c>
      <c r="Q58" s="243">
        <f t="shared" si="14"/>
        <v>0</v>
      </c>
      <c r="R58" s="243"/>
      <c r="S58" s="243"/>
      <c r="T58" s="243"/>
      <c r="U58" s="243"/>
      <c r="V58" s="243"/>
      <c r="W58" s="243"/>
      <c r="X58" s="243"/>
      <c r="Y58" s="243"/>
      <c r="Z58" s="243">
        <f t="shared" si="15"/>
        <v>0</v>
      </c>
    </row>
    <row r="59" spans="1:26" s="27" customFormat="1" x14ac:dyDescent="0.25">
      <c r="A59" s="808">
        <v>49</v>
      </c>
      <c r="B59" s="807" t="s">
        <v>136</v>
      </c>
      <c r="C59" s="31" t="s">
        <v>137</v>
      </c>
      <c r="D59" s="716">
        <v>2913</v>
      </c>
      <c r="E59" s="716">
        <v>0</v>
      </c>
      <c r="F59" s="716">
        <v>0</v>
      </c>
      <c r="G59" s="716">
        <f t="shared" si="12"/>
        <v>0</v>
      </c>
      <c r="H59" s="716">
        <v>0</v>
      </c>
      <c r="I59" s="716">
        <v>0</v>
      </c>
      <c r="J59" s="716">
        <v>0</v>
      </c>
      <c r="K59" s="716">
        <f t="shared" si="13"/>
        <v>2913</v>
      </c>
      <c r="L59" s="716">
        <v>63</v>
      </c>
      <c r="M59" s="716">
        <v>474</v>
      </c>
      <c r="N59" s="716">
        <v>1255</v>
      </c>
      <c r="O59" s="716">
        <v>686</v>
      </c>
      <c r="P59" s="716">
        <v>0</v>
      </c>
      <c r="Q59" s="243">
        <f t="shared" si="14"/>
        <v>2478</v>
      </c>
      <c r="R59" s="243"/>
      <c r="S59" s="243"/>
      <c r="T59" s="243"/>
      <c r="U59" s="243"/>
      <c r="V59" s="243"/>
      <c r="W59" s="243"/>
      <c r="X59" s="243"/>
      <c r="Y59" s="243"/>
      <c r="Z59" s="243">
        <f t="shared" si="15"/>
        <v>0</v>
      </c>
    </row>
    <row r="60" spans="1:26" s="27" customFormat="1" x14ac:dyDescent="0.25">
      <c r="A60" s="808">
        <v>50</v>
      </c>
      <c r="B60" s="807" t="s">
        <v>138</v>
      </c>
      <c r="C60" s="31" t="s">
        <v>139</v>
      </c>
      <c r="D60" s="716">
        <v>574</v>
      </c>
      <c r="E60" s="716">
        <v>16</v>
      </c>
      <c r="F60" s="716">
        <v>84</v>
      </c>
      <c r="G60" s="716">
        <f t="shared" si="12"/>
        <v>74</v>
      </c>
      <c r="H60" s="716">
        <v>68</v>
      </c>
      <c r="I60" s="716">
        <v>1</v>
      </c>
      <c r="J60" s="716">
        <v>5</v>
      </c>
      <c r="K60" s="716">
        <f t="shared" si="13"/>
        <v>748</v>
      </c>
      <c r="L60" s="716">
        <v>0</v>
      </c>
      <c r="M60" s="716">
        <v>0</v>
      </c>
      <c r="N60" s="716">
        <v>0</v>
      </c>
      <c r="O60" s="716">
        <v>0</v>
      </c>
      <c r="P60" s="716">
        <v>0</v>
      </c>
      <c r="Q60" s="243">
        <f t="shared" si="14"/>
        <v>0</v>
      </c>
      <c r="R60" s="243"/>
      <c r="S60" s="243"/>
      <c r="T60" s="243"/>
      <c r="U60" s="243"/>
      <c r="V60" s="243"/>
      <c r="W60" s="243"/>
      <c r="X60" s="243"/>
      <c r="Y60" s="243"/>
      <c r="Z60" s="243">
        <f t="shared" si="15"/>
        <v>0</v>
      </c>
    </row>
    <row r="61" spans="1:26" s="27" customFormat="1" x14ac:dyDescent="0.25">
      <c r="A61" s="808">
        <v>51</v>
      </c>
      <c r="B61" s="807" t="s">
        <v>140</v>
      </c>
      <c r="C61" s="31" t="s">
        <v>141</v>
      </c>
      <c r="D61" s="716">
        <v>427</v>
      </c>
      <c r="E61" s="716">
        <v>0</v>
      </c>
      <c r="F61" s="716">
        <v>62</v>
      </c>
      <c r="G61" s="716">
        <f t="shared" si="12"/>
        <v>0</v>
      </c>
      <c r="H61" s="716">
        <v>0</v>
      </c>
      <c r="I61" s="716">
        <v>0</v>
      </c>
      <c r="J61" s="716">
        <v>0</v>
      </c>
      <c r="K61" s="716">
        <f t="shared" si="13"/>
        <v>489</v>
      </c>
      <c r="L61" s="716">
        <v>0</v>
      </c>
      <c r="M61" s="716">
        <v>0</v>
      </c>
      <c r="N61" s="716">
        <v>0</v>
      </c>
      <c r="O61" s="716">
        <v>0</v>
      </c>
      <c r="P61" s="716">
        <v>0</v>
      </c>
      <c r="Q61" s="243">
        <f t="shared" si="14"/>
        <v>0</v>
      </c>
      <c r="R61" s="243"/>
      <c r="S61" s="243"/>
      <c r="T61" s="243"/>
      <c r="U61" s="243"/>
      <c r="V61" s="243"/>
      <c r="W61" s="243"/>
      <c r="X61" s="243"/>
      <c r="Y61" s="243"/>
      <c r="Z61" s="243">
        <f t="shared" si="15"/>
        <v>0</v>
      </c>
    </row>
    <row r="62" spans="1:26" s="27" customFormat="1" x14ac:dyDescent="0.25">
      <c r="A62" s="808">
        <v>52</v>
      </c>
      <c r="B62" s="72" t="s">
        <v>142</v>
      </c>
      <c r="C62" s="31" t="s">
        <v>143</v>
      </c>
      <c r="D62" s="716">
        <v>560</v>
      </c>
      <c r="E62" s="716">
        <v>0</v>
      </c>
      <c r="F62" s="716">
        <v>0</v>
      </c>
      <c r="G62" s="716">
        <f t="shared" si="12"/>
        <v>0</v>
      </c>
      <c r="H62" s="716">
        <v>0</v>
      </c>
      <c r="I62" s="716">
        <v>0</v>
      </c>
      <c r="J62" s="716">
        <v>0</v>
      </c>
      <c r="K62" s="716">
        <f t="shared" si="13"/>
        <v>560</v>
      </c>
      <c r="L62" s="716">
        <v>0</v>
      </c>
      <c r="M62" s="716">
        <v>0</v>
      </c>
      <c r="N62" s="716">
        <v>0</v>
      </c>
      <c r="O62" s="716">
        <v>0</v>
      </c>
      <c r="P62" s="716">
        <v>0</v>
      </c>
      <c r="Q62" s="243">
        <f t="shared" si="14"/>
        <v>0</v>
      </c>
      <c r="R62" s="243"/>
      <c r="S62" s="243"/>
      <c r="T62" s="243"/>
      <c r="U62" s="243"/>
      <c r="V62" s="243"/>
      <c r="W62" s="243"/>
      <c r="X62" s="243"/>
      <c r="Y62" s="243"/>
      <c r="Z62" s="243">
        <f t="shared" si="15"/>
        <v>0</v>
      </c>
    </row>
    <row r="63" spans="1:26" s="27" customFormat="1" x14ac:dyDescent="0.25">
      <c r="A63" s="808">
        <v>53</v>
      </c>
      <c r="B63" s="807" t="s">
        <v>144</v>
      </c>
      <c r="C63" s="31" t="s">
        <v>145</v>
      </c>
      <c r="D63" s="716">
        <v>0</v>
      </c>
      <c r="E63" s="716">
        <v>0</v>
      </c>
      <c r="F63" s="716">
        <v>0</v>
      </c>
      <c r="G63" s="716">
        <f t="shared" si="12"/>
        <v>0</v>
      </c>
      <c r="H63" s="716">
        <v>0</v>
      </c>
      <c r="I63" s="716">
        <v>0</v>
      </c>
      <c r="J63" s="716">
        <v>0</v>
      </c>
      <c r="K63" s="716">
        <f t="shared" si="13"/>
        <v>0</v>
      </c>
      <c r="L63" s="716">
        <v>0</v>
      </c>
      <c r="M63" s="716">
        <v>0</v>
      </c>
      <c r="N63" s="716">
        <v>0</v>
      </c>
      <c r="O63" s="716">
        <v>0</v>
      </c>
      <c r="P63" s="716">
        <v>0</v>
      </c>
      <c r="Q63" s="243">
        <f t="shared" si="14"/>
        <v>0</v>
      </c>
      <c r="R63" s="243"/>
      <c r="S63" s="243"/>
      <c r="T63" s="243"/>
      <c r="U63" s="243"/>
      <c r="V63" s="243"/>
      <c r="W63" s="243"/>
      <c r="X63" s="243"/>
      <c r="Y63" s="243"/>
      <c r="Z63" s="243">
        <f t="shared" si="15"/>
        <v>0</v>
      </c>
    </row>
    <row r="64" spans="1:26" s="27" customFormat="1" x14ac:dyDescent="0.25">
      <c r="A64" s="808">
        <v>54</v>
      </c>
      <c r="B64" s="807" t="s">
        <v>146</v>
      </c>
      <c r="C64" s="31" t="s">
        <v>147</v>
      </c>
      <c r="D64" s="716">
        <v>0</v>
      </c>
      <c r="E64" s="716">
        <v>0</v>
      </c>
      <c r="F64" s="716">
        <v>0</v>
      </c>
      <c r="G64" s="716">
        <f t="shared" si="12"/>
        <v>0</v>
      </c>
      <c r="H64" s="716">
        <v>0</v>
      </c>
      <c r="I64" s="716">
        <v>0</v>
      </c>
      <c r="J64" s="716">
        <v>0</v>
      </c>
      <c r="K64" s="716">
        <f t="shared" si="13"/>
        <v>0</v>
      </c>
      <c r="L64" s="716">
        <v>0</v>
      </c>
      <c r="M64" s="716">
        <v>0</v>
      </c>
      <c r="N64" s="716">
        <v>0</v>
      </c>
      <c r="O64" s="716">
        <v>0</v>
      </c>
      <c r="P64" s="716">
        <v>0</v>
      </c>
      <c r="Q64" s="243">
        <f t="shared" si="14"/>
        <v>0</v>
      </c>
      <c r="R64" s="243"/>
      <c r="S64" s="243"/>
      <c r="T64" s="243"/>
      <c r="U64" s="243"/>
      <c r="V64" s="243"/>
      <c r="W64" s="243"/>
      <c r="X64" s="243"/>
      <c r="Y64" s="243"/>
      <c r="Z64" s="243">
        <f t="shared" si="15"/>
        <v>0</v>
      </c>
    </row>
    <row r="65" spans="1:26" s="27" customFormat="1" x14ac:dyDescent="0.25">
      <c r="A65" s="808">
        <v>55</v>
      </c>
      <c r="B65" s="807" t="s">
        <v>148</v>
      </c>
      <c r="C65" s="31" t="s">
        <v>149</v>
      </c>
      <c r="D65" s="716">
        <v>0</v>
      </c>
      <c r="E65" s="716">
        <v>0</v>
      </c>
      <c r="F65" s="716">
        <v>0</v>
      </c>
      <c r="G65" s="716">
        <f t="shared" si="12"/>
        <v>0</v>
      </c>
      <c r="H65" s="716">
        <v>0</v>
      </c>
      <c r="I65" s="716">
        <v>0</v>
      </c>
      <c r="J65" s="716">
        <v>0</v>
      </c>
      <c r="K65" s="716">
        <f t="shared" si="13"/>
        <v>0</v>
      </c>
      <c r="L65" s="716">
        <v>0</v>
      </c>
      <c r="M65" s="716">
        <v>0</v>
      </c>
      <c r="N65" s="716">
        <v>0</v>
      </c>
      <c r="O65" s="716">
        <v>0</v>
      </c>
      <c r="P65" s="716">
        <v>0</v>
      </c>
      <c r="Q65" s="243">
        <f t="shared" si="14"/>
        <v>0</v>
      </c>
      <c r="R65" s="243"/>
      <c r="S65" s="243"/>
      <c r="T65" s="243"/>
      <c r="U65" s="243"/>
      <c r="V65" s="243"/>
      <c r="W65" s="243"/>
      <c r="X65" s="243"/>
      <c r="Y65" s="243"/>
      <c r="Z65" s="243">
        <f t="shared" si="15"/>
        <v>0</v>
      </c>
    </row>
    <row r="66" spans="1:26" s="27" customFormat="1" x14ac:dyDescent="0.25">
      <c r="A66" s="808">
        <v>56</v>
      </c>
      <c r="B66" s="72" t="s">
        <v>150</v>
      </c>
      <c r="C66" s="31" t="s">
        <v>151</v>
      </c>
      <c r="D66" s="716">
        <v>329</v>
      </c>
      <c r="E66" s="716">
        <v>0</v>
      </c>
      <c r="F66" s="716">
        <v>0</v>
      </c>
      <c r="G66" s="716">
        <f t="shared" si="12"/>
        <v>0</v>
      </c>
      <c r="H66" s="716">
        <v>0</v>
      </c>
      <c r="I66" s="716">
        <v>0</v>
      </c>
      <c r="J66" s="716">
        <v>0</v>
      </c>
      <c r="K66" s="716">
        <f t="shared" si="13"/>
        <v>329</v>
      </c>
      <c r="L66" s="716">
        <v>0</v>
      </c>
      <c r="M66" s="716">
        <v>0</v>
      </c>
      <c r="N66" s="716">
        <v>0</v>
      </c>
      <c r="O66" s="716">
        <v>0</v>
      </c>
      <c r="P66" s="716">
        <v>0</v>
      </c>
      <c r="Q66" s="243">
        <f t="shared" si="14"/>
        <v>0</v>
      </c>
      <c r="R66" s="243"/>
      <c r="S66" s="243"/>
      <c r="T66" s="243"/>
      <c r="U66" s="243"/>
      <c r="V66" s="243"/>
      <c r="W66" s="243"/>
      <c r="X66" s="243"/>
      <c r="Y66" s="243"/>
      <c r="Z66" s="243">
        <f t="shared" si="15"/>
        <v>0</v>
      </c>
    </row>
    <row r="67" spans="1:26" s="27" customFormat="1" x14ac:dyDescent="0.25">
      <c r="A67" s="808">
        <v>57</v>
      </c>
      <c r="B67" s="71" t="s">
        <v>152</v>
      </c>
      <c r="C67" s="31" t="s">
        <v>557</v>
      </c>
      <c r="D67" s="716">
        <v>0</v>
      </c>
      <c r="E67" s="716">
        <v>0</v>
      </c>
      <c r="F67" s="716">
        <v>0</v>
      </c>
      <c r="G67" s="716">
        <f t="shared" si="12"/>
        <v>0</v>
      </c>
      <c r="H67" s="716">
        <v>0</v>
      </c>
      <c r="I67" s="716">
        <v>0</v>
      </c>
      <c r="J67" s="716">
        <v>0</v>
      </c>
      <c r="K67" s="716">
        <f t="shared" si="13"/>
        <v>0</v>
      </c>
      <c r="L67" s="716">
        <v>0</v>
      </c>
      <c r="M67" s="716">
        <v>0</v>
      </c>
      <c r="N67" s="716">
        <v>0</v>
      </c>
      <c r="O67" s="716">
        <v>0</v>
      </c>
      <c r="P67" s="716">
        <v>0</v>
      </c>
      <c r="Q67" s="243">
        <f t="shared" si="14"/>
        <v>0</v>
      </c>
      <c r="R67" s="243"/>
      <c r="S67" s="243"/>
      <c r="T67" s="243"/>
      <c r="U67" s="243"/>
      <c r="V67" s="243"/>
      <c r="W67" s="243"/>
      <c r="X67" s="243"/>
      <c r="Y67" s="243"/>
      <c r="Z67" s="243">
        <f t="shared" si="15"/>
        <v>0</v>
      </c>
    </row>
    <row r="68" spans="1:26" s="27" customFormat="1" x14ac:dyDescent="0.25">
      <c r="A68" s="808">
        <v>58</v>
      </c>
      <c r="B68" s="72" t="s">
        <v>154</v>
      </c>
      <c r="C68" s="31" t="s">
        <v>155</v>
      </c>
      <c r="D68" s="716">
        <v>1298</v>
      </c>
      <c r="E68" s="716">
        <v>0</v>
      </c>
      <c r="F68" s="716">
        <v>0</v>
      </c>
      <c r="G68" s="716">
        <f t="shared" si="12"/>
        <v>0</v>
      </c>
      <c r="H68" s="716">
        <v>0</v>
      </c>
      <c r="I68" s="716">
        <v>0</v>
      </c>
      <c r="J68" s="716">
        <v>0</v>
      </c>
      <c r="K68" s="716">
        <f t="shared" si="13"/>
        <v>1298</v>
      </c>
      <c r="L68" s="716">
        <v>0</v>
      </c>
      <c r="M68" s="716">
        <v>0</v>
      </c>
      <c r="N68" s="716">
        <v>0</v>
      </c>
      <c r="O68" s="716">
        <v>0</v>
      </c>
      <c r="P68" s="716">
        <v>0</v>
      </c>
      <c r="Q68" s="243">
        <f t="shared" si="14"/>
        <v>0</v>
      </c>
      <c r="R68" s="243"/>
      <c r="S68" s="243"/>
      <c r="T68" s="243"/>
      <c r="U68" s="243"/>
      <c r="V68" s="243"/>
      <c r="W68" s="243"/>
      <c r="X68" s="243"/>
      <c r="Y68" s="243"/>
      <c r="Z68" s="243">
        <f t="shared" si="15"/>
        <v>0</v>
      </c>
    </row>
    <row r="69" spans="1:26" s="27" customFormat="1" x14ac:dyDescent="0.25">
      <c r="A69" s="808">
        <v>59</v>
      </c>
      <c r="B69" s="807" t="s">
        <v>156</v>
      </c>
      <c r="C69" s="31" t="s">
        <v>157</v>
      </c>
      <c r="D69" s="716">
        <v>0</v>
      </c>
      <c r="E69" s="716">
        <v>0</v>
      </c>
      <c r="F69" s="716">
        <v>0</v>
      </c>
      <c r="G69" s="716">
        <f t="shared" si="12"/>
        <v>0</v>
      </c>
      <c r="H69" s="716">
        <v>0</v>
      </c>
      <c r="I69" s="716">
        <v>0</v>
      </c>
      <c r="J69" s="716">
        <v>0</v>
      </c>
      <c r="K69" s="716">
        <f t="shared" si="13"/>
        <v>0</v>
      </c>
      <c r="L69" s="716">
        <v>0</v>
      </c>
      <c r="M69" s="716">
        <v>0</v>
      </c>
      <c r="N69" s="716">
        <v>0</v>
      </c>
      <c r="O69" s="716">
        <v>0</v>
      </c>
      <c r="P69" s="716">
        <v>0</v>
      </c>
      <c r="Q69" s="243">
        <f t="shared" si="14"/>
        <v>0</v>
      </c>
      <c r="R69" s="243"/>
      <c r="S69" s="243"/>
      <c r="T69" s="243"/>
      <c r="U69" s="243"/>
      <c r="V69" s="243"/>
      <c r="W69" s="243"/>
      <c r="X69" s="243"/>
      <c r="Y69" s="243"/>
      <c r="Z69" s="243">
        <f t="shared" si="15"/>
        <v>0</v>
      </c>
    </row>
    <row r="70" spans="1:26" s="27" customFormat="1" ht="24" x14ac:dyDescent="0.25">
      <c r="A70" s="808">
        <v>60</v>
      </c>
      <c r="B70" s="71" t="s">
        <v>158</v>
      </c>
      <c r="C70" s="31" t="s">
        <v>159</v>
      </c>
      <c r="D70" s="716">
        <v>0</v>
      </c>
      <c r="E70" s="716">
        <v>0</v>
      </c>
      <c r="F70" s="716">
        <v>0</v>
      </c>
      <c r="G70" s="716">
        <f t="shared" si="12"/>
        <v>0</v>
      </c>
      <c r="H70" s="716">
        <v>0</v>
      </c>
      <c r="I70" s="716">
        <v>0</v>
      </c>
      <c r="J70" s="716">
        <v>0</v>
      </c>
      <c r="K70" s="716">
        <f t="shared" si="13"/>
        <v>0</v>
      </c>
      <c r="L70" s="716">
        <v>0</v>
      </c>
      <c r="M70" s="716">
        <v>0</v>
      </c>
      <c r="N70" s="716">
        <v>0</v>
      </c>
      <c r="O70" s="716">
        <v>0</v>
      </c>
      <c r="P70" s="716">
        <v>0</v>
      </c>
      <c r="Q70" s="243">
        <f t="shared" si="14"/>
        <v>0</v>
      </c>
      <c r="R70" s="243"/>
      <c r="S70" s="243"/>
      <c r="T70" s="243"/>
      <c r="U70" s="243"/>
      <c r="V70" s="243"/>
      <c r="W70" s="243"/>
      <c r="X70" s="243"/>
      <c r="Y70" s="243"/>
      <c r="Z70" s="243">
        <f t="shared" si="15"/>
        <v>0</v>
      </c>
    </row>
    <row r="71" spans="1:26" s="27" customFormat="1" ht="24" x14ac:dyDescent="0.25">
      <c r="A71" s="808">
        <v>61</v>
      </c>
      <c r="B71" s="71" t="s">
        <v>160</v>
      </c>
      <c r="C71" s="31" t="s">
        <v>161</v>
      </c>
      <c r="D71" s="716">
        <v>0</v>
      </c>
      <c r="E71" s="716">
        <v>0</v>
      </c>
      <c r="F71" s="716">
        <v>0</v>
      </c>
      <c r="G71" s="716">
        <f t="shared" si="12"/>
        <v>0</v>
      </c>
      <c r="H71" s="716">
        <v>0</v>
      </c>
      <c r="I71" s="716">
        <v>0</v>
      </c>
      <c r="J71" s="716">
        <v>0</v>
      </c>
      <c r="K71" s="716">
        <f t="shared" si="13"/>
        <v>0</v>
      </c>
      <c r="L71" s="716">
        <v>0</v>
      </c>
      <c r="M71" s="716">
        <v>0</v>
      </c>
      <c r="N71" s="716">
        <v>0</v>
      </c>
      <c r="O71" s="716">
        <v>0</v>
      </c>
      <c r="P71" s="716">
        <v>0</v>
      </c>
      <c r="Q71" s="243">
        <f t="shared" si="14"/>
        <v>0</v>
      </c>
      <c r="R71" s="243"/>
      <c r="S71" s="243"/>
      <c r="T71" s="243"/>
      <c r="U71" s="243"/>
      <c r="V71" s="243"/>
      <c r="W71" s="243"/>
      <c r="X71" s="243"/>
      <c r="Y71" s="243"/>
      <c r="Z71" s="243">
        <f t="shared" si="15"/>
        <v>0</v>
      </c>
    </row>
    <row r="72" spans="1:26" s="27" customFormat="1" x14ac:dyDescent="0.25">
      <c r="A72" s="808">
        <v>62</v>
      </c>
      <c r="B72" s="72" t="s">
        <v>162</v>
      </c>
      <c r="C72" s="31" t="s">
        <v>163</v>
      </c>
      <c r="D72" s="716">
        <v>2436</v>
      </c>
      <c r="E72" s="716">
        <v>0</v>
      </c>
      <c r="F72" s="716">
        <v>354</v>
      </c>
      <c r="G72" s="716">
        <f t="shared" si="12"/>
        <v>0</v>
      </c>
      <c r="H72" s="716">
        <v>0</v>
      </c>
      <c r="I72" s="716">
        <v>0</v>
      </c>
      <c r="J72" s="716">
        <v>0</v>
      </c>
      <c r="K72" s="716">
        <f t="shared" si="13"/>
        <v>2790</v>
      </c>
      <c r="L72" s="716">
        <v>0</v>
      </c>
      <c r="M72" s="716">
        <v>0</v>
      </c>
      <c r="N72" s="716">
        <v>0</v>
      </c>
      <c r="O72" s="716">
        <v>0</v>
      </c>
      <c r="P72" s="716">
        <v>0</v>
      </c>
      <c r="Q72" s="243">
        <f t="shared" si="14"/>
        <v>0</v>
      </c>
      <c r="R72" s="243"/>
      <c r="S72" s="243"/>
      <c r="T72" s="243"/>
      <c r="U72" s="243"/>
      <c r="V72" s="243"/>
      <c r="W72" s="243"/>
      <c r="X72" s="243"/>
      <c r="Y72" s="243"/>
      <c r="Z72" s="243">
        <f t="shared" si="15"/>
        <v>0</v>
      </c>
    </row>
    <row r="73" spans="1:26" s="27" customFormat="1" x14ac:dyDescent="0.25">
      <c r="A73" s="808">
        <v>63</v>
      </c>
      <c r="B73" s="72" t="s">
        <v>164</v>
      </c>
      <c r="C73" s="31" t="s">
        <v>165</v>
      </c>
      <c r="D73" s="716">
        <v>1411</v>
      </c>
      <c r="E73" s="716">
        <v>0</v>
      </c>
      <c r="F73" s="716">
        <v>0</v>
      </c>
      <c r="G73" s="716">
        <f t="shared" si="12"/>
        <v>0</v>
      </c>
      <c r="H73" s="716">
        <v>0</v>
      </c>
      <c r="I73" s="716">
        <v>0</v>
      </c>
      <c r="J73" s="716">
        <v>0</v>
      </c>
      <c r="K73" s="716">
        <f t="shared" si="13"/>
        <v>1411</v>
      </c>
      <c r="L73" s="716">
        <v>0</v>
      </c>
      <c r="M73" s="716">
        <v>0</v>
      </c>
      <c r="N73" s="716">
        <v>0</v>
      </c>
      <c r="O73" s="716">
        <v>0</v>
      </c>
      <c r="P73" s="716">
        <v>0</v>
      </c>
      <c r="Q73" s="243">
        <f t="shared" si="14"/>
        <v>0</v>
      </c>
      <c r="R73" s="243"/>
      <c r="S73" s="243"/>
      <c r="T73" s="243"/>
      <c r="U73" s="243"/>
      <c r="V73" s="243"/>
      <c r="W73" s="243"/>
      <c r="X73" s="243"/>
      <c r="Y73" s="243"/>
      <c r="Z73" s="243">
        <f t="shared" si="15"/>
        <v>0</v>
      </c>
    </row>
    <row r="74" spans="1:26" s="27" customFormat="1" x14ac:dyDescent="0.25">
      <c r="A74" s="808">
        <v>64</v>
      </c>
      <c r="B74" s="72" t="s">
        <v>166</v>
      </c>
      <c r="C74" s="31" t="s">
        <v>167</v>
      </c>
      <c r="D74" s="716">
        <v>3239</v>
      </c>
      <c r="E74" s="716">
        <v>0</v>
      </c>
      <c r="F74" s="716">
        <v>471</v>
      </c>
      <c r="G74" s="716">
        <f t="shared" si="12"/>
        <v>0</v>
      </c>
      <c r="H74" s="716">
        <v>0</v>
      </c>
      <c r="I74" s="716">
        <v>0</v>
      </c>
      <c r="J74" s="716">
        <v>0</v>
      </c>
      <c r="K74" s="716">
        <f t="shared" si="13"/>
        <v>3710</v>
      </c>
      <c r="L74" s="716">
        <v>0</v>
      </c>
      <c r="M74" s="716">
        <v>0</v>
      </c>
      <c r="N74" s="716">
        <v>0</v>
      </c>
      <c r="O74" s="716">
        <v>0</v>
      </c>
      <c r="P74" s="716">
        <v>0</v>
      </c>
      <c r="Q74" s="243">
        <f t="shared" si="14"/>
        <v>0</v>
      </c>
      <c r="R74" s="243"/>
      <c r="S74" s="243"/>
      <c r="T74" s="243"/>
      <c r="U74" s="243"/>
      <c r="V74" s="243"/>
      <c r="W74" s="243"/>
      <c r="X74" s="243"/>
      <c r="Y74" s="243"/>
      <c r="Z74" s="243">
        <f t="shared" si="15"/>
        <v>0</v>
      </c>
    </row>
    <row r="75" spans="1:26" s="27" customFormat="1" x14ac:dyDescent="0.25">
      <c r="A75" s="808">
        <v>65</v>
      </c>
      <c r="B75" s="72" t="s">
        <v>168</v>
      </c>
      <c r="C75" s="31" t="s">
        <v>169</v>
      </c>
      <c r="D75" s="716">
        <v>0</v>
      </c>
      <c r="E75" s="716">
        <v>0</v>
      </c>
      <c r="F75" s="716">
        <v>0</v>
      </c>
      <c r="G75" s="716">
        <f t="shared" si="12"/>
        <v>0</v>
      </c>
      <c r="H75" s="716">
        <v>0</v>
      </c>
      <c r="I75" s="716">
        <v>0</v>
      </c>
      <c r="J75" s="716">
        <v>0</v>
      </c>
      <c r="K75" s="716">
        <f t="shared" si="13"/>
        <v>0</v>
      </c>
      <c r="L75" s="716">
        <v>0</v>
      </c>
      <c r="M75" s="716">
        <v>0</v>
      </c>
      <c r="N75" s="716">
        <v>0</v>
      </c>
      <c r="O75" s="716">
        <v>0</v>
      </c>
      <c r="P75" s="716">
        <v>0</v>
      </c>
      <c r="Q75" s="243">
        <f t="shared" si="14"/>
        <v>0</v>
      </c>
      <c r="R75" s="243"/>
      <c r="S75" s="243"/>
      <c r="T75" s="243"/>
      <c r="U75" s="243"/>
      <c r="V75" s="243"/>
      <c r="W75" s="243"/>
      <c r="X75" s="243"/>
      <c r="Y75" s="243"/>
      <c r="Z75" s="243">
        <f t="shared" si="15"/>
        <v>0</v>
      </c>
    </row>
    <row r="76" spans="1:26" s="27" customFormat="1" x14ac:dyDescent="0.25">
      <c r="A76" s="808">
        <v>66</v>
      </c>
      <c r="B76" s="71" t="s">
        <v>170</v>
      </c>
      <c r="C76" s="31" t="s">
        <v>171</v>
      </c>
      <c r="D76" s="716">
        <v>0</v>
      </c>
      <c r="E76" s="716">
        <v>0</v>
      </c>
      <c r="F76" s="716">
        <v>0</v>
      </c>
      <c r="G76" s="716">
        <f t="shared" ref="G76:G139" si="16">H76+I76+J76</f>
        <v>0</v>
      </c>
      <c r="H76" s="716">
        <v>0</v>
      </c>
      <c r="I76" s="716">
        <v>0</v>
      </c>
      <c r="J76" s="716">
        <v>0</v>
      </c>
      <c r="K76" s="716">
        <f t="shared" ref="K76:K139" si="17">D76+E76+F76+G76</f>
        <v>0</v>
      </c>
      <c r="L76" s="716">
        <v>0</v>
      </c>
      <c r="M76" s="716">
        <v>0</v>
      </c>
      <c r="N76" s="716">
        <v>0</v>
      </c>
      <c r="O76" s="716">
        <v>0</v>
      </c>
      <c r="P76" s="716">
        <v>0</v>
      </c>
      <c r="Q76" s="243">
        <f t="shared" ref="Q76:Q139" si="18">L76+M76+N76+O76+P76</f>
        <v>0</v>
      </c>
      <c r="R76" s="243"/>
      <c r="S76" s="243"/>
      <c r="T76" s="243"/>
      <c r="U76" s="243"/>
      <c r="V76" s="243"/>
      <c r="W76" s="243"/>
      <c r="X76" s="243"/>
      <c r="Y76" s="243"/>
      <c r="Z76" s="243">
        <f t="shared" ref="Z76:Z139" si="19">R76+S76+T76+U76+V76+W76+X76+Y76</f>
        <v>0</v>
      </c>
    </row>
    <row r="77" spans="1:26" s="27" customFormat="1" x14ac:dyDescent="0.25">
      <c r="A77" s="808">
        <v>67</v>
      </c>
      <c r="B77" s="72" t="s">
        <v>172</v>
      </c>
      <c r="C77" s="31" t="s">
        <v>173</v>
      </c>
      <c r="D77" s="716">
        <v>0</v>
      </c>
      <c r="E77" s="716">
        <v>0</v>
      </c>
      <c r="F77" s="716">
        <v>0</v>
      </c>
      <c r="G77" s="716">
        <f t="shared" si="16"/>
        <v>0</v>
      </c>
      <c r="H77" s="716">
        <v>0</v>
      </c>
      <c r="I77" s="716">
        <v>0</v>
      </c>
      <c r="J77" s="716">
        <v>0</v>
      </c>
      <c r="K77" s="716">
        <f t="shared" si="17"/>
        <v>0</v>
      </c>
      <c r="L77" s="716">
        <v>0</v>
      </c>
      <c r="M77" s="716">
        <v>0</v>
      </c>
      <c r="N77" s="716">
        <v>0</v>
      </c>
      <c r="O77" s="716">
        <v>0</v>
      </c>
      <c r="P77" s="716">
        <v>0</v>
      </c>
      <c r="Q77" s="243">
        <f t="shared" si="18"/>
        <v>0</v>
      </c>
      <c r="R77" s="243"/>
      <c r="S77" s="243"/>
      <c r="T77" s="243"/>
      <c r="U77" s="243"/>
      <c r="V77" s="243"/>
      <c r="W77" s="243"/>
      <c r="X77" s="243"/>
      <c r="Y77" s="243"/>
      <c r="Z77" s="243">
        <f t="shared" si="19"/>
        <v>0</v>
      </c>
    </row>
    <row r="78" spans="1:26" s="27" customFormat="1" x14ac:dyDescent="0.25">
      <c r="A78" s="808">
        <v>68</v>
      </c>
      <c r="B78" s="72" t="s">
        <v>174</v>
      </c>
      <c r="C78" s="31" t="s">
        <v>175</v>
      </c>
      <c r="D78" s="716">
        <v>0</v>
      </c>
      <c r="E78" s="716">
        <v>0</v>
      </c>
      <c r="F78" s="716">
        <v>0</v>
      </c>
      <c r="G78" s="716">
        <f t="shared" si="16"/>
        <v>0</v>
      </c>
      <c r="H78" s="716">
        <v>0</v>
      </c>
      <c r="I78" s="716">
        <v>0</v>
      </c>
      <c r="J78" s="716">
        <v>0</v>
      </c>
      <c r="K78" s="716">
        <f t="shared" si="17"/>
        <v>0</v>
      </c>
      <c r="L78" s="716">
        <v>0</v>
      </c>
      <c r="M78" s="716">
        <v>0</v>
      </c>
      <c r="N78" s="716">
        <v>0</v>
      </c>
      <c r="O78" s="716">
        <v>0</v>
      </c>
      <c r="P78" s="716">
        <v>0</v>
      </c>
      <c r="Q78" s="243">
        <f t="shared" si="18"/>
        <v>0</v>
      </c>
      <c r="R78" s="243"/>
      <c r="S78" s="243"/>
      <c r="T78" s="243"/>
      <c r="U78" s="243"/>
      <c r="V78" s="243"/>
      <c r="W78" s="243"/>
      <c r="X78" s="243"/>
      <c r="Y78" s="243"/>
      <c r="Z78" s="243">
        <f t="shared" si="19"/>
        <v>0</v>
      </c>
    </row>
    <row r="79" spans="1:26" s="27" customFormat="1" x14ac:dyDescent="0.25">
      <c r="A79" s="808">
        <v>69</v>
      </c>
      <c r="B79" s="71" t="s">
        <v>176</v>
      </c>
      <c r="C79" s="31" t="s">
        <v>177</v>
      </c>
      <c r="D79" s="716">
        <v>0</v>
      </c>
      <c r="E79" s="716">
        <v>0</v>
      </c>
      <c r="F79" s="716">
        <v>0</v>
      </c>
      <c r="G79" s="716">
        <f t="shared" si="16"/>
        <v>0</v>
      </c>
      <c r="H79" s="716">
        <v>0</v>
      </c>
      <c r="I79" s="716">
        <v>0</v>
      </c>
      <c r="J79" s="716">
        <v>0</v>
      </c>
      <c r="K79" s="716">
        <f t="shared" si="17"/>
        <v>0</v>
      </c>
      <c r="L79" s="716">
        <v>0</v>
      </c>
      <c r="M79" s="716">
        <v>0</v>
      </c>
      <c r="N79" s="716">
        <v>0</v>
      </c>
      <c r="O79" s="716">
        <v>0</v>
      </c>
      <c r="P79" s="716">
        <v>0</v>
      </c>
      <c r="Q79" s="243">
        <f t="shared" si="18"/>
        <v>0</v>
      </c>
      <c r="R79" s="243"/>
      <c r="S79" s="243"/>
      <c r="T79" s="243"/>
      <c r="U79" s="243"/>
      <c r="V79" s="243"/>
      <c r="W79" s="243"/>
      <c r="X79" s="243"/>
      <c r="Y79" s="243"/>
      <c r="Z79" s="243">
        <f t="shared" si="19"/>
        <v>0</v>
      </c>
    </row>
    <row r="80" spans="1:26" s="27" customFormat="1" x14ac:dyDescent="0.25">
      <c r="A80" s="808">
        <v>70</v>
      </c>
      <c r="B80" s="71" t="s">
        <v>178</v>
      </c>
      <c r="C80" s="31" t="s">
        <v>179</v>
      </c>
      <c r="D80" s="716">
        <v>0</v>
      </c>
      <c r="E80" s="716">
        <v>0</v>
      </c>
      <c r="F80" s="716">
        <v>0</v>
      </c>
      <c r="G80" s="716">
        <f t="shared" si="16"/>
        <v>0</v>
      </c>
      <c r="H80" s="716">
        <v>0</v>
      </c>
      <c r="I80" s="716">
        <v>0</v>
      </c>
      <c r="J80" s="716">
        <v>0</v>
      </c>
      <c r="K80" s="716">
        <f t="shared" si="17"/>
        <v>0</v>
      </c>
      <c r="L80" s="716">
        <v>0</v>
      </c>
      <c r="M80" s="716">
        <v>0</v>
      </c>
      <c r="N80" s="716">
        <v>0</v>
      </c>
      <c r="O80" s="716">
        <v>0</v>
      </c>
      <c r="P80" s="716">
        <v>0</v>
      </c>
      <c r="Q80" s="243">
        <f t="shared" si="18"/>
        <v>0</v>
      </c>
      <c r="R80" s="243"/>
      <c r="S80" s="243"/>
      <c r="T80" s="243"/>
      <c r="U80" s="243"/>
      <c r="V80" s="243"/>
      <c r="W80" s="243"/>
      <c r="X80" s="243"/>
      <c r="Y80" s="243"/>
      <c r="Z80" s="243">
        <f t="shared" si="19"/>
        <v>0</v>
      </c>
    </row>
    <row r="81" spans="1:26" s="27" customFormat="1" x14ac:dyDescent="0.25">
      <c r="A81" s="808">
        <v>71</v>
      </c>
      <c r="B81" s="71" t="s">
        <v>180</v>
      </c>
      <c r="C81" s="31" t="s">
        <v>181</v>
      </c>
      <c r="D81" s="716">
        <v>0</v>
      </c>
      <c r="E81" s="716">
        <v>0</v>
      </c>
      <c r="F81" s="716">
        <v>0</v>
      </c>
      <c r="G81" s="716">
        <f t="shared" si="16"/>
        <v>0</v>
      </c>
      <c r="H81" s="716">
        <v>0</v>
      </c>
      <c r="I81" s="716">
        <v>0</v>
      </c>
      <c r="J81" s="716">
        <v>0</v>
      </c>
      <c r="K81" s="716">
        <f t="shared" si="17"/>
        <v>0</v>
      </c>
      <c r="L81" s="716">
        <v>0</v>
      </c>
      <c r="M81" s="716">
        <v>0</v>
      </c>
      <c r="N81" s="716">
        <v>0</v>
      </c>
      <c r="O81" s="716">
        <v>0</v>
      </c>
      <c r="P81" s="716">
        <v>0</v>
      </c>
      <c r="Q81" s="243">
        <f t="shared" si="18"/>
        <v>0</v>
      </c>
      <c r="R81" s="243"/>
      <c r="S81" s="243"/>
      <c r="T81" s="243"/>
      <c r="U81" s="243"/>
      <c r="V81" s="243"/>
      <c r="W81" s="243"/>
      <c r="X81" s="243"/>
      <c r="Y81" s="243"/>
      <c r="Z81" s="243">
        <f t="shared" si="19"/>
        <v>0</v>
      </c>
    </row>
    <row r="82" spans="1:26" s="27" customFormat="1" x14ac:dyDescent="0.25">
      <c r="A82" s="808">
        <v>72</v>
      </c>
      <c r="B82" s="807" t="s">
        <v>182</v>
      </c>
      <c r="C82" s="31" t="s">
        <v>183</v>
      </c>
      <c r="D82" s="716">
        <v>1890</v>
      </c>
      <c r="E82" s="716">
        <v>52</v>
      </c>
      <c r="F82" s="716">
        <v>275</v>
      </c>
      <c r="G82" s="716">
        <f t="shared" si="16"/>
        <v>0</v>
      </c>
      <c r="H82" s="716">
        <v>0</v>
      </c>
      <c r="I82" s="716">
        <v>0</v>
      </c>
      <c r="J82" s="716">
        <v>0</v>
      </c>
      <c r="K82" s="716">
        <f t="shared" si="17"/>
        <v>2217</v>
      </c>
      <c r="L82" s="716">
        <v>0</v>
      </c>
      <c r="M82" s="716">
        <v>0</v>
      </c>
      <c r="N82" s="716">
        <v>0</v>
      </c>
      <c r="O82" s="716">
        <v>0</v>
      </c>
      <c r="P82" s="716">
        <v>0</v>
      </c>
      <c r="Q82" s="243">
        <f t="shared" si="18"/>
        <v>0</v>
      </c>
      <c r="R82" s="243"/>
      <c r="S82" s="243"/>
      <c r="T82" s="243"/>
      <c r="U82" s="243"/>
      <c r="V82" s="243"/>
      <c r="W82" s="243"/>
      <c r="X82" s="243"/>
      <c r="Y82" s="243"/>
      <c r="Z82" s="243">
        <f t="shared" si="19"/>
        <v>0</v>
      </c>
    </row>
    <row r="83" spans="1:26" s="27" customFormat="1" x14ac:dyDescent="0.25">
      <c r="A83" s="808">
        <v>73</v>
      </c>
      <c r="B83" s="71" t="s">
        <v>184</v>
      </c>
      <c r="C83" s="31" t="s">
        <v>185</v>
      </c>
      <c r="D83" s="716">
        <v>4557</v>
      </c>
      <c r="E83" s="716">
        <v>178</v>
      </c>
      <c r="F83" s="716">
        <v>664</v>
      </c>
      <c r="G83" s="716">
        <f t="shared" si="16"/>
        <v>0</v>
      </c>
      <c r="H83" s="716">
        <v>0</v>
      </c>
      <c r="I83" s="716">
        <v>0</v>
      </c>
      <c r="J83" s="716">
        <v>0</v>
      </c>
      <c r="K83" s="716">
        <f t="shared" si="17"/>
        <v>5399</v>
      </c>
      <c r="L83" s="716">
        <v>0</v>
      </c>
      <c r="M83" s="716">
        <v>0</v>
      </c>
      <c r="N83" s="716">
        <v>0</v>
      </c>
      <c r="O83" s="716">
        <v>0</v>
      </c>
      <c r="P83" s="716">
        <v>0</v>
      </c>
      <c r="Q83" s="243">
        <f t="shared" si="18"/>
        <v>0</v>
      </c>
      <c r="R83" s="243"/>
      <c r="S83" s="243"/>
      <c r="T83" s="243"/>
      <c r="U83" s="243"/>
      <c r="V83" s="243"/>
      <c r="W83" s="243"/>
      <c r="X83" s="243"/>
      <c r="Y83" s="243"/>
      <c r="Z83" s="243">
        <f t="shared" si="19"/>
        <v>0</v>
      </c>
    </row>
    <row r="84" spans="1:26" s="27" customFormat="1" x14ac:dyDescent="0.25">
      <c r="A84" s="808">
        <v>74</v>
      </c>
      <c r="B84" s="807" t="s">
        <v>186</v>
      </c>
      <c r="C84" s="31" t="s">
        <v>187</v>
      </c>
      <c r="D84" s="716">
        <v>2479</v>
      </c>
      <c r="E84" s="716">
        <v>68</v>
      </c>
      <c r="F84" s="716">
        <v>361</v>
      </c>
      <c r="G84" s="716">
        <f t="shared" si="16"/>
        <v>366</v>
      </c>
      <c r="H84" s="716">
        <v>336</v>
      </c>
      <c r="I84" s="716">
        <v>0</v>
      </c>
      <c r="J84" s="716">
        <v>30</v>
      </c>
      <c r="K84" s="716">
        <f t="shared" si="17"/>
        <v>3274</v>
      </c>
      <c r="L84" s="716">
        <v>0</v>
      </c>
      <c r="M84" s="716">
        <v>0</v>
      </c>
      <c r="N84" s="716">
        <v>0</v>
      </c>
      <c r="O84" s="716">
        <v>0</v>
      </c>
      <c r="P84" s="716">
        <v>0</v>
      </c>
      <c r="Q84" s="243">
        <f t="shared" si="18"/>
        <v>0</v>
      </c>
      <c r="R84" s="243"/>
      <c r="S84" s="243"/>
      <c r="T84" s="243"/>
      <c r="U84" s="243"/>
      <c r="V84" s="243"/>
      <c r="W84" s="243"/>
      <c r="X84" s="243"/>
      <c r="Y84" s="243"/>
      <c r="Z84" s="243">
        <f t="shared" si="19"/>
        <v>0</v>
      </c>
    </row>
    <row r="85" spans="1:26" s="27" customFormat="1" x14ac:dyDescent="0.25">
      <c r="A85" s="808">
        <v>75</v>
      </c>
      <c r="B85" s="71" t="s">
        <v>188</v>
      </c>
      <c r="C85" s="31" t="s">
        <v>461</v>
      </c>
      <c r="D85" s="716">
        <v>1923</v>
      </c>
      <c r="E85" s="716">
        <v>0</v>
      </c>
      <c r="F85" s="716">
        <v>321</v>
      </c>
      <c r="G85" s="716">
        <f t="shared" si="16"/>
        <v>0</v>
      </c>
      <c r="H85" s="716">
        <v>0</v>
      </c>
      <c r="I85" s="716">
        <v>0</v>
      </c>
      <c r="J85" s="716">
        <v>0</v>
      </c>
      <c r="K85" s="716">
        <f t="shared" si="17"/>
        <v>2244</v>
      </c>
      <c r="L85" s="716">
        <v>0</v>
      </c>
      <c r="M85" s="716">
        <v>0</v>
      </c>
      <c r="N85" s="716">
        <v>0</v>
      </c>
      <c r="O85" s="716">
        <v>0</v>
      </c>
      <c r="P85" s="716">
        <v>0</v>
      </c>
      <c r="Q85" s="243">
        <f t="shared" si="18"/>
        <v>0</v>
      </c>
      <c r="R85" s="243"/>
      <c r="S85" s="243"/>
      <c r="T85" s="243"/>
      <c r="U85" s="243"/>
      <c r="V85" s="243"/>
      <c r="W85" s="243"/>
      <c r="X85" s="243"/>
      <c r="Y85" s="243"/>
      <c r="Z85" s="243">
        <f t="shared" si="19"/>
        <v>0</v>
      </c>
    </row>
    <row r="86" spans="1:26" s="27" customFormat="1" x14ac:dyDescent="0.25">
      <c r="A86" s="808">
        <v>76</v>
      </c>
      <c r="B86" s="71" t="s">
        <v>190</v>
      </c>
      <c r="C86" s="31" t="s">
        <v>191</v>
      </c>
      <c r="D86" s="716">
        <v>4198</v>
      </c>
      <c r="E86" s="716">
        <v>150</v>
      </c>
      <c r="F86" s="716">
        <v>859</v>
      </c>
      <c r="G86" s="716">
        <f t="shared" si="16"/>
        <v>624</v>
      </c>
      <c r="H86" s="716">
        <v>432</v>
      </c>
      <c r="I86" s="716">
        <v>62</v>
      </c>
      <c r="J86" s="716">
        <v>130</v>
      </c>
      <c r="K86" s="716">
        <f t="shared" si="17"/>
        <v>5831</v>
      </c>
      <c r="L86" s="716">
        <v>328</v>
      </c>
      <c r="M86" s="716">
        <v>2774</v>
      </c>
      <c r="N86" s="716">
        <v>8161</v>
      </c>
      <c r="O86" s="716">
        <v>5210</v>
      </c>
      <c r="P86" s="716">
        <v>762</v>
      </c>
      <c r="Q86" s="243">
        <f t="shared" si="18"/>
        <v>17235</v>
      </c>
      <c r="R86" s="243"/>
      <c r="S86" s="243"/>
      <c r="T86" s="243"/>
      <c r="U86" s="243"/>
      <c r="V86" s="243"/>
      <c r="W86" s="243"/>
      <c r="X86" s="243"/>
      <c r="Y86" s="243"/>
      <c r="Z86" s="243">
        <f t="shared" si="19"/>
        <v>0</v>
      </c>
    </row>
    <row r="87" spans="1:26" s="27" customFormat="1" x14ac:dyDescent="0.25">
      <c r="A87" s="808">
        <v>77</v>
      </c>
      <c r="B87" s="71" t="s">
        <v>192</v>
      </c>
      <c r="C87" s="31" t="s">
        <v>193</v>
      </c>
      <c r="D87" s="716">
        <v>660</v>
      </c>
      <c r="E87" s="716">
        <v>0</v>
      </c>
      <c r="F87" s="716">
        <v>0</v>
      </c>
      <c r="G87" s="716">
        <f t="shared" si="16"/>
        <v>0</v>
      </c>
      <c r="H87" s="716">
        <v>0</v>
      </c>
      <c r="I87" s="716">
        <v>0</v>
      </c>
      <c r="J87" s="716">
        <v>0</v>
      </c>
      <c r="K87" s="716">
        <f t="shared" si="17"/>
        <v>660</v>
      </c>
      <c r="L87" s="716">
        <v>0</v>
      </c>
      <c r="M87" s="716">
        <v>0</v>
      </c>
      <c r="N87" s="716">
        <v>0</v>
      </c>
      <c r="O87" s="716">
        <v>0</v>
      </c>
      <c r="P87" s="716">
        <v>0</v>
      </c>
      <c r="Q87" s="243">
        <f t="shared" si="18"/>
        <v>0</v>
      </c>
      <c r="R87" s="243"/>
      <c r="S87" s="243"/>
      <c r="T87" s="243"/>
      <c r="U87" s="243"/>
      <c r="V87" s="243"/>
      <c r="W87" s="243"/>
      <c r="X87" s="243"/>
      <c r="Y87" s="243"/>
      <c r="Z87" s="243">
        <f t="shared" si="19"/>
        <v>0</v>
      </c>
    </row>
    <row r="88" spans="1:26" s="27" customFormat="1" x14ac:dyDescent="0.25">
      <c r="A88" s="808">
        <v>78</v>
      </c>
      <c r="B88" s="71" t="s">
        <v>194</v>
      </c>
      <c r="C88" s="31" t="s">
        <v>195</v>
      </c>
      <c r="D88" s="716">
        <v>3378</v>
      </c>
      <c r="E88" s="716">
        <v>0</v>
      </c>
      <c r="F88" s="716">
        <v>492</v>
      </c>
      <c r="G88" s="716">
        <f t="shared" si="16"/>
        <v>894</v>
      </c>
      <c r="H88" s="716">
        <v>729</v>
      </c>
      <c r="I88" s="716">
        <v>0</v>
      </c>
      <c r="J88" s="716">
        <v>165</v>
      </c>
      <c r="K88" s="716">
        <f t="shared" si="17"/>
        <v>4764</v>
      </c>
      <c r="L88" s="716">
        <v>0</v>
      </c>
      <c r="M88" s="716">
        <v>0</v>
      </c>
      <c r="N88" s="716">
        <v>0</v>
      </c>
      <c r="O88" s="716">
        <v>0</v>
      </c>
      <c r="P88" s="716">
        <v>0</v>
      </c>
      <c r="Q88" s="243">
        <f t="shared" si="18"/>
        <v>0</v>
      </c>
      <c r="R88" s="243"/>
      <c r="S88" s="243"/>
      <c r="T88" s="243"/>
      <c r="U88" s="243"/>
      <c r="V88" s="243"/>
      <c r="W88" s="243"/>
      <c r="X88" s="243"/>
      <c r="Y88" s="243"/>
      <c r="Z88" s="243">
        <f t="shared" si="19"/>
        <v>0</v>
      </c>
    </row>
    <row r="89" spans="1:26" s="27" customFormat="1" x14ac:dyDescent="0.25">
      <c r="A89" s="808">
        <v>79</v>
      </c>
      <c r="B89" s="71" t="s">
        <v>196</v>
      </c>
      <c r="C89" s="31" t="s">
        <v>197</v>
      </c>
      <c r="D89" s="716">
        <v>0</v>
      </c>
      <c r="E89" s="716">
        <v>0</v>
      </c>
      <c r="F89" s="716">
        <v>0</v>
      </c>
      <c r="G89" s="716">
        <f t="shared" si="16"/>
        <v>0</v>
      </c>
      <c r="H89" s="716">
        <v>0</v>
      </c>
      <c r="I89" s="716">
        <v>0</v>
      </c>
      <c r="J89" s="716">
        <v>0</v>
      </c>
      <c r="K89" s="716">
        <f t="shared" si="17"/>
        <v>0</v>
      </c>
      <c r="L89" s="716">
        <v>0</v>
      </c>
      <c r="M89" s="716">
        <v>0</v>
      </c>
      <c r="N89" s="716">
        <v>0</v>
      </c>
      <c r="O89" s="716">
        <v>0</v>
      </c>
      <c r="P89" s="716">
        <v>0</v>
      </c>
      <c r="Q89" s="243">
        <f t="shared" si="18"/>
        <v>0</v>
      </c>
      <c r="R89" s="243"/>
      <c r="S89" s="243"/>
      <c r="T89" s="243"/>
      <c r="U89" s="243"/>
      <c r="V89" s="243"/>
      <c r="W89" s="243"/>
      <c r="X89" s="243"/>
      <c r="Y89" s="243"/>
      <c r="Z89" s="243">
        <f t="shared" si="19"/>
        <v>0</v>
      </c>
    </row>
    <row r="90" spans="1:26" s="27" customFormat="1" x14ac:dyDescent="0.25">
      <c r="A90" s="808">
        <v>80</v>
      </c>
      <c r="B90" s="72" t="s">
        <v>30</v>
      </c>
      <c r="C90" s="31" t="s">
        <v>198</v>
      </c>
      <c r="D90" s="716">
        <v>0</v>
      </c>
      <c r="E90" s="716">
        <v>0</v>
      </c>
      <c r="F90" s="716">
        <v>0</v>
      </c>
      <c r="G90" s="716">
        <f t="shared" si="16"/>
        <v>0</v>
      </c>
      <c r="H90" s="716">
        <v>0</v>
      </c>
      <c r="I90" s="716">
        <v>0</v>
      </c>
      <c r="J90" s="716">
        <v>0</v>
      </c>
      <c r="K90" s="716">
        <f t="shared" si="17"/>
        <v>0</v>
      </c>
      <c r="L90" s="716">
        <v>0</v>
      </c>
      <c r="M90" s="716">
        <v>0</v>
      </c>
      <c r="N90" s="716">
        <v>0</v>
      </c>
      <c r="O90" s="716">
        <v>0</v>
      </c>
      <c r="P90" s="716">
        <v>0</v>
      </c>
      <c r="Q90" s="243">
        <f t="shared" si="18"/>
        <v>0</v>
      </c>
      <c r="R90" s="243"/>
      <c r="S90" s="243"/>
      <c r="T90" s="243"/>
      <c r="U90" s="243"/>
      <c r="V90" s="243"/>
      <c r="W90" s="243"/>
      <c r="X90" s="243"/>
      <c r="Y90" s="243"/>
      <c r="Z90" s="243">
        <f t="shared" si="19"/>
        <v>0</v>
      </c>
    </row>
    <row r="91" spans="1:26" s="27" customFormat="1" ht="24" x14ac:dyDescent="0.25">
      <c r="A91" s="1151">
        <v>81</v>
      </c>
      <c r="B91" s="952" t="s">
        <v>199</v>
      </c>
      <c r="C91" s="191" t="s">
        <v>200</v>
      </c>
      <c r="D91" s="716">
        <v>183</v>
      </c>
      <c r="E91" s="716">
        <v>5</v>
      </c>
      <c r="F91" s="716">
        <v>27</v>
      </c>
      <c r="G91" s="716">
        <f t="shared" si="16"/>
        <v>0</v>
      </c>
      <c r="H91" s="716">
        <v>0</v>
      </c>
      <c r="I91" s="716">
        <v>0</v>
      </c>
      <c r="J91" s="716">
        <v>0</v>
      </c>
      <c r="K91" s="716">
        <f t="shared" si="17"/>
        <v>215</v>
      </c>
      <c r="L91" s="716">
        <v>0</v>
      </c>
      <c r="M91" s="716">
        <v>0</v>
      </c>
      <c r="N91" s="716">
        <v>0</v>
      </c>
      <c r="O91" s="716">
        <v>0</v>
      </c>
      <c r="P91" s="716">
        <v>0</v>
      </c>
      <c r="Q91" s="243">
        <f t="shared" si="18"/>
        <v>0</v>
      </c>
      <c r="R91" s="243"/>
      <c r="S91" s="243"/>
      <c r="T91" s="243"/>
      <c r="U91" s="243"/>
      <c r="V91" s="243"/>
      <c r="W91" s="243"/>
      <c r="X91" s="243"/>
      <c r="Y91" s="243"/>
      <c r="Z91" s="243">
        <f t="shared" si="19"/>
        <v>0</v>
      </c>
    </row>
    <row r="92" spans="1:26" s="27" customFormat="1" ht="36" x14ac:dyDescent="0.25">
      <c r="A92" s="1152"/>
      <c r="B92" s="953"/>
      <c r="C92" s="31" t="s">
        <v>201</v>
      </c>
      <c r="D92" s="716">
        <v>183</v>
      </c>
      <c r="E92" s="716">
        <v>5</v>
      </c>
      <c r="F92" s="716">
        <v>27</v>
      </c>
      <c r="G92" s="716">
        <f t="shared" si="16"/>
        <v>0</v>
      </c>
      <c r="H92" s="716">
        <v>0</v>
      </c>
      <c r="I92" s="716">
        <v>0</v>
      </c>
      <c r="J92" s="716">
        <v>0</v>
      </c>
      <c r="K92" s="716">
        <f t="shared" si="17"/>
        <v>215</v>
      </c>
      <c r="L92" s="716">
        <v>0</v>
      </c>
      <c r="M92" s="716">
        <v>0</v>
      </c>
      <c r="N92" s="716">
        <v>0</v>
      </c>
      <c r="O92" s="716">
        <v>0</v>
      </c>
      <c r="P92" s="716">
        <v>0</v>
      </c>
      <c r="Q92" s="243">
        <f t="shared" si="18"/>
        <v>0</v>
      </c>
      <c r="R92" s="243"/>
      <c r="S92" s="243"/>
      <c r="T92" s="243"/>
      <c r="U92" s="243"/>
      <c r="V92" s="243"/>
      <c r="W92" s="243"/>
      <c r="X92" s="243"/>
      <c r="Y92" s="243"/>
      <c r="Z92" s="243">
        <f t="shared" si="19"/>
        <v>0</v>
      </c>
    </row>
    <row r="93" spans="1:26" s="27" customFormat="1" ht="24" x14ac:dyDescent="0.25">
      <c r="A93" s="1152"/>
      <c r="B93" s="953"/>
      <c r="C93" s="31" t="s">
        <v>202</v>
      </c>
      <c r="D93" s="716">
        <v>0</v>
      </c>
      <c r="E93" s="716">
        <v>0</v>
      </c>
      <c r="F93" s="716">
        <v>0</v>
      </c>
      <c r="G93" s="716">
        <f t="shared" si="16"/>
        <v>0</v>
      </c>
      <c r="H93" s="716">
        <v>0</v>
      </c>
      <c r="I93" s="716">
        <v>0</v>
      </c>
      <c r="J93" s="716">
        <v>0</v>
      </c>
      <c r="K93" s="716">
        <f t="shared" si="17"/>
        <v>0</v>
      </c>
      <c r="L93" s="716">
        <v>0</v>
      </c>
      <c r="M93" s="716">
        <v>0</v>
      </c>
      <c r="N93" s="716">
        <v>0</v>
      </c>
      <c r="O93" s="716">
        <v>0</v>
      </c>
      <c r="P93" s="716">
        <v>0</v>
      </c>
      <c r="Q93" s="243">
        <f t="shared" si="18"/>
        <v>0</v>
      </c>
      <c r="R93" s="243"/>
      <c r="S93" s="243"/>
      <c r="T93" s="243"/>
      <c r="U93" s="243"/>
      <c r="V93" s="243"/>
      <c r="W93" s="243"/>
      <c r="X93" s="243"/>
      <c r="Y93" s="243"/>
      <c r="Z93" s="243">
        <f t="shared" si="19"/>
        <v>0</v>
      </c>
    </row>
    <row r="94" spans="1:26" s="27" customFormat="1" ht="36" x14ac:dyDescent="0.25">
      <c r="A94" s="1153"/>
      <c r="B94" s="954"/>
      <c r="C94" s="131" t="s">
        <v>203</v>
      </c>
      <c r="D94" s="716">
        <v>0</v>
      </c>
      <c r="E94" s="716">
        <v>0</v>
      </c>
      <c r="F94" s="716">
        <v>0</v>
      </c>
      <c r="G94" s="716">
        <f t="shared" si="16"/>
        <v>0</v>
      </c>
      <c r="H94" s="716">
        <v>0</v>
      </c>
      <c r="I94" s="716">
        <v>0</v>
      </c>
      <c r="J94" s="716">
        <v>0</v>
      </c>
      <c r="K94" s="716">
        <f t="shared" si="17"/>
        <v>0</v>
      </c>
      <c r="L94" s="716">
        <v>0</v>
      </c>
      <c r="M94" s="716">
        <v>0</v>
      </c>
      <c r="N94" s="716">
        <v>0</v>
      </c>
      <c r="O94" s="716">
        <v>0</v>
      </c>
      <c r="P94" s="716">
        <v>0</v>
      </c>
      <c r="Q94" s="243">
        <f t="shared" si="18"/>
        <v>0</v>
      </c>
      <c r="R94" s="243"/>
      <c r="S94" s="243"/>
      <c r="T94" s="243"/>
      <c r="U94" s="243"/>
      <c r="V94" s="243"/>
      <c r="W94" s="243"/>
      <c r="X94" s="243"/>
      <c r="Y94" s="243"/>
      <c r="Z94" s="243">
        <f t="shared" si="19"/>
        <v>0</v>
      </c>
    </row>
    <row r="95" spans="1:26" s="27" customFormat="1" ht="24" x14ac:dyDescent="0.25">
      <c r="A95" s="808">
        <v>82</v>
      </c>
      <c r="B95" s="72" t="s">
        <v>204</v>
      </c>
      <c r="C95" s="31" t="s">
        <v>205</v>
      </c>
      <c r="D95" s="716">
        <v>0</v>
      </c>
      <c r="E95" s="716">
        <v>0</v>
      </c>
      <c r="F95" s="716">
        <v>0</v>
      </c>
      <c r="G95" s="716">
        <f t="shared" si="16"/>
        <v>0</v>
      </c>
      <c r="H95" s="716">
        <v>0</v>
      </c>
      <c r="I95" s="716">
        <v>0</v>
      </c>
      <c r="J95" s="716">
        <v>0</v>
      </c>
      <c r="K95" s="716">
        <f t="shared" si="17"/>
        <v>0</v>
      </c>
      <c r="L95" s="716">
        <v>0</v>
      </c>
      <c r="M95" s="716">
        <v>0</v>
      </c>
      <c r="N95" s="716">
        <v>0</v>
      </c>
      <c r="O95" s="716">
        <v>0</v>
      </c>
      <c r="P95" s="716">
        <v>0</v>
      </c>
      <c r="Q95" s="243">
        <f t="shared" si="18"/>
        <v>0</v>
      </c>
      <c r="R95" s="243"/>
      <c r="S95" s="243"/>
      <c r="T95" s="243"/>
      <c r="U95" s="243"/>
      <c r="V95" s="243"/>
      <c r="W95" s="243"/>
      <c r="X95" s="243"/>
      <c r="Y95" s="243"/>
      <c r="Z95" s="243">
        <f t="shared" si="19"/>
        <v>0</v>
      </c>
    </row>
    <row r="96" spans="1:26" s="27" customFormat="1" x14ac:dyDescent="0.25">
      <c r="A96" s="808">
        <v>83</v>
      </c>
      <c r="B96" s="72" t="s">
        <v>206</v>
      </c>
      <c r="C96" s="31" t="s">
        <v>207</v>
      </c>
      <c r="D96" s="716">
        <v>145</v>
      </c>
      <c r="E96" s="716">
        <v>0</v>
      </c>
      <c r="F96" s="716">
        <v>0</v>
      </c>
      <c r="G96" s="716">
        <f t="shared" si="16"/>
        <v>0</v>
      </c>
      <c r="H96" s="716">
        <v>0</v>
      </c>
      <c r="I96" s="716">
        <v>0</v>
      </c>
      <c r="J96" s="716">
        <v>0</v>
      </c>
      <c r="K96" s="716">
        <f t="shared" si="17"/>
        <v>145</v>
      </c>
      <c r="L96" s="716">
        <v>0</v>
      </c>
      <c r="M96" s="716">
        <v>0</v>
      </c>
      <c r="N96" s="716">
        <v>0</v>
      </c>
      <c r="O96" s="716">
        <v>0</v>
      </c>
      <c r="P96" s="716">
        <v>0</v>
      </c>
      <c r="Q96" s="243">
        <f t="shared" si="18"/>
        <v>0</v>
      </c>
      <c r="R96" s="243"/>
      <c r="S96" s="243"/>
      <c r="T96" s="243"/>
      <c r="U96" s="243"/>
      <c r="V96" s="243"/>
      <c r="W96" s="243"/>
      <c r="X96" s="243"/>
      <c r="Y96" s="243"/>
      <c r="Z96" s="243">
        <f t="shared" si="19"/>
        <v>0</v>
      </c>
    </row>
    <row r="97" spans="1:26" s="27" customFormat="1" x14ac:dyDescent="0.25">
      <c r="A97" s="808">
        <v>84</v>
      </c>
      <c r="B97" s="807" t="s">
        <v>208</v>
      </c>
      <c r="C97" s="31" t="s">
        <v>209</v>
      </c>
      <c r="D97" s="716">
        <v>902</v>
      </c>
      <c r="E97" s="716">
        <v>23</v>
      </c>
      <c r="F97" s="716">
        <v>152</v>
      </c>
      <c r="G97" s="716">
        <f t="shared" si="16"/>
        <v>372</v>
      </c>
      <c r="H97" s="716">
        <v>272</v>
      </c>
      <c r="I97" s="716">
        <v>34</v>
      </c>
      <c r="J97" s="716">
        <v>66</v>
      </c>
      <c r="K97" s="716">
        <f t="shared" si="17"/>
        <v>1449</v>
      </c>
      <c r="L97" s="716">
        <v>0</v>
      </c>
      <c r="M97" s="716">
        <v>0</v>
      </c>
      <c r="N97" s="716">
        <v>0</v>
      </c>
      <c r="O97" s="716">
        <v>0</v>
      </c>
      <c r="P97" s="716">
        <v>0</v>
      </c>
      <c r="Q97" s="243">
        <f t="shared" si="18"/>
        <v>0</v>
      </c>
      <c r="R97" s="243"/>
      <c r="S97" s="243"/>
      <c r="T97" s="243"/>
      <c r="U97" s="243"/>
      <c r="V97" s="243"/>
      <c r="W97" s="243"/>
      <c r="X97" s="243"/>
      <c r="Y97" s="243"/>
      <c r="Z97" s="243">
        <f t="shared" si="19"/>
        <v>0</v>
      </c>
    </row>
    <row r="98" spans="1:26" s="27" customFormat="1" x14ac:dyDescent="0.25">
      <c r="A98" s="808">
        <v>85</v>
      </c>
      <c r="B98" s="72" t="s">
        <v>210</v>
      </c>
      <c r="C98" s="31" t="s">
        <v>211</v>
      </c>
      <c r="D98" s="716">
        <v>352</v>
      </c>
      <c r="E98" s="716">
        <v>10</v>
      </c>
      <c r="F98" s="716">
        <v>0</v>
      </c>
      <c r="G98" s="716">
        <f t="shared" si="16"/>
        <v>0</v>
      </c>
      <c r="H98" s="716">
        <v>0</v>
      </c>
      <c r="I98" s="716">
        <v>0</v>
      </c>
      <c r="J98" s="716">
        <v>0</v>
      </c>
      <c r="K98" s="716">
        <f t="shared" si="17"/>
        <v>362</v>
      </c>
      <c r="L98" s="716">
        <v>0</v>
      </c>
      <c r="M98" s="716">
        <v>0</v>
      </c>
      <c r="N98" s="716">
        <v>0</v>
      </c>
      <c r="O98" s="716">
        <v>0</v>
      </c>
      <c r="P98" s="716">
        <v>0</v>
      </c>
      <c r="Q98" s="243">
        <f t="shared" si="18"/>
        <v>0</v>
      </c>
      <c r="R98" s="243"/>
      <c r="S98" s="243"/>
      <c r="T98" s="243"/>
      <c r="U98" s="243"/>
      <c r="V98" s="243"/>
      <c r="W98" s="243"/>
      <c r="X98" s="243"/>
      <c r="Y98" s="243"/>
      <c r="Z98" s="243">
        <f t="shared" si="19"/>
        <v>0</v>
      </c>
    </row>
    <row r="99" spans="1:26" s="27" customFormat="1" x14ac:dyDescent="0.25">
      <c r="A99" s="808">
        <v>86</v>
      </c>
      <c r="B99" s="807" t="s">
        <v>212</v>
      </c>
      <c r="C99" s="31" t="s">
        <v>213</v>
      </c>
      <c r="D99" s="716">
        <v>368</v>
      </c>
      <c r="E99" s="716">
        <v>0</v>
      </c>
      <c r="F99" s="716">
        <v>54</v>
      </c>
      <c r="G99" s="716">
        <f t="shared" si="16"/>
        <v>0</v>
      </c>
      <c r="H99" s="716">
        <v>0</v>
      </c>
      <c r="I99" s="716">
        <v>0</v>
      </c>
      <c r="J99" s="716">
        <v>0</v>
      </c>
      <c r="K99" s="716">
        <f t="shared" si="17"/>
        <v>422</v>
      </c>
      <c r="L99" s="716">
        <v>0</v>
      </c>
      <c r="M99" s="716">
        <v>0</v>
      </c>
      <c r="N99" s="716">
        <v>0</v>
      </c>
      <c r="O99" s="716">
        <v>0</v>
      </c>
      <c r="P99" s="716">
        <v>0</v>
      </c>
      <c r="Q99" s="243">
        <f t="shared" si="18"/>
        <v>0</v>
      </c>
      <c r="R99" s="243"/>
      <c r="S99" s="243"/>
      <c r="T99" s="243"/>
      <c r="U99" s="243"/>
      <c r="V99" s="243"/>
      <c r="W99" s="243"/>
      <c r="X99" s="243"/>
      <c r="Y99" s="243"/>
      <c r="Z99" s="243">
        <f t="shared" si="19"/>
        <v>0</v>
      </c>
    </row>
    <row r="100" spans="1:26" s="27" customFormat="1" x14ac:dyDescent="0.25">
      <c r="A100" s="808">
        <v>87</v>
      </c>
      <c r="B100" s="807" t="s">
        <v>214</v>
      </c>
      <c r="C100" s="31" t="s">
        <v>215</v>
      </c>
      <c r="D100" s="716">
        <v>1032</v>
      </c>
      <c r="E100" s="716">
        <v>28</v>
      </c>
      <c r="F100" s="716">
        <v>150</v>
      </c>
      <c r="G100" s="716">
        <f t="shared" si="16"/>
        <v>0</v>
      </c>
      <c r="H100" s="716">
        <v>0</v>
      </c>
      <c r="I100" s="716">
        <v>0</v>
      </c>
      <c r="J100" s="716">
        <v>0</v>
      </c>
      <c r="K100" s="716">
        <f t="shared" si="17"/>
        <v>1210</v>
      </c>
      <c r="L100" s="716">
        <v>0</v>
      </c>
      <c r="M100" s="716">
        <v>0</v>
      </c>
      <c r="N100" s="716">
        <v>0</v>
      </c>
      <c r="O100" s="716">
        <v>0</v>
      </c>
      <c r="P100" s="716">
        <v>0</v>
      </c>
      <c r="Q100" s="243">
        <f t="shared" si="18"/>
        <v>0</v>
      </c>
      <c r="R100" s="243"/>
      <c r="S100" s="243"/>
      <c r="T100" s="243"/>
      <c r="U100" s="243"/>
      <c r="V100" s="243"/>
      <c r="W100" s="243"/>
      <c r="X100" s="243"/>
      <c r="Y100" s="243"/>
      <c r="Z100" s="243">
        <f t="shared" si="19"/>
        <v>0</v>
      </c>
    </row>
    <row r="101" spans="1:26" s="27" customFormat="1" x14ac:dyDescent="0.25">
      <c r="A101" s="808">
        <v>88</v>
      </c>
      <c r="B101" s="72" t="s">
        <v>216</v>
      </c>
      <c r="C101" s="31" t="s">
        <v>217</v>
      </c>
      <c r="D101" s="716">
        <v>435</v>
      </c>
      <c r="E101" s="716">
        <v>12</v>
      </c>
      <c r="F101" s="716">
        <v>63</v>
      </c>
      <c r="G101" s="716">
        <f t="shared" si="16"/>
        <v>58</v>
      </c>
      <c r="H101" s="716">
        <v>44</v>
      </c>
      <c r="I101" s="716">
        <v>6</v>
      </c>
      <c r="J101" s="716">
        <v>8</v>
      </c>
      <c r="K101" s="716">
        <f t="shared" si="17"/>
        <v>568</v>
      </c>
      <c r="L101" s="716">
        <v>0</v>
      </c>
      <c r="M101" s="716">
        <v>0</v>
      </c>
      <c r="N101" s="716">
        <v>0</v>
      </c>
      <c r="O101" s="716">
        <v>0</v>
      </c>
      <c r="P101" s="716">
        <v>0</v>
      </c>
      <c r="Q101" s="243">
        <f t="shared" si="18"/>
        <v>0</v>
      </c>
      <c r="R101" s="243"/>
      <c r="S101" s="243"/>
      <c r="T101" s="243"/>
      <c r="U101" s="243"/>
      <c r="V101" s="243"/>
      <c r="W101" s="243"/>
      <c r="X101" s="243"/>
      <c r="Y101" s="243"/>
      <c r="Z101" s="243">
        <f t="shared" si="19"/>
        <v>0</v>
      </c>
    </row>
    <row r="102" spans="1:26" s="27" customFormat="1" x14ac:dyDescent="0.25">
      <c r="A102" s="808">
        <v>89</v>
      </c>
      <c r="B102" s="71" t="s">
        <v>218</v>
      </c>
      <c r="C102" s="31" t="s">
        <v>219</v>
      </c>
      <c r="D102" s="716">
        <v>1264</v>
      </c>
      <c r="E102" s="716">
        <v>0</v>
      </c>
      <c r="F102" s="716">
        <v>0</v>
      </c>
      <c r="G102" s="716">
        <f t="shared" si="16"/>
        <v>0</v>
      </c>
      <c r="H102" s="716">
        <v>0</v>
      </c>
      <c r="I102" s="716">
        <v>0</v>
      </c>
      <c r="J102" s="716">
        <v>0</v>
      </c>
      <c r="K102" s="716">
        <f t="shared" si="17"/>
        <v>1264</v>
      </c>
      <c r="L102" s="716">
        <v>0</v>
      </c>
      <c r="M102" s="716">
        <v>0</v>
      </c>
      <c r="N102" s="716">
        <v>0</v>
      </c>
      <c r="O102" s="716">
        <v>0</v>
      </c>
      <c r="P102" s="716">
        <v>0</v>
      </c>
      <c r="Q102" s="243">
        <f t="shared" si="18"/>
        <v>0</v>
      </c>
      <c r="R102" s="243"/>
      <c r="S102" s="243"/>
      <c r="T102" s="243"/>
      <c r="U102" s="243"/>
      <c r="V102" s="243"/>
      <c r="W102" s="243"/>
      <c r="X102" s="243"/>
      <c r="Y102" s="243"/>
      <c r="Z102" s="243">
        <f t="shared" si="19"/>
        <v>0</v>
      </c>
    </row>
    <row r="103" spans="1:26" s="27" customFormat="1" x14ac:dyDescent="0.25">
      <c r="A103" s="808">
        <v>90</v>
      </c>
      <c r="B103" s="71" t="s">
        <v>220</v>
      </c>
      <c r="C103" s="31" t="s">
        <v>221</v>
      </c>
      <c r="D103" s="716">
        <v>974</v>
      </c>
      <c r="E103" s="716">
        <v>0</v>
      </c>
      <c r="F103" s="716">
        <v>142</v>
      </c>
      <c r="G103" s="716">
        <f t="shared" si="16"/>
        <v>0</v>
      </c>
      <c r="H103" s="716">
        <v>0</v>
      </c>
      <c r="I103" s="716">
        <v>0</v>
      </c>
      <c r="J103" s="716">
        <v>0</v>
      </c>
      <c r="K103" s="716">
        <f t="shared" si="17"/>
        <v>1116</v>
      </c>
      <c r="L103" s="716">
        <v>0</v>
      </c>
      <c r="M103" s="716">
        <v>0</v>
      </c>
      <c r="N103" s="716">
        <v>0</v>
      </c>
      <c r="O103" s="716">
        <v>0</v>
      </c>
      <c r="P103" s="716">
        <v>0</v>
      </c>
      <c r="Q103" s="243">
        <f t="shared" si="18"/>
        <v>0</v>
      </c>
      <c r="R103" s="243"/>
      <c r="S103" s="243"/>
      <c r="T103" s="243"/>
      <c r="U103" s="243"/>
      <c r="V103" s="243"/>
      <c r="W103" s="243"/>
      <c r="X103" s="243"/>
      <c r="Y103" s="243"/>
      <c r="Z103" s="243">
        <f t="shared" si="19"/>
        <v>0</v>
      </c>
    </row>
    <row r="104" spans="1:26" s="27" customFormat="1" x14ac:dyDescent="0.25">
      <c r="A104" s="808">
        <v>91</v>
      </c>
      <c r="B104" s="807" t="s">
        <v>222</v>
      </c>
      <c r="C104" s="31" t="s">
        <v>223</v>
      </c>
      <c r="D104" s="716">
        <v>333</v>
      </c>
      <c r="E104" s="716">
        <v>9</v>
      </c>
      <c r="F104" s="716">
        <v>106</v>
      </c>
      <c r="G104" s="716">
        <f t="shared" si="16"/>
        <v>201</v>
      </c>
      <c r="H104" s="716">
        <v>152</v>
      </c>
      <c r="I104" s="716">
        <v>21</v>
      </c>
      <c r="J104" s="716">
        <v>28</v>
      </c>
      <c r="K104" s="716">
        <f t="shared" si="17"/>
        <v>649</v>
      </c>
      <c r="L104" s="716">
        <v>0</v>
      </c>
      <c r="M104" s="716">
        <v>0</v>
      </c>
      <c r="N104" s="716">
        <v>0</v>
      </c>
      <c r="O104" s="716">
        <v>0</v>
      </c>
      <c r="P104" s="716">
        <v>0</v>
      </c>
      <c r="Q104" s="243">
        <f t="shared" si="18"/>
        <v>0</v>
      </c>
      <c r="R104" s="243"/>
      <c r="S104" s="243"/>
      <c r="T104" s="243"/>
      <c r="U104" s="243"/>
      <c r="V104" s="243"/>
      <c r="W104" s="243"/>
      <c r="X104" s="243"/>
      <c r="Y104" s="243"/>
      <c r="Z104" s="243">
        <f t="shared" si="19"/>
        <v>0</v>
      </c>
    </row>
    <row r="105" spans="1:26" s="27" customFormat="1" x14ac:dyDescent="0.25">
      <c r="A105" s="808">
        <v>92</v>
      </c>
      <c r="B105" s="71" t="s">
        <v>224</v>
      </c>
      <c r="C105" s="31" t="s">
        <v>225</v>
      </c>
      <c r="D105" s="716">
        <v>523</v>
      </c>
      <c r="E105" s="716">
        <v>0</v>
      </c>
      <c r="F105" s="716">
        <v>0</v>
      </c>
      <c r="G105" s="716">
        <f t="shared" si="16"/>
        <v>0</v>
      </c>
      <c r="H105" s="716">
        <v>0</v>
      </c>
      <c r="I105" s="716">
        <v>0</v>
      </c>
      <c r="J105" s="716">
        <v>0</v>
      </c>
      <c r="K105" s="716">
        <f t="shared" si="17"/>
        <v>523</v>
      </c>
      <c r="L105" s="716">
        <v>0</v>
      </c>
      <c r="M105" s="716">
        <v>0</v>
      </c>
      <c r="N105" s="716">
        <v>0</v>
      </c>
      <c r="O105" s="716">
        <v>0</v>
      </c>
      <c r="P105" s="716">
        <v>0</v>
      </c>
      <c r="Q105" s="243">
        <f t="shared" si="18"/>
        <v>0</v>
      </c>
      <c r="R105" s="243"/>
      <c r="S105" s="243"/>
      <c r="T105" s="243"/>
      <c r="U105" s="243"/>
      <c r="V105" s="243"/>
      <c r="W105" s="243"/>
      <c r="X105" s="243"/>
      <c r="Y105" s="243"/>
      <c r="Z105" s="243">
        <f t="shared" si="19"/>
        <v>0</v>
      </c>
    </row>
    <row r="106" spans="1:26" s="27" customFormat="1" x14ac:dyDescent="0.25">
      <c r="A106" s="808">
        <v>93</v>
      </c>
      <c r="B106" s="71" t="s">
        <v>226</v>
      </c>
      <c r="C106" s="31" t="s">
        <v>227</v>
      </c>
      <c r="D106" s="716">
        <v>494</v>
      </c>
      <c r="E106" s="716">
        <v>14</v>
      </c>
      <c r="F106" s="716">
        <v>72</v>
      </c>
      <c r="G106" s="716">
        <f t="shared" si="16"/>
        <v>0</v>
      </c>
      <c r="H106" s="716">
        <v>0</v>
      </c>
      <c r="I106" s="716">
        <v>0</v>
      </c>
      <c r="J106" s="716">
        <v>0</v>
      </c>
      <c r="K106" s="716">
        <f t="shared" si="17"/>
        <v>580</v>
      </c>
      <c r="L106" s="716">
        <v>0</v>
      </c>
      <c r="M106" s="716">
        <v>0</v>
      </c>
      <c r="N106" s="716">
        <v>0</v>
      </c>
      <c r="O106" s="716">
        <v>0</v>
      </c>
      <c r="P106" s="716">
        <v>0</v>
      </c>
      <c r="Q106" s="243">
        <f t="shared" si="18"/>
        <v>0</v>
      </c>
      <c r="R106" s="243"/>
      <c r="S106" s="243"/>
      <c r="T106" s="243"/>
      <c r="U106" s="243"/>
      <c r="V106" s="243"/>
      <c r="W106" s="243"/>
      <c r="X106" s="243"/>
      <c r="Y106" s="243"/>
      <c r="Z106" s="243">
        <f t="shared" si="19"/>
        <v>0</v>
      </c>
    </row>
    <row r="107" spans="1:26" s="27" customFormat="1" x14ac:dyDescent="0.25">
      <c r="A107" s="808">
        <v>94</v>
      </c>
      <c r="B107" s="72" t="s">
        <v>32</v>
      </c>
      <c r="C107" s="31" t="s">
        <v>33</v>
      </c>
      <c r="D107" s="716">
        <v>704</v>
      </c>
      <c r="E107" s="716">
        <v>26</v>
      </c>
      <c r="F107" s="716">
        <v>30</v>
      </c>
      <c r="G107" s="716">
        <f t="shared" si="16"/>
        <v>58</v>
      </c>
      <c r="H107" s="716">
        <v>52</v>
      </c>
      <c r="I107" s="716">
        <v>1</v>
      </c>
      <c r="J107" s="716">
        <v>5</v>
      </c>
      <c r="K107" s="716">
        <f t="shared" si="17"/>
        <v>818</v>
      </c>
      <c r="L107" s="716">
        <v>0</v>
      </c>
      <c r="M107" s="716">
        <v>0</v>
      </c>
      <c r="N107" s="716">
        <v>0</v>
      </c>
      <c r="O107" s="716">
        <v>0</v>
      </c>
      <c r="P107" s="716">
        <v>0</v>
      </c>
      <c r="Q107" s="243">
        <f t="shared" si="18"/>
        <v>0</v>
      </c>
      <c r="R107" s="243"/>
      <c r="S107" s="243"/>
      <c r="T107" s="243"/>
      <c r="U107" s="243"/>
      <c r="V107" s="243"/>
      <c r="W107" s="243"/>
      <c r="X107" s="243"/>
      <c r="Y107" s="243"/>
      <c r="Z107" s="243">
        <f t="shared" si="19"/>
        <v>0</v>
      </c>
    </row>
    <row r="108" spans="1:26" s="245" customFormat="1" x14ac:dyDescent="0.25">
      <c r="A108" s="808">
        <v>95</v>
      </c>
      <c r="B108" s="807" t="s">
        <v>228</v>
      </c>
      <c r="C108" s="31" t="s">
        <v>229</v>
      </c>
      <c r="D108" s="716">
        <v>383</v>
      </c>
      <c r="E108" s="716">
        <v>0</v>
      </c>
      <c r="F108" s="716">
        <v>0</v>
      </c>
      <c r="G108" s="716">
        <f t="shared" si="16"/>
        <v>0</v>
      </c>
      <c r="H108" s="716">
        <v>0</v>
      </c>
      <c r="I108" s="716">
        <v>0</v>
      </c>
      <c r="J108" s="716">
        <v>0</v>
      </c>
      <c r="K108" s="716">
        <f t="shared" si="17"/>
        <v>383</v>
      </c>
      <c r="L108" s="716">
        <v>0</v>
      </c>
      <c r="M108" s="716">
        <v>0</v>
      </c>
      <c r="N108" s="716">
        <v>0</v>
      </c>
      <c r="O108" s="716">
        <v>0</v>
      </c>
      <c r="P108" s="716">
        <v>0</v>
      </c>
      <c r="Q108" s="243">
        <f t="shared" si="18"/>
        <v>0</v>
      </c>
      <c r="R108" s="243"/>
      <c r="S108" s="243"/>
      <c r="T108" s="243"/>
      <c r="U108" s="243"/>
      <c r="V108" s="243"/>
      <c r="W108" s="243"/>
      <c r="X108" s="243"/>
      <c r="Y108" s="243"/>
      <c r="Z108" s="243">
        <f t="shared" si="19"/>
        <v>0</v>
      </c>
    </row>
    <row r="109" spans="1:26" s="27" customFormat="1" x14ac:dyDescent="0.25">
      <c r="A109" s="808">
        <v>96</v>
      </c>
      <c r="B109" s="71" t="s">
        <v>230</v>
      </c>
      <c r="C109" s="31" t="s">
        <v>231</v>
      </c>
      <c r="D109" s="716">
        <v>1013</v>
      </c>
      <c r="E109" s="716">
        <v>28</v>
      </c>
      <c r="F109" s="716">
        <v>147</v>
      </c>
      <c r="G109" s="716">
        <f t="shared" si="16"/>
        <v>0</v>
      </c>
      <c r="H109" s="716">
        <v>0</v>
      </c>
      <c r="I109" s="716">
        <v>0</v>
      </c>
      <c r="J109" s="716">
        <v>0</v>
      </c>
      <c r="K109" s="716">
        <f t="shared" si="17"/>
        <v>1188</v>
      </c>
      <c r="L109" s="716">
        <v>0</v>
      </c>
      <c r="M109" s="716">
        <v>0</v>
      </c>
      <c r="N109" s="716">
        <v>0</v>
      </c>
      <c r="O109" s="716">
        <v>0</v>
      </c>
      <c r="P109" s="716">
        <v>0</v>
      </c>
      <c r="Q109" s="243">
        <f t="shared" si="18"/>
        <v>0</v>
      </c>
      <c r="R109" s="243"/>
      <c r="S109" s="243"/>
      <c r="T109" s="243"/>
      <c r="U109" s="243"/>
      <c r="V109" s="243"/>
      <c r="W109" s="243"/>
      <c r="X109" s="243"/>
      <c r="Y109" s="243"/>
      <c r="Z109" s="243">
        <f t="shared" si="19"/>
        <v>0</v>
      </c>
    </row>
    <row r="110" spans="1:26" s="27" customFormat="1" x14ac:dyDescent="0.25">
      <c r="A110" s="808">
        <v>97</v>
      </c>
      <c r="B110" s="71" t="s">
        <v>232</v>
      </c>
      <c r="C110" s="31" t="s">
        <v>233</v>
      </c>
      <c r="D110" s="716">
        <v>0</v>
      </c>
      <c r="E110" s="716">
        <v>0</v>
      </c>
      <c r="F110" s="716">
        <v>0</v>
      </c>
      <c r="G110" s="716">
        <f t="shared" si="16"/>
        <v>0</v>
      </c>
      <c r="H110" s="716">
        <v>0</v>
      </c>
      <c r="I110" s="716">
        <v>0</v>
      </c>
      <c r="J110" s="716">
        <v>0</v>
      </c>
      <c r="K110" s="716">
        <f t="shared" si="17"/>
        <v>0</v>
      </c>
      <c r="L110" s="716">
        <v>0</v>
      </c>
      <c r="M110" s="716">
        <v>0</v>
      </c>
      <c r="N110" s="716">
        <v>0</v>
      </c>
      <c r="O110" s="716">
        <v>0</v>
      </c>
      <c r="P110" s="716">
        <v>0</v>
      </c>
      <c r="Q110" s="243">
        <f t="shared" si="18"/>
        <v>0</v>
      </c>
      <c r="R110" s="243"/>
      <c r="S110" s="243"/>
      <c r="T110" s="243"/>
      <c r="U110" s="243"/>
      <c r="V110" s="243"/>
      <c r="W110" s="243"/>
      <c r="X110" s="243"/>
      <c r="Y110" s="243"/>
      <c r="Z110" s="243">
        <f t="shared" si="19"/>
        <v>0</v>
      </c>
    </row>
    <row r="111" spans="1:26" s="27" customFormat="1" x14ac:dyDescent="0.25">
      <c r="A111" s="808">
        <v>98</v>
      </c>
      <c r="B111" s="71" t="s">
        <v>234</v>
      </c>
      <c r="C111" s="31" t="s">
        <v>235</v>
      </c>
      <c r="D111" s="716">
        <v>0</v>
      </c>
      <c r="E111" s="716">
        <v>0</v>
      </c>
      <c r="F111" s="716">
        <v>0</v>
      </c>
      <c r="G111" s="716">
        <f t="shared" si="16"/>
        <v>0</v>
      </c>
      <c r="H111" s="716">
        <v>0</v>
      </c>
      <c r="I111" s="716">
        <v>0</v>
      </c>
      <c r="J111" s="716">
        <v>0</v>
      </c>
      <c r="K111" s="716">
        <f t="shared" si="17"/>
        <v>0</v>
      </c>
      <c r="L111" s="716">
        <v>0</v>
      </c>
      <c r="M111" s="716">
        <v>0</v>
      </c>
      <c r="N111" s="716">
        <v>0</v>
      </c>
      <c r="O111" s="716">
        <v>0</v>
      </c>
      <c r="P111" s="716">
        <v>0</v>
      </c>
      <c r="Q111" s="243">
        <f t="shared" si="18"/>
        <v>0</v>
      </c>
      <c r="R111" s="243"/>
      <c r="S111" s="243"/>
      <c r="T111" s="243"/>
      <c r="U111" s="243"/>
      <c r="V111" s="243"/>
      <c r="W111" s="243"/>
      <c r="X111" s="243"/>
      <c r="Y111" s="243"/>
      <c r="Z111" s="243">
        <f t="shared" si="19"/>
        <v>0</v>
      </c>
    </row>
    <row r="112" spans="1:26" s="27" customFormat="1" x14ac:dyDescent="0.25">
      <c r="A112" s="808">
        <v>99</v>
      </c>
      <c r="B112" s="807" t="s">
        <v>236</v>
      </c>
      <c r="C112" s="31" t="s">
        <v>237</v>
      </c>
      <c r="D112" s="716">
        <v>0</v>
      </c>
      <c r="E112" s="716">
        <v>0</v>
      </c>
      <c r="F112" s="716">
        <v>0</v>
      </c>
      <c r="G112" s="716">
        <f t="shared" si="16"/>
        <v>0</v>
      </c>
      <c r="H112" s="716">
        <v>0</v>
      </c>
      <c r="I112" s="716">
        <v>0</v>
      </c>
      <c r="J112" s="716">
        <v>0</v>
      </c>
      <c r="K112" s="716">
        <f t="shared" si="17"/>
        <v>0</v>
      </c>
      <c r="L112" s="716">
        <v>0</v>
      </c>
      <c r="M112" s="716">
        <v>0</v>
      </c>
      <c r="N112" s="716">
        <v>0</v>
      </c>
      <c r="O112" s="716">
        <v>0</v>
      </c>
      <c r="P112" s="716">
        <v>0</v>
      </c>
      <c r="Q112" s="243">
        <f t="shared" si="18"/>
        <v>0</v>
      </c>
      <c r="R112" s="243"/>
      <c r="S112" s="243"/>
      <c r="T112" s="243"/>
      <c r="U112" s="243"/>
      <c r="V112" s="243"/>
      <c r="W112" s="243"/>
      <c r="X112" s="243"/>
      <c r="Y112" s="243"/>
      <c r="Z112" s="243">
        <f t="shared" si="19"/>
        <v>0</v>
      </c>
    </row>
    <row r="113" spans="1:26" s="27" customFormat="1" x14ac:dyDescent="0.25">
      <c r="A113" s="808">
        <v>100</v>
      </c>
      <c r="B113" s="807" t="s">
        <v>238</v>
      </c>
      <c r="C113" s="31" t="s">
        <v>239</v>
      </c>
      <c r="D113" s="716">
        <v>0</v>
      </c>
      <c r="E113" s="716">
        <v>0</v>
      </c>
      <c r="F113" s="716">
        <v>0</v>
      </c>
      <c r="G113" s="716">
        <f t="shared" si="16"/>
        <v>0</v>
      </c>
      <c r="H113" s="716">
        <v>0</v>
      </c>
      <c r="I113" s="716">
        <v>0</v>
      </c>
      <c r="J113" s="716">
        <v>0</v>
      </c>
      <c r="K113" s="716">
        <f t="shared" si="17"/>
        <v>0</v>
      </c>
      <c r="L113" s="716">
        <v>0</v>
      </c>
      <c r="M113" s="716">
        <v>0</v>
      </c>
      <c r="N113" s="716">
        <v>0</v>
      </c>
      <c r="O113" s="716">
        <v>0</v>
      </c>
      <c r="P113" s="716">
        <v>0</v>
      </c>
      <c r="Q113" s="243">
        <f t="shared" si="18"/>
        <v>0</v>
      </c>
      <c r="R113" s="243"/>
      <c r="S113" s="243"/>
      <c r="T113" s="243"/>
      <c r="U113" s="243"/>
      <c r="V113" s="243"/>
      <c r="W113" s="243"/>
      <c r="X113" s="243"/>
      <c r="Y113" s="243"/>
      <c r="Z113" s="243">
        <f t="shared" si="19"/>
        <v>0</v>
      </c>
    </row>
    <row r="114" spans="1:26" s="27" customFormat="1" x14ac:dyDescent="0.25">
      <c r="A114" s="808">
        <v>101</v>
      </c>
      <c r="B114" s="807" t="s">
        <v>240</v>
      </c>
      <c r="C114" s="31" t="s">
        <v>241</v>
      </c>
      <c r="D114" s="716">
        <v>0</v>
      </c>
      <c r="E114" s="716">
        <v>0</v>
      </c>
      <c r="F114" s="716">
        <v>0</v>
      </c>
      <c r="G114" s="716">
        <f t="shared" si="16"/>
        <v>0</v>
      </c>
      <c r="H114" s="716">
        <v>0</v>
      </c>
      <c r="I114" s="716">
        <v>0</v>
      </c>
      <c r="J114" s="716">
        <v>0</v>
      </c>
      <c r="K114" s="716">
        <f t="shared" si="17"/>
        <v>0</v>
      </c>
      <c r="L114" s="716">
        <v>0</v>
      </c>
      <c r="M114" s="716">
        <v>0</v>
      </c>
      <c r="N114" s="716">
        <v>0</v>
      </c>
      <c r="O114" s="716">
        <v>0</v>
      </c>
      <c r="P114" s="716">
        <v>0</v>
      </c>
      <c r="Q114" s="243">
        <f t="shared" si="18"/>
        <v>0</v>
      </c>
      <c r="R114" s="243"/>
      <c r="S114" s="243"/>
      <c r="T114" s="243"/>
      <c r="U114" s="243"/>
      <c r="V114" s="243"/>
      <c r="W114" s="243"/>
      <c r="X114" s="243"/>
      <c r="Y114" s="243"/>
      <c r="Z114" s="243">
        <f t="shared" si="19"/>
        <v>0</v>
      </c>
    </row>
    <row r="115" spans="1:26" s="27" customFormat="1" x14ac:dyDescent="0.25">
      <c r="A115" s="808">
        <v>102</v>
      </c>
      <c r="B115" s="807" t="s">
        <v>242</v>
      </c>
      <c r="C115" s="31" t="s">
        <v>243</v>
      </c>
      <c r="D115" s="716">
        <v>0</v>
      </c>
      <c r="E115" s="716">
        <v>0</v>
      </c>
      <c r="F115" s="716">
        <v>0</v>
      </c>
      <c r="G115" s="716">
        <f t="shared" si="16"/>
        <v>0</v>
      </c>
      <c r="H115" s="716">
        <v>0</v>
      </c>
      <c r="I115" s="716">
        <v>0</v>
      </c>
      <c r="J115" s="716">
        <v>0</v>
      </c>
      <c r="K115" s="716">
        <f t="shared" si="17"/>
        <v>0</v>
      </c>
      <c r="L115" s="716">
        <v>0</v>
      </c>
      <c r="M115" s="716">
        <v>0</v>
      </c>
      <c r="N115" s="716">
        <v>0</v>
      </c>
      <c r="O115" s="716">
        <v>0</v>
      </c>
      <c r="P115" s="716">
        <v>0</v>
      </c>
      <c r="Q115" s="243">
        <f t="shared" si="18"/>
        <v>0</v>
      </c>
      <c r="R115" s="243"/>
      <c r="S115" s="243"/>
      <c r="T115" s="243"/>
      <c r="U115" s="243"/>
      <c r="V115" s="243"/>
      <c r="W115" s="243"/>
      <c r="X115" s="243"/>
      <c r="Y115" s="243"/>
      <c r="Z115" s="243">
        <f t="shared" si="19"/>
        <v>0</v>
      </c>
    </row>
    <row r="116" spans="1:26" s="27" customFormat="1" x14ac:dyDescent="0.25">
      <c r="A116" s="808">
        <v>103</v>
      </c>
      <c r="B116" s="807" t="s">
        <v>244</v>
      </c>
      <c r="C116" s="31" t="s">
        <v>245</v>
      </c>
      <c r="D116" s="716">
        <v>0</v>
      </c>
      <c r="E116" s="716">
        <v>0</v>
      </c>
      <c r="F116" s="716">
        <v>0</v>
      </c>
      <c r="G116" s="716">
        <f t="shared" si="16"/>
        <v>0</v>
      </c>
      <c r="H116" s="716">
        <v>0</v>
      </c>
      <c r="I116" s="716">
        <v>0</v>
      </c>
      <c r="J116" s="716">
        <v>0</v>
      </c>
      <c r="K116" s="716">
        <f t="shared" si="17"/>
        <v>0</v>
      </c>
      <c r="L116" s="716">
        <v>0</v>
      </c>
      <c r="M116" s="716">
        <v>0</v>
      </c>
      <c r="N116" s="716">
        <v>0</v>
      </c>
      <c r="O116" s="716">
        <v>0</v>
      </c>
      <c r="P116" s="716">
        <v>0</v>
      </c>
      <c r="Q116" s="243">
        <f t="shared" si="18"/>
        <v>0</v>
      </c>
      <c r="R116" s="243"/>
      <c r="S116" s="243"/>
      <c r="T116" s="243"/>
      <c r="U116" s="243"/>
      <c r="V116" s="243"/>
      <c r="W116" s="243"/>
      <c r="X116" s="243"/>
      <c r="Y116" s="243"/>
      <c r="Z116" s="243">
        <f t="shared" si="19"/>
        <v>0</v>
      </c>
    </row>
    <row r="117" spans="1:26" s="27" customFormat="1" x14ac:dyDescent="0.25">
      <c r="A117" s="808">
        <v>104</v>
      </c>
      <c r="B117" s="811" t="s">
        <v>246</v>
      </c>
      <c r="C117" s="810" t="s">
        <v>247</v>
      </c>
      <c r="D117" s="716">
        <v>0</v>
      </c>
      <c r="E117" s="716">
        <v>0</v>
      </c>
      <c r="F117" s="716">
        <v>0</v>
      </c>
      <c r="G117" s="716">
        <f t="shared" si="16"/>
        <v>0</v>
      </c>
      <c r="H117" s="716">
        <v>0</v>
      </c>
      <c r="I117" s="716">
        <v>0</v>
      </c>
      <c r="J117" s="716">
        <v>0</v>
      </c>
      <c r="K117" s="716">
        <f t="shared" si="17"/>
        <v>0</v>
      </c>
      <c r="L117" s="716">
        <v>0</v>
      </c>
      <c r="M117" s="716">
        <v>0</v>
      </c>
      <c r="N117" s="716">
        <v>0</v>
      </c>
      <c r="O117" s="716">
        <v>0</v>
      </c>
      <c r="P117" s="716">
        <v>0</v>
      </c>
      <c r="Q117" s="243">
        <f t="shared" si="18"/>
        <v>0</v>
      </c>
      <c r="R117" s="243"/>
      <c r="S117" s="243"/>
      <c r="T117" s="243"/>
      <c r="U117" s="243"/>
      <c r="V117" s="243"/>
      <c r="W117" s="243"/>
      <c r="X117" s="243"/>
      <c r="Y117" s="243"/>
      <c r="Z117" s="243">
        <f t="shared" si="19"/>
        <v>0</v>
      </c>
    </row>
    <row r="118" spans="1:26" s="27" customFormat="1" x14ac:dyDescent="0.25">
      <c r="A118" s="808">
        <v>105</v>
      </c>
      <c r="B118" s="72" t="s">
        <v>248</v>
      </c>
      <c r="C118" s="31" t="s">
        <v>249</v>
      </c>
      <c r="D118" s="716">
        <v>0</v>
      </c>
      <c r="E118" s="716">
        <v>0</v>
      </c>
      <c r="F118" s="716">
        <v>0</v>
      </c>
      <c r="G118" s="716">
        <f t="shared" si="16"/>
        <v>0</v>
      </c>
      <c r="H118" s="716">
        <v>0</v>
      </c>
      <c r="I118" s="716">
        <v>0</v>
      </c>
      <c r="J118" s="716">
        <v>0</v>
      </c>
      <c r="K118" s="716">
        <f t="shared" si="17"/>
        <v>0</v>
      </c>
      <c r="L118" s="716">
        <v>0</v>
      </c>
      <c r="M118" s="716">
        <v>0</v>
      </c>
      <c r="N118" s="716">
        <v>0</v>
      </c>
      <c r="O118" s="716">
        <v>0</v>
      </c>
      <c r="P118" s="716">
        <v>0</v>
      </c>
      <c r="Q118" s="243">
        <f t="shared" si="18"/>
        <v>0</v>
      </c>
      <c r="R118" s="243"/>
      <c r="S118" s="243"/>
      <c r="T118" s="243"/>
      <c r="U118" s="243"/>
      <c r="V118" s="243"/>
      <c r="W118" s="243"/>
      <c r="X118" s="243"/>
      <c r="Y118" s="243"/>
      <c r="Z118" s="243">
        <f t="shared" si="19"/>
        <v>0</v>
      </c>
    </row>
    <row r="119" spans="1:26" s="27" customFormat="1" x14ac:dyDescent="0.25">
      <c r="A119" s="808">
        <v>106</v>
      </c>
      <c r="B119" s="807" t="s">
        <v>250</v>
      </c>
      <c r="C119" s="31" t="s">
        <v>251</v>
      </c>
      <c r="D119" s="716">
        <v>0</v>
      </c>
      <c r="E119" s="716">
        <v>0</v>
      </c>
      <c r="F119" s="716">
        <v>0</v>
      </c>
      <c r="G119" s="716">
        <f t="shared" si="16"/>
        <v>0</v>
      </c>
      <c r="H119" s="716">
        <v>0</v>
      </c>
      <c r="I119" s="716">
        <v>0</v>
      </c>
      <c r="J119" s="716">
        <v>0</v>
      </c>
      <c r="K119" s="716">
        <f t="shared" si="17"/>
        <v>0</v>
      </c>
      <c r="L119" s="716">
        <v>0</v>
      </c>
      <c r="M119" s="716">
        <v>0</v>
      </c>
      <c r="N119" s="716">
        <v>0</v>
      </c>
      <c r="O119" s="716">
        <v>0</v>
      </c>
      <c r="P119" s="716">
        <v>0</v>
      </c>
      <c r="Q119" s="243">
        <f t="shared" si="18"/>
        <v>0</v>
      </c>
      <c r="R119" s="243"/>
      <c r="S119" s="243"/>
      <c r="T119" s="243"/>
      <c r="U119" s="243"/>
      <c r="V119" s="243"/>
      <c r="W119" s="243"/>
      <c r="X119" s="243"/>
      <c r="Y119" s="243"/>
      <c r="Z119" s="243">
        <f t="shared" si="19"/>
        <v>0</v>
      </c>
    </row>
    <row r="120" spans="1:26" s="27" customFormat="1" x14ac:dyDescent="0.25">
      <c r="A120" s="808">
        <v>107</v>
      </c>
      <c r="B120" s="71" t="s">
        <v>252</v>
      </c>
      <c r="C120" s="133" t="s">
        <v>253</v>
      </c>
      <c r="D120" s="716">
        <v>0</v>
      </c>
      <c r="E120" s="716">
        <v>0</v>
      </c>
      <c r="F120" s="716">
        <v>0</v>
      </c>
      <c r="G120" s="716">
        <f t="shared" si="16"/>
        <v>0</v>
      </c>
      <c r="H120" s="716">
        <v>0</v>
      </c>
      <c r="I120" s="716">
        <v>0</v>
      </c>
      <c r="J120" s="716">
        <v>0</v>
      </c>
      <c r="K120" s="716">
        <f t="shared" si="17"/>
        <v>0</v>
      </c>
      <c r="L120" s="716">
        <v>0</v>
      </c>
      <c r="M120" s="716">
        <v>0</v>
      </c>
      <c r="N120" s="716">
        <v>0</v>
      </c>
      <c r="O120" s="716">
        <v>0</v>
      </c>
      <c r="P120" s="716">
        <v>0</v>
      </c>
      <c r="Q120" s="243">
        <f t="shared" si="18"/>
        <v>0</v>
      </c>
      <c r="R120" s="243"/>
      <c r="S120" s="243"/>
      <c r="T120" s="243"/>
      <c r="U120" s="243"/>
      <c r="V120" s="243"/>
      <c r="W120" s="243"/>
      <c r="X120" s="243"/>
      <c r="Y120" s="243"/>
      <c r="Z120" s="243">
        <f t="shared" si="19"/>
        <v>0</v>
      </c>
    </row>
    <row r="121" spans="1:26" s="27" customFormat="1" x14ac:dyDescent="0.25">
      <c r="A121" s="808">
        <v>108</v>
      </c>
      <c r="B121" s="807" t="s">
        <v>254</v>
      </c>
      <c r="C121" s="31" t="s">
        <v>255</v>
      </c>
      <c r="D121" s="716">
        <v>0</v>
      </c>
      <c r="E121" s="716">
        <v>0</v>
      </c>
      <c r="F121" s="716">
        <v>0</v>
      </c>
      <c r="G121" s="716">
        <f t="shared" si="16"/>
        <v>0</v>
      </c>
      <c r="H121" s="716">
        <v>0</v>
      </c>
      <c r="I121" s="716">
        <v>0</v>
      </c>
      <c r="J121" s="716">
        <v>0</v>
      </c>
      <c r="K121" s="716">
        <f t="shared" si="17"/>
        <v>0</v>
      </c>
      <c r="L121" s="716">
        <v>0</v>
      </c>
      <c r="M121" s="716">
        <v>0</v>
      </c>
      <c r="N121" s="716">
        <v>0</v>
      </c>
      <c r="O121" s="716">
        <v>0</v>
      </c>
      <c r="P121" s="716">
        <v>0</v>
      </c>
      <c r="Q121" s="243">
        <f t="shared" si="18"/>
        <v>0</v>
      </c>
      <c r="R121" s="243"/>
      <c r="S121" s="243"/>
      <c r="T121" s="243"/>
      <c r="U121" s="243"/>
      <c r="V121" s="243"/>
      <c r="W121" s="243"/>
      <c r="X121" s="243"/>
      <c r="Y121" s="243"/>
      <c r="Z121" s="243">
        <f t="shared" si="19"/>
        <v>0</v>
      </c>
    </row>
    <row r="122" spans="1:26" s="27" customFormat="1" x14ac:dyDescent="0.25">
      <c r="A122" s="808">
        <v>109</v>
      </c>
      <c r="B122" s="72" t="s">
        <v>256</v>
      </c>
      <c r="C122" s="31" t="s">
        <v>257</v>
      </c>
      <c r="D122" s="716">
        <v>0</v>
      </c>
      <c r="E122" s="716">
        <v>0</v>
      </c>
      <c r="F122" s="716">
        <v>0</v>
      </c>
      <c r="G122" s="716">
        <f t="shared" si="16"/>
        <v>0</v>
      </c>
      <c r="H122" s="716">
        <v>0</v>
      </c>
      <c r="I122" s="716">
        <v>0</v>
      </c>
      <c r="J122" s="716">
        <v>0</v>
      </c>
      <c r="K122" s="716">
        <f t="shared" si="17"/>
        <v>0</v>
      </c>
      <c r="L122" s="716">
        <v>0</v>
      </c>
      <c r="M122" s="716">
        <v>0</v>
      </c>
      <c r="N122" s="716">
        <v>0</v>
      </c>
      <c r="O122" s="716">
        <v>0</v>
      </c>
      <c r="P122" s="716">
        <v>0</v>
      </c>
      <c r="Q122" s="243">
        <f t="shared" si="18"/>
        <v>0</v>
      </c>
      <c r="R122" s="243"/>
      <c r="S122" s="243"/>
      <c r="T122" s="243"/>
      <c r="U122" s="243"/>
      <c r="V122" s="243"/>
      <c r="W122" s="243"/>
      <c r="X122" s="243"/>
      <c r="Y122" s="243"/>
      <c r="Z122" s="243">
        <f t="shared" si="19"/>
        <v>0</v>
      </c>
    </row>
    <row r="123" spans="1:26" s="27" customFormat="1" x14ac:dyDescent="0.25">
      <c r="A123" s="808">
        <v>110</v>
      </c>
      <c r="B123" s="71" t="s">
        <v>258</v>
      </c>
      <c r="C123" s="31" t="s">
        <v>259</v>
      </c>
      <c r="D123" s="716">
        <v>0</v>
      </c>
      <c r="E123" s="716">
        <v>0</v>
      </c>
      <c r="F123" s="716">
        <v>0</v>
      </c>
      <c r="G123" s="716">
        <f t="shared" si="16"/>
        <v>0</v>
      </c>
      <c r="H123" s="716">
        <v>0</v>
      </c>
      <c r="I123" s="716">
        <v>0</v>
      </c>
      <c r="J123" s="716">
        <v>0</v>
      </c>
      <c r="K123" s="716">
        <f t="shared" si="17"/>
        <v>0</v>
      </c>
      <c r="L123" s="716">
        <v>0</v>
      </c>
      <c r="M123" s="716">
        <v>0</v>
      </c>
      <c r="N123" s="716">
        <v>0</v>
      </c>
      <c r="O123" s="716">
        <v>0</v>
      </c>
      <c r="P123" s="716">
        <v>0</v>
      </c>
      <c r="Q123" s="243">
        <f t="shared" si="18"/>
        <v>0</v>
      </c>
      <c r="R123" s="243"/>
      <c r="S123" s="243"/>
      <c r="T123" s="243"/>
      <c r="U123" s="243"/>
      <c r="V123" s="243"/>
      <c r="W123" s="243"/>
      <c r="X123" s="243"/>
      <c r="Y123" s="243"/>
      <c r="Z123" s="243">
        <f t="shared" si="19"/>
        <v>0</v>
      </c>
    </row>
    <row r="124" spans="1:26" s="27" customFormat="1" x14ac:dyDescent="0.25">
      <c r="A124" s="808">
        <v>111</v>
      </c>
      <c r="B124" s="812" t="s">
        <v>551</v>
      </c>
      <c r="C124" s="810" t="s">
        <v>552</v>
      </c>
      <c r="D124" s="716">
        <v>0</v>
      </c>
      <c r="E124" s="716">
        <v>0</v>
      </c>
      <c r="F124" s="716">
        <v>0</v>
      </c>
      <c r="G124" s="716">
        <f t="shared" si="16"/>
        <v>0</v>
      </c>
      <c r="H124" s="716">
        <v>0</v>
      </c>
      <c r="I124" s="716">
        <v>0</v>
      </c>
      <c r="J124" s="716">
        <v>0</v>
      </c>
      <c r="K124" s="716">
        <f t="shared" si="17"/>
        <v>0</v>
      </c>
      <c r="L124" s="716">
        <v>0</v>
      </c>
      <c r="M124" s="716">
        <v>0</v>
      </c>
      <c r="N124" s="716">
        <v>0</v>
      </c>
      <c r="O124" s="716">
        <v>0</v>
      </c>
      <c r="P124" s="716">
        <v>0</v>
      </c>
      <c r="Q124" s="243">
        <f t="shared" si="18"/>
        <v>0</v>
      </c>
      <c r="R124" s="243"/>
      <c r="S124" s="243"/>
      <c r="T124" s="243"/>
      <c r="U124" s="243"/>
      <c r="V124" s="243"/>
      <c r="W124" s="243"/>
      <c r="X124" s="243"/>
      <c r="Y124" s="243"/>
      <c r="Z124" s="243">
        <f t="shared" si="19"/>
        <v>0</v>
      </c>
    </row>
    <row r="125" spans="1:26" s="27" customFormat="1" x14ac:dyDescent="0.25">
      <c r="A125" s="808">
        <v>112</v>
      </c>
      <c r="B125" s="72" t="s">
        <v>260</v>
      </c>
      <c r="C125" s="31" t="s">
        <v>261</v>
      </c>
      <c r="D125" s="716">
        <v>0</v>
      </c>
      <c r="E125" s="716">
        <v>0</v>
      </c>
      <c r="F125" s="716">
        <v>0</v>
      </c>
      <c r="G125" s="716">
        <f t="shared" si="16"/>
        <v>0</v>
      </c>
      <c r="H125" s="716">
        <v>0</v>
      </c>
      <c r="I125" s="716">
        <v>0</v>
      </c>
      <c r="J125" s="716">
        <v>0</v>
      </c>
      <c r="K125" s="716">
        <f t="shared" si="17"/>
        <v>0</v>
      </c>
      <c r="L125" s="716">
        <v>0</v>
      </c>
      <c r="M125" s="716">
        <v>0</v>
      </c>
      <c r="N125" s="716">
        <v>0</v>
      </c>
      <c r="O125" s="716">
        <v>0</v>
      </c>
      <c r="P125" s="716">
        <v>0</v>
      </c>
      <c r="Q125" s="243">
        <f t="shared" si="18"/>
        <v>0</v>
      </c>
      <c r="R125" s="243"/>
      <c r="S125" s="243"/>
      <c r="T125" s="243"/>
      <c r="U125" s="243"/>
      <c r="V125" s="243"/>
      <c r="W125" s="243"/>
      <c r="X125" s="243"/>
      <c r="Y125" s="243"/>
      <c r="Z125" s="243">
        <f t="shared" si="19"/>
        <v>0</v>
      </c>
    </row>
    <row r="126" spans="1:26" s="27" customFormat="1" x14ac:dyDescent="0.25">
      <c r="A126" s="808">
        <v>113</v>
      </c>
      <c r="B126" s="807" t="s">
        <v>262</v>
      </c>
      <c r="C126" s="31" t="s">
        <v>263</v>
      </c>
      <c r="D126" s="716">
        <v>0</v>
      </c>
      <c r="E126" s="716">
        <v>0</v>
      </c>
      <c r="F126" s="716">
        <v>0</v>
      </c>
      <c r="G126" s="716">
        <f t="shared" si="16"/>
        <v>0</v>
      </c>
      <c r="H126" s="716">
        <v>0</v>
      </c>
      <c r="I126" s="716">
        <v>0</v>
      </c>
      <c r="J126" s="716">
        <v>0</v>
      </c>
      <c r="K126" s="716">
        <f t="shared" si="17"/>
        <v>0</v>
      </c>
      <c r="L126" s="716">
        <v>0</v>
      </c>
      <c r="M126" s="716">
        <v>0</v>
      </c>
      <c r="N126" s="716">
        <v>0</v>
      </c>
      <c r="O126" s="716">
        <v>0</v>
      </c>
      <c r="P126" s="716">
        <v>0</v>
      </c>
      <c r="Q126" s="243">
        <f t="shared" si="18"/>
        <v>0</v>
      </c>
      <c r="R126" s="243"/>
      <c r="S126" s="243"/>
      <c r="T126" s="243"/>
      <c r="U126" s="243"/>
      <c r="V126" s="243"/>
      <c r="W126" s="243"/>
      <c r="X126" s="243"/>
      <c r="Y126" s="243"/>
      <c r="Z126" s="243">
        <f t="shared" si="19"/>
        <v>0</v>
      </c>
    </row>
    <row r="127" spans="1:26" s="27" customFormat="1" x14ac:dyDescent="0.25">
      <c r="A127" s="808">
        <v>114</v>
      </c>
      <c r="B127" s="807" t="s">
        <v>264</v>
      </c>
      <c r="C127" s="134" t="s">
        <v>265</v>
      </c>
      <c r="D127" s="716">
        <v>0</v>
      </c>
      <c r="E127" s="716">
        <v>0</v>
      </c>
      <c r="F127" s="716">
        <v>0</v>
      </c>
      <c r="G127" s="716">
        <f t="shared" si="16"/>
        <v>0</v>
      </c>
      <c r="H127" s="716">
        <v>0</v>
      </c>
      <c r="I127" s="716">
        <v>0</v>
      </c>
      <c r="J127" s="716">
        <v>0</v>
      </c>
      <c r="K127" s="716">
        <f t="shared" si="17"/>
        <v>0</v>
      </c>
      <c r="L127" s="716">
        <v>0</v>
      </c>
      <c r="M127" s="716">
        <v>0</v>
      </c>
      <c r="N127" s="716">
        <v>0</v>
      </c>
      <c r="O127" s="716">
        <v>0</v>
      </c>
      <c r="P127" s="716">
        <v>0</v>
      </c>
      <c r="Q127" s="243">
        <f t="shared" si="18"/>
        <v>0</v>
      </c>
      <c r="R127" s="243"/>
      <c r="S127" s="243"/>
      <c r="T127" s="243"/>
      <c r="U127" s="243"/>
      <c r="V127" s="243"/>
      <c r="W127" s="243"/>
      <c r="X127" s="243"/>
      <c r="Y127" s="243"/>
      <c r="Z127" s="243">
        <f t="shared" si="19"/>
        <v>0</v>
      </c>
    </row>
    <row r="128" spans="1:26" s="27" customFormat="1" x14ac:dyDescent="0.25">
      <c r="A128" s="808">
        <v>115</v>
      </c>
      <c r="B128" s="807" t="s">
        <v>266</v>
      </c>
      <c r="C128" s="31" t="s">
        <v>267</v>
      </c>
      <c r="D128" s="716">
        <v>2300</v>
      </c>
      <c r="E128" s="716">
        <v>299</v>
      </c>
      <c r="F128" s="716">
        <v>576</v>
      </c>
      <c r="G128" s="716">
        <f t="shared" si="16"/>
        <v>540</v>
      </c>
      <c r="H128" s="716">
        <v>431</v>
      </c>
      <c r="I128" s="716">
        <v>53</v>
      </c>
      <c r="J128" s="716">
        <v>56</v>
      </c>
      <c r="K128" s="716">
        <f t="shared" si="17"/>
        <v>3715</v>
      </c>
      <c r="L128" s="716">
        <v>579</v>
      </c>
      <c r="M128" s="716">
        <v>2358</v>
      </c>
      <c r="N128" s="716">
        <v>8265</v>
      </c>
      <c r="O128" s="716">
        <v>5274</v>
      </c>
      <c r="P128" s="716">
        <v>381</v>
      </c>
      <c r="Q128" s="243">
        <f t="shared" si="18"/>
        <v>16857</v>
      </c>
      <c r="R128" s="243"/>
      <c r="S128" s="243"/>
      <c r="T128" s="243"/>
      <c r="U128" s="243"/>
      <c r="V128" s="243"/>
      <c r="W128" s="243"/>
      <c r="X128" s="243"/>
      <c r="Y128" s="243"/>
      <c r="Z128" s="243">
        <f t="shared" si="19"/>
        <v>0</v>
      </c>
    </row>
    <row r="129" spans="1:26" s="27" customFormat="1" x14ac:dyDescent="0.25">
      <c r="A129" s="808">
        <v>116</v>
      </c>
      <c r="B129" s="807" t="s">
        <v>268</v>
      </c>
      <c r="C129" s="31" t="s">
        <v>269</v>
      </c>
      <c r="D129" s="716">
        <v>3600</v>
      </c>
      <c r="E129" s="716">
        <v>3000</v>
      </c>
      <c r="F129" s="716">
        <v>2250</v>
      </c>
      <c r="G129" s="716">
        <f t="shared" si="16"/>
        <v>1545</v>
      </c>
      <c r="H129" s="716">
        <v>821</v>
      </c>
      <c r="I129" s="716">
        <v>94</v>
      </c>
      <c r="J129" s="716">
        <v>630</v>
      </c>
      <c r="K129" s="716">
        <f t="shared" si="17"/>
        <v>10395</v>
      </c>
      <c r="L129" s="716">
        <v>344</v>
      </c>
      <c r="M129" s="716">
        <v>876</v>
      </c>
      <c r="N129" s="716">
        <v>8621</v>
      </c>
      <c r="O129" s="716">
        <v>7701</v>
      </c>
      <c r="P129" s="716">
        <v>4952</v>
      </c>
      <c r="Q129" s="243">
        <f t="shared" si="18"/>
        <v>22494</v>
      </c>
      <c r="R129" s="243"/>
      <c r="S129" s="243"/>
      <c r="T129" s="243"/>
      <c r="U129" s="243"/>
      <c r="V129" s="243"/>
      <c r="W129" s="243"/>
      <c r="X129" s="243"/>
      <c r="Y129" s="243"/>
      <c r="Z129" s="243">
        <f t="shared" si="19"/>
        <v>0</v>
      </c>
    </row>
    <row r="130" spans="1:26" s="27" customFormat="1" x14ac:dyDescent="0.25">
      <c r="A130" s="808">
        <v>117</v>
      </c>
      <c r="B130" s="807" t="s">
        <v>270</v>
      </c>
      <c r="C130" s="31" t="s">
        <v>271</v>
      </c>
      <c r="D130" s="716">
        <v>0</v>
      </c>
      <c r="E130" s="716">
        <v>0</v>
      </c>
      <c r="F130" s="716">
        <v>0</v>
      </c>
      <c r="G130" s="716">
        <f t="shared" si="16"/>
        <v>0</v>
      </c>
      <c r="H130" s="716">
        <v>0</v>
      </c>
      <c r="I130" s="716">
        <v>0</v>
      </c>
      <c r="J130" s="716">
        <v>0</v>
      </c>
      <c r="K130" s="716">
        <f t="shared" si="17"/>
        <v>0</v>
      </c>
      <c r="L130" s="716">
        <v>0</v>
      </c>
      <c r="M130" s="716">
        <v>0</v>
      </c>
      <c r="N130" s="716">
        <v>0</v>
      </c>
      <c r="O130" s="716">
        <v>0</v>
      </c>
      <c r="P130" s="716">
        <v>0</v>
      </c>
      <c r="Q130" s="243">
        <f t="shared" si="18"/>
        <v>0</v>
      </c>
      <c r="R130" s="243"/>
      <c r="S130" s="243"/>
      <c r="T130" s="243"/>
      <c r="U130" s="243"/>
      <c r="V130" s="243"/>
      <c r="W130" s="243"/>
      <c r="X130" s="243"/>
      <c r="Y130" s="243"/>
      <c r="Z130" s="243">
        <f t="shared" si="19"/>
        <v>0</v>
      </c>
    </row>
    <row r="131" spans="1:26" s="27" customFormat="1" x14ac:dyDescent="0.25">
      <c r="A131" s="808">
        <v>118</v>
      </c>
      <c r="B131" s="71" t="s">
        <v>272</v>
      </c>
      <c r="C131" s="31" t="s">
        <v>273</v>
      </c>
      <c r="D131" s="716">
        <v>2500</v>
      </c>
      <c r="E131" s="716">
        <v>0</v>
      </c>
      <c r="F131" s="716">
        <v>0</v>
      </c>
      <c r="G131" s="716">
        <f t="shared" si="16"/>
        <v>0</v>
      </c>
      <c r="H131" s="716">
        <v>0</v>
      </c>
      <c r="I131" s="716">
        <v>0</v>
      </c>
      <c r="J131" s="716">
        <v>0</v>
      </c>
      <c r="K131" s="716">
        <f t="shared" si="17"/>
        <v>2500</v>
      </c>
      <c r="L131" s="716">
        <v>67</v>
      </c>
      <c r="M131" s="716">
        <v>185</v>
      </c>
      <c r="N131" s="716">
        <v>267</v>
      </c>
      <c r="O131" s="716">
        <v>0</v>
      </c>
      <c r="P131" s="716">
        <v>133</v>
      </c>
      <c r="Q131" s="243">
        <f t="shared" si="18"/>
        <v>652</v>
      </c>
      <c r="R131" s="243"/>
      <c r="S131" s="243"/>
      <c r="T131" s="243"/>
      <c r="U131" s="243"/>
      <c r="V131" s="243"/>
      <c r="W131" s="243"/>
      <c r="X131" s="243"/>
      <c r="Y131" s="243"/>
      <c r="Z131" s="243">
        <f t="shared" si="19"/>
        <v>0</v>
      </c>
    </row>
    <row r="132" spans="1:26" x14ac:dyDescent="0.25">
      <c r="A132" s="808">
        <v>119</v>
      </c>
      <c r="B132" s="71" t="s">
        <v>274</v>
      </c>
      <c r="C132" s="31" t="s">
        <v>275</v>
      </c>
      <c r="D132" s="716">
        <v>0</v>
      </c>
      <c r="E132" s="716">
        <v>0</v>
      </c>
      <c r="F132" s="716">
        <v>0</v>
      </c>
      <c r="G132" s="716">
        <f t="shared" si="16"/>
        <v>0</v>
      </c>
      <c r="H132" s="716">
        <v>0</v>
      </c>
      <c r="I132" s="716">
        <v>0</v>
      </c>
      <c r="J132" s="716">
        <v>0</v>
      </c>
      <c r="K132" s="716">
        <f t="shared" si="17"/>
        <v>0</v>
      </c>
      <c r="L132" s="716">
        <v>0</v>
      </c>
      <c r="M132" s="716">
        <v>0</v>
      </c>
      <c r="N132" s="716">
        <v>0</v>
      </c>
      <c r="O132" s="716">
        <v>0</v>
      </c>
      <c r="P132" s="716">
        <v>0</v>
      </c>
      <c r="Q132" s="243">
        <f t="shared" si="18"/>
        <v>0</v>
      </c>
      <c r="R132" s="243"/>
      <c r="S132" s="243"/>
      <c r="T132" s="243"/>
      <c r="U132" s="243"/>
      <c r="V132" s="243"/>
      <c r="W132" s="243"/>
      <c r="X132" s="243"/>
      <c r="Y132" s="243"/>
      <c r="Z132" s="243">
        <f t="shared" si="19"/>
        <v>0</v>
      </c>
    </row>
    <row r="133" spans="1:26" s="27" customFormat="1" x14ac:dyDescent="0.25">
      <c r="A133" s="808">
        <v>120</v>
      </c>
      <c r="B133" s="71" t="s">
        <v>276</v>
      </c>
      <c r="C133" s="31" t="s">
        <v>277</v>
      </c>
      <c r="D133" s="716">
        <v>0</v>
      </c>
      <c r="E133" s="716">
        <v>0</v>
      </c>
      <c r="F133" s="716">
        <v>0</v>
      </c>
      <c r="G133" s="716">
        <f t="shared" si="16"/>
        <v>0</v>
      </c>
      <c r="H133" s="716">
        <v>0</v>
      </c>
      <c r="I133" s="716">
        <v>0</v>
      </c>
      <c r="J133" s="716">
        <v>0</v>
      </c>
      <c r="K133" s="716">
        <f t="shared" si="17"/>
        <v>0</v>
      </c>
      <c r="L133" s="716">
        <v>0</v>
      </c>
      <c r="M133" s="716">
        <v>0</v>
      </c>
      <c r="N133" s="716">
        <v>0</v>
      </c>
      <c r="O133" s="716">
        <v>0</v>
      </c>
      <c r="P133" s="716">
        <v>0</v>
      </c>
      <c r="Q133" s="243">
        <f t="shared" si="18"/>
        <v>0</v>
      </c>
      <c r="R133" s="243"/>
      <c r="S133" s="243"/>
      <c r="T133" s="243"/>
      <c r="U133" s="243"/>
      <c r="V133" s="243"/>
      <c r="W133" s="243"/>
      <c r="X133" s="243"/>
      <c r="Y133" s="243"/>
      <c r="Z133" s="243">
        <f t="shared" si="19"/>
        <v>0</v>
      </c>
    </row>
    <row r="134" spans="1:26" s="27" customFormat="1" x14ac:dyDescent="0.25">
      <c r="A134" s="808">
        <v>121</v>
      </c>
      <c r="B134" s="807" t="s">
        <v>278</v>
      </c>
      <c r="C134" s="31" t="s">
        <v>279</v>
      </c>
      <c r="D134" s="716">
        <v>0</v>
      </c>
      <c r="E134" s="716">
        <v>0</v>
      </c>
      <c r="F134" s="716">
        <v>0</v>
      </c>
      <c r="G134" s="716">
        <f t="shared" si="16"/>
        <v>0</v>
      </c>
      <c r="H134" s="716">
        <v>0</v>
      </c>
      <c r="I134" s="716">
        <v>0</v>
      </c>
      <c r="J134" s="716">
        <v>0</v>
      </c>
      <c r="K134" s="716">
        <f t="shared" si="17"/>
        <v>0</v>
      </c>
      <c r="L134" s="716">
        <v>0</v>
      </c>
      <c r="M134" s="716">
        <v>0</v>
      </c>
      <c r="N134" s="716">
        <v>0</v>
      </c>
      <c r="O134" s="716">
        <v>0</v>
      </c>
      <c r="P134" s="716">
        <v>0</v>
      </c>
      <c r="Q134" s="243">
        <f t="shared" si="18"/>
        <v>0</v>
      </c>
      <c r="R134" s="243">
        <v>344</v>
      </c>
      <c r="S134" s="243">
        <v>815</v>
      </c>
      <c r="T134" s="243">
        <v>665</v>
      </c>
      <c r="U134" s="243">
        <v>435</v>
      </c>
      <c r="V134" s="243">
        <v>510</v>
      </c>
      <c r="W134" s="243">
        <v>800</v>
      </c>
      <c r="X134" s="243">
        <v>2106</v>
      </c>
      <c r="Y134" s="243">
        <v>48</v>
      </c>
      <c r="Z134" s="243">
        <f t="shared" si="19"/>
        <v>5723</v>
      </c>
    </row>
    <row r="135" spans="1:26" s="27" customFormat="1" x14ac:dyDescent="0.25">
      <c r="A135" s="808">
        <v>122</v>
      </c>
      <c r="B135" s="807" t="s">
        <v>280</v>
      </c>
      <c r="C135" s="31" t="s">
        <v>281</v>
      </c>
      <c r="D135" s="716">
        <v>0</v>
      </c>
      <c r="E135" s="716">
        <v>0</v>
      </c>
      <c r="F135" s="716">
        <v>0</v>
      </c>
      <c r="G135" s="716">
        <f t="shared" si="16"/>
        <v>0</v>
      </c>
      <c r="H135" s="716">
        <v>0</v>
      </c>
      <c r="I135" s="716">
        <v>0</v>
      </c>
      <c r="J135" s="716">
        <v>0</v>
      </c>
      <c r="K135" s="716">
        <f t="shared" si="17"/>
        <v>0</v>
      </c>
      <c r="L135" s="716">
        <v>0</v>
      </c>
      <c r="M135" s="716">
        <v>0</v>
      </c>
      <c r="N135" s="716">
        <v>0</v>
      </c>
      <c r="O135" s="716">
        <v>0</v>
      </c>
      <c r="P135" s="716">
        <v>0</v>
      </c>
      <c r="Q135" s="243">
        <f t="shared" si="18"/>
        <v>0</v>
      </c>
      <c r="R135" s="243"/>
      <c r="S135" s="243"/>
      <c r="T135" s="243"/>
      <c r="U135" s="243"/>
      <c r="V135" s="243"/>
      <c r="W135" s="243"/>
      <c r="X135" s="243"/>
      <c r="Y135" s="243"/>
      <c r="Z135" s="243">
        <f t="shared" si="19"/>
        <v>0</v>
      </c>
    </row>
    <row r="136" spans="1:26" s="27" customFormat="1" x14ac:dyDescent="0.25">
      <c r="A136" s="808">
        <v>123</v>
      </c>
      <c r="B136" s="807" t="s">
        <v>282</v>
      </c>
      <c r="C136" s="31" t="s">
        <v>783</v>
      </c>
      <c r="D136" s="716">
        <v>2240</v>
      </c>
      <c r="E136" s="716">
        <v>0</v>
      </c>
      <c r="F136" s="716">
        <v>0</v>
      </c>
      <c r="G136" s="716">
        <f t="shared" si="16"/>
        <v>0</v>
      </c>
      <c r="H136" s="716">
        <v>0</v>
      </c>
      <c r="I136" s="716">
        <v>0</v>
      </c>
      <c r="J136" s="716">
        <v>0</v>
      </c>
      <c r="K136" s="716">
        <f t="shared" si="17"/>
        <v>2240</v>
      </c>
      <c r="L136" s="716">
        <v>0</v>
      </c>
      <c r="M136" s="716">
        <v>0</v>
      </c>
      <c r="N136" s="716">
        <v>0</v>
      </c>
      <c r="O136" s="716">
        <v>0</v>
      </c>
      <c r="P136" s="716">
        <v>0</v>
      </c>
      <c r="Q136" s="243">
        <f t="shared" si="18"/>
        <v>0</v>
      </c>
      <c r="R136" s="243"/>
      <c r="S136" s="243"/>
      <c r="T136" s="243"/>
      <c r="U136" s="243"/>
      <c r="V136" s="243"/>
      <c r="W136" s="243"/>
      <c r="X136" s="243"/>
      <c r="Y136" s="243"/>
      <c r="Z136" s="243">
        <f t="shared" si="19"/>
        <v>0</v>
      </c>
    </row>
    <row r="137" spans="1:26" s="27" customFormat="1" x14ac:dyDescent="0.25">
      <c r="A137" s="808">
        <v>124</v>
      </c>
      <c r="B137" s="71" t="s">
        <v>283</v>
      </c>
      <c r="C137" s="31" t="s">
        <v>284</v>
      </c>
      <c r="D137" s="716">
        <v>1744</v>
      </c>
      <c r="E137" s="716">
        <v>20</v>
      </c>
      <c r="F137" s="716">
        <v>526</v>
      </c>
      <c r="G137" s="716">
        <f t="shared" si="16"/>
        <v>0</v>
      </c>
      <c r="H137" s="716">
        <v>0</v>
      </c>
      <c r="I137" s="716">
        <v>0</v>
      </c>
      <c r="J137" s="716">
        <v>0</v>
      </c>
      <c r="K137" s="716">
        <f t="shared" si="17"/>
        <v>2290</v>
      </c>
      <c r="L137" s="716">
        <v>0</v>
      </c>
      <c r="M137" s="716">
        <v>0</v>
      </c>
      <c r="N137" s="716">
        <v>0</v>
      </c>
      <c r="O137" s="716">
        <v>0</v>
      </c>
      <c r="P137" s="716">
        <v>0</v>
      </c>
      <c r="Q137" s="243">
        <f t="shared" si="18"/>
        <v>0</v>
      </c>
      <c r="R137" s="243"/>
      <c r="S137" s="243"/>
      <c r="T137" s="243"/>
      <c r="U137" s="243"/>
      <c r="V137" s="243"/>
      <c r="W137" s="243"/>
      <c r="X137" s="243"/>
      <c r="Y137" s="243"/>
      <c r="Z137" s="243">
        <f t="shared" si="19"/>
        <v>0</v>
      </c>
    </row>
    <row r="138" spans="1:26" s="27" customFormat="1" x14ac:dyDescent="0.25">
      <c r="A138" s="808">
        <v>125</v>
      </c>
      <c r="B138" s="72" t="s">
        <v>285</v>
      </c>
      <c r="C138" s="31" t="s">
        <v>737</v>
      </c>
      <c r="D138" s="716">
        <v>2215</v>
      </c>
      <c r="E138" s="716">
        <v>217</v>
      </c>
      <c r="F138" s="716">
        <v>322</v>
      </c>
      <c r="G138" s="716">
        <f t="shared" si="16"/>
        <v>547</v>
      </c>
      <c r="H138" s="716">
        <v>375</v>
      </c>
      <c r="I138" s="716">
        <v>50</v>
      </c>
      <c r="J138" s="716">
        <v>122</v>
      </c>
      <c r="K138" s="716">
        <f t="shared" si="17"/>
        <v>3301</v>
      </c>
      <c r="L138" s="716">
        <v>291</v>
      </c>
      <c r="M138" s="716">
        <v>2401</v>
      </c>
      <c r="N138" s="716">
        <v>6433</v>
      </c>
      <c r="O138" s="716">
        <v>891</v>
      </c>
      <c r="P138" s="716">
        <v>0</v>
      </c>
      <c r="Q138" s="243">
        <f t="shared" si="18"/>
        <v>10016</v>
      </c>
      <c r="R138" s="243"/>
      <c r="S138" s="243"/>
      <c r="T138" s="243"/>
      <c r="U138" s="243"/>
      <c r="V138" s="243"/>
      <c r="W138" s="243"/>
      <c r="X138" s="243"/>
      <c r="Y138" s="243"/>
      <c r="Z138" s="243">
        <f t="shared" si="19"/>
        <v>0</v>
      </c>
    </row>
    <row r="139" spans="1:26" s="27" customFormat="1" x14ac:dyDescent="0.25">
      <c r="A139" s="808">
        <v>126</v>
      </c>
      <c r="B139" s="807" t="s">
        <v>286</v>
      </c>
      <c r="C139" s="31" t="s">
        <v>287</v>
      </c>
      <c r="D139" s="716">
        <v>0</v>
      </c>
      <c r="E139" s="716">
        <v>0</v>
      </c>
      <c r="F139" s="716">
        <v>0</v>
      </c>
      <c r="G139" s="716">
        <f t="shared" si="16"/>
        <v>0</v>
      </c>
      <c r="H139" s="716">
        <v>0</v>
      </c>
      <c r="I139" s="716">
        <v>0</v>
      </c>
      <c r="J139" s="716">
        <v>0</v>
      </c>
      <c r="K139" s="716">
        <f t="shared" si="17"/>
        <v>0</v>
      </c>
      <c r="L139" s="716">
        <v>0</v>
      </c>
      <c r="M139" s="716">
        <v>0</v>
      </c>
      <c r="N139" s="716">
        <v>0</v>
      </c>
      <c r="O139" s="716">
        <v>0</v>
      </c>
      <c r="P139" s="716">
        <v>0</v>
      </c>
      <c r="Q139" s="243">
        <f t="shared" si="18"/>
        <v>0</v>
      </c>
      <c r="R139" s="243"/>
      <c r="S139" s="243"/>
      <c r="T139" s="243"/>
      <c r="U139" s="243"/>
      <c r="V139" s="243"/>
      <c r="W139" s="243"/>
      <c r="X139" s="243"/>
      <c r="Y139" s="243"/>
      <c r="Z139" s="243">
        <f t="shared" si="19"/>
        <v>0</v>
      </c>
    </row>
    <row r="140" spans="1:26" s="27" customFormat="1" x14ac:dyDescent="0.25">
      <c r="A140" s="808">
        <v>127</v>
      </c>
      <c r="B140" s="71" t="s">
        <v>288</v>
      </c>
      <c r="C140" s="31" t="s">
        <v>289</v>
      </c>
      <c r="D140" s="716">
        <v>0</v>
      </c>
      <c r="E140" s="716">
        <v>0</v>
      </c>
      <c r="F140" s="716">
        <v>0</v>
      </c>
      <c r="G140" s="716">
        <f t="shared" ref="G140:G148" si="20">H140+I140+J140</f>
        <v>0</v>
      </c>
      <c r="H140" s="716">
        <v>0</v>
      </c>
      <c r="I140" s="716">
        <v>0</v>
      </c>
      <c r="J140" s="716">
        <v>0</v>
      </c>
      <c r="K140" s="716">
        <f t="shared" ref="K140:K148" si="21">D140+E140+F140+G140</f>
        <v>0</v>
      </c>
      <c r="L140" s="716">
        <v>0</v>
      </c>
      <c r="M140" s="716">
        <v>0</v>
      </c>
      <c r="N140" s="716">
        <v>0</v>
      </c>
      <c r="O140" s="716">
        <v>0</v>
      </c>
      <c r="P140" s="716">
        <v>0</v>
      </c>
      <c r="Q140" s="243">
        <f t="shared" ref="Q140:Q145" si="22">L140+M140+N140+O140+P140</f>
        <v>0</v>
      </c>
      <c r="R140" s="243"/>
      <c r="S140" s="243"/>
      <c r="T140" s="243"/>
      <c r="U140" s="243"/>
      <c r="V140" s="243"/>
      <c r="W140" s="243"/>
      <c r="X140" s="243"/>
      <c r="Y140" s="243"/>
      <c r="Z140" s="243">
        <f t="shared" ref="Z140:Z145" si="23">R140+S140+T140+U140+V140+W140+X140+Y140</f>
        <v>0</v>
      </c>
    </row>
    <row r="141" spans="1:26" s="27" customFormat="1" x14ac:dyDescent="0.25">
      <c r="A141" s="808">
        <v>128</v>
      </c>
      <c r="B141" s="807" t="s">
        <v>290</v>
      </c>
      <c r="C141" s="31" t="s">
        <v>291</v>
      </c>
      <c r="D141" s="716">
        <v>0</v>
      </c>
      <c r="E141" s="716">
        <v>0</v>
      </c>
      <c r="F141" s="716">
        <v>0</v>
      </c>
      <c r="G141" s="716">
        <f t="shared" si="20"/>
        <v>0</v>
      </c>
      <c r="H141" s="716">
        <v>0</v>
      </c>
      <c r="I141" s="716">
        <v>0</v>
      </c>
      <c r="J141" s="716">
        <v>0</v>
      </c>
      <c r="K141" s="716">
        <f t="shared" si="21"/>
        <v>0</v>
      </c>
      <c r="L141" s="716">
        <v>0</v>
      </c>
      <c r="M141" s="716">
        <v>0</v>
      </c>
      <c r="N141" s="716">
        <v>0</v>
      </c>
      <c r="O141" s="716">
        <v>0</v>
      </c>
      <c r="P141" s="716">
        <v>0</v>
      </c>
      <c r="Q141" s="243">
        <f t="shared" si="22"/>
        <v>0</v>
      </c>
      <c r="R141" s="243"/>
      <c r="S141" s="243"/>
      <c r="T141" s="243"/>
      <c r="U141" s="243"/>
      <c r="V141" s="243"/>
      <c r="W141" s="243"/>
      <c r="X141" s="243"/>
      <c r="Y141" s="243"/>
      <c r="Z141" s="243">
        <f t="shared" si="23"/>
        <v>0</v>
      </c>
    </row>
    <row r="142" spans="1:26" x14ac:dyDescent="0.25">
      <c r="A142" s="808">
        <v>129</v>
      </c>
      <c r="B142" s="172" t="s">
        <v>292</v>
      </c>
      <c r="C142" s="813" t="s">
        <v>293</v>
      </c>
      <c r="D142" s="716">
        <v>0</v>
      </c>
      <c r="E142" s="716">
        <v>0</v>
      </c>
      <c r="F142" s="716">
        <v>0</v>
      </c>
      <c r="G142" s="716">
        <f t="shared" si="20"/>
        <v>0</v>
      </c>
      <c r="H142" s="716">
        <v>0</v>
      </c>
      <c r="I142" s="716">
        <v>0</v>
      </c>
      <c r="J142" s="716">
        <v>0</v>
      </c>
      <c r="K142" s="716">
        <f t="shared" si="21"/>
        <v>0</v>
      </c>
      <c r="L142" s="716">
        <v>0</v>
      </c>
      <c r="M142" s="716">
        <v>0</v>
      </c>
      <c r="N142" s="716">
        <v>0</v>
      </c>
      <c r="O142" s="716">
        <v>0</v>
      </c>
      <c r="P142" s="716">
        <v>0</v>
      </c>
      <c r="Q142" s="243">
        <f t="shared" si="22"/>
        <v>0</v>
      </c>
      <c r="R142" s="243"/>
      <c r="S142" s="243"/>
      <c r="T142" s="243"/>
      <c r="U142" s="243"/>
      <c r="V142" s="243"/>
      <c r="W142" s="243"/>
      <c r="X142" s="243"/>
      <c r="Y142" s="243"/>
      <c r="Z142" s="243">
        <f t="shared" si="23"/>
        <v>0</v>
      </c>
    </row>
    <row r="143" spans="1:26" x14ac:dyDescent="0.25">
      <c r="A143" s="808">
        <v>130</v>
      </c>
      <c r="B143" s="174" t="s">
        <v>294</v>
      </c>
      <c r="C143" s="814" t="s">
        <v>295</v>
      </c>
      <c r="D143" s="716">
        <v>0</v>
      </c>
      <c r="E143" s="716">
        <v>0</v>
      </c>
      <c r="F143" s="716">
        <v>0</v>
      </c>
      <c r="G143" s="716">
        <f t="shared" si="20"/>
        <v>0</v>
      </c>
      <c r="H143" s="716">
        <v>0</v>
      </c>
      <c r="I143" s="716">
        <v>0</v>
      </c>
      <c r="J143" s="716">
        <v>0</v>
      </c>
      <c r="K143" s="716">
        <f t="shared" si="21"/>
        <v>0</v>
      </c>
      <c r="L143" s="716">
        <v>0</v>
      </c>
      <c r="M143" s="716">
        <v>0</v>
      </c>
      <c r="N143" s="716">
        <v>0</v>
      </c>
      <c r="O143" s="716">
        <v>0</v>
      </c>
      <c r="P143" s="716">
        <v>0</v>
      </c>
      <c r="Q143" s="243">
        <f t="shared" si="22"/>
        <v>0</v>
      </c>
      <c r="R143" s="243"/>
      <c r="S143" s="243"/>
      <c r="T143" s="243"/>
      <c r="U143" s="243"/>
      <c r="V143" s="243"/>
      <c r="W143" s="243"/>
      <c r="X143" s="243"/>
      <c r="Y143" s="243"/>
      <c r="Z143" s="243">
        <f t="shared" si="23"/>
        <v>0</v>
      </c>
    </row>
    <row r="144" spans="1:26" x14ac:dyDescent="0.2">
      <c r="A144" s="808">
        <v>131</v>
      </c>
      <c r="B144" s="815" t="s">
        <v>296</v>
      </c>
      <c r="C144" s="816" t="s">
        <v>462</v>
      </c>
      <c r="D144" s="716">
        <v>0</v>
      </c>
      <c r="E144" s="716">
        <v>0</v>
      </c>
      <c r="F144" s="716">
        <v>0</v>
      </c>
      <c r="G144" s="716">
        <f t="shared" si="20"/>
        <v>0</v>
      </c>
      <c r="H144" s="716">
        <v>0</v>
      </c>
      <c r="I144" s="716">
        <v>0</v>
      </c>
      <c r="J144" s="716">
        <v>0</v>
      </c>
      <c r="K144" s="716">
        <f t="shared" si="21"/>
        <v>0</v>
      </c>
      <c r="L144" s="716">
        <v>0</v>
      </c>
      <c r="M144" s="716">
        <v>0</v>
      </c>
      <c r="N144" s="716">
        <v>0</v>
      </c>
      <c r="O144" s="716">
        <v>0</v>
      </c>
      <c r="P144" s="716">
        <v>0</v>
      </c>
      <c r="Q144" s="243">
        <f t="shared" si="22"/>
        <v>0</v>
      </c>
      <c r="R144" s="243"/>
      <c r="S144" s="243"/>
      <c r="T144" s="243"/>
      <c r="U144" s="243"/>
      <c r="V144" s="243"/>
      <c r="W144" s="243"/>
      <c r="X144" s="243"/>
      <c r="Y144" s="243"/>
      <c r="Z144" s="243">
        <f t="shared" si="23"/>
        <v>0</v>
      </c>
    </row>
    <row r="145" spans="1:26" x14ac:dyDescent="0.25">
      <c r="A145" s="808">
        <v>132</v>
      </c>
      <c r="B145" s="808" t="s">
        <v>298</v>
      </c>
      <c r="C145" s="817" t="s">
        <v>299</v>
      </c>
      <c r="D145" s="716">
        <v>0</v>
      </c>
      <c r="E145" s="716">
        <v>0</v>
      </c>
      <c r="F145" s="716">
        <v>0</v>
      </c>
      <c r="G145" s="716">
        <f t="shared" si="20"/>
        <v>0</v>
      </c>
      <c r="H145" s="716">
        <v>0</v>
      </c>
      <c r="I145" s="716">
        <v>0</v>
      </c>
      <c r="J145" s="716">
        <v>0</v>
      </c>
      <c r="K145" s="716">
        <f t="shared" si="21"/>
        <v>0</v>
      </c>
      <c r="L145" s="716">
        <v>0</v>
      </c>
      <c r="M145" s="716">
        <v>0</v>
      </c>
      <c r="N145" s="716">
        <v>0</v>
      </c>
      <c r="O145" s="716">
        <v>0</v>
      </c>
      <c r="P145" s="716">
        <v>0</v>
      </c>
      <c r="Q145" s="243">
        <f t="shared" si="22"/>
        <v>0</v>
      </c>
      <c r="R145" s="243"/>
      <c r="S145" s="243"/>
      <c r="T145" s="243"/>
      <c r="U145" s="243"/>
      <c r="V145" s="243"/>
      <c r="W145" s="243"/>
      <c r="X145" s="243"/>
      <c r="Y145" s="243"/>
      <c r="Z145" s="243">
        <f t="shared" si="23"/>
        <v>0</v>
      </c>
    </row>
    <row r="146" spans="1:26" x14ac:dyDescent="0.25">
      <c r="A146" s="808">
        <v>133</v>
      </c>
      <c r="B146" s="812" t="s">
        <v>300</v>
      </c>
      <c r="C146" s="817" t="s">
        <v>301</v>
      </c>
      <c r="D146" s="716">
        <v>0</v>
      </c>
      <c r="E146" s="716">
        <v>0</v>
      </c>
      <c r="F146" s="716">
        <v>0</v>
      </c>
      <c r="G146" s="716">
        <f t="shared" si="20"/>
        <v>0</v>
      </c>
      <c r="H146" s="716">
        <v>0</v>
      </c>
      <c r="I146" s="716">
        <v>0</v>
      </c>
      <c r="J146" s="716">
        <v>0</v>
      </c>
      <c r="K146" s="716">
        <f t="shared" si="21"/>
        <v>0</v>
      </c>
      <c r="L146" s="716">
        <v>0</v>
      </c>
      <c r="M146" s="716">
        <v>0</v>
      </c>
      <c r="N146" s="716">
        <v>0</v>
      </c>
      <c r="O146" s="716">
        <v>0</v>
      </c>
      <c r="P146" s="716">
        <v>0</v>
      </c>
      <c r="Q146" s="243">
        <f t="shared" ref="Q146:Q148" si="24">O146+P146</f>
        <v>0</v>
      </c>
      <c r="R146" s="243"/>
      <c r="S146" s="243"/>
      <c r="T146" s="243"/>
      <c r="U146" s="243"/>
      <c r="V146" s="243"/>
      <c r="W146" s="243"/>
      <c r="X146" s="243"/>
      <c r="Y146" s="243"/>
      <c r="Z146" s="243">
        <f t="shared" ref="Z146:Z148" si="25">X146+Y146</f>
        <v>0</v>
      </c>
    </row>
    <row r="147" spans="1:26" x14ac:dyDescent="0.25">
      <c r="A147" s="808">
        <v>134</v>
      </c>
      <c r="B147" s="812" t="s">
        <v>302</v>
      </c>
      <c r="C147" s="817" t="s">
        <v>303</v>
      </c>
      <c r="D147" s="716">
        <v>0</v>
      </c>
      <c r="E147" s="716">
        <v>0</v>
      </c>
      <c r="F147" s="716">
        <v>0</v>
      </c>
      <c r="G147" s="716">
        <f t="shared" si="20"/>
        <v>0</v>
      </c>
      <c r="H147" s="716">
        <v>0</v>
      </c>
      <c r="I147" s="716">
        <v>0</v>
      </c>
      <c r="J147" s="716">
        <v>0</v>
      </c>
      <c r="K147" s="716">
        <f t="shared" si="21"/>
        <v>0</v>
      </c>
      <c r="L147" s="716">
        <v>0</v>
      </c>
      <c r="M147" s="716">
        <v>0</v>
      </c>
      <c r="N147" s="716">
        <v>0</v>
      </c>
      <c r="O147" s="716">
        <v>0</v>
      </c>
      <c r="P147" s="716">
        <v>0</v>
      </c>
      <c r="Q147" s="243">
        <f t="shared" si="24"/>
        <v>0</v>
      </c>
      <c r="R147" s="243"/>
      <c r="S147" s="243"/>
      <c r="T147" s="243"/>
      <c r="U147" s="243"/>
      <c r="V147" s="243"/>
      <c r="W147" s="243"/>
      <c r="X147" s="243"/>
      <c r="Y147" s="243"/>
      <c r="Z147" s="243">
        <f t="shared" si="25"/>
        <v>0</v>
      </c>
    </row>
    <row r="148" spans="1:26" x14ac:dyDescent="0.25">
      <c r="A148" s="808">
        <v>135</v>
      </c>
      <c r="B148" s="812" t="s">
        <v>304</v>
      </c>
      <c r="C148" s="810" t="s">
        <v>305</v>
      </c>
      <c r="D148" s="716">
        <v>0</v>
      </c>
      <c r="E148" s="716">
        <v>0</v>
      </c>
      <c r="F148" s="716">
        <v>0</v>
      </c>
      <c r="G148" s="716">
        <f t="shared" si="20"/>
        <v>0</v>
      </c>
      <c r="H148" s="716">
        <v>0</v>
      </c>
      <c r="I148" s="716">
        <v>0</v>
      </c>
      <c r="J148" s="716">
        <v>0</v>
      </c>
      <c r="K148" s="716">
        <f t="shared" si="21"/>
        <v>0</v>
      </c>
      <c r="L148" s="716">
        <v>0</v>
      </c>
      <c r="M148" s="716">
        <v>0</v>
      </c>
      <c r="N148" s="716">
        <v>0</v>
      </c>
      <c r="O148" s="716">
        <v>0</v>
      </c>
      <c r="P148" s="716">
        <v>0</v>
      </c>
      <c r="Q148" s="243">
        <f t="shared" si="24"/>
        <v>0</v>
      </c>
      <c r="R148" s="243"/>
      <c r="S148" s="243"/>
      <c r="T148" s="243"/>
      <c r="U148" s="243"/>
      <c r="V148" s="243"/>
      <c r="W148" s="243"/>
      <c r="X148" s="243"/>
      <c r="Y148" s="243"/>
      <c r="Z148" s="243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="110" zoomScaleNormal="110" workbookViewId="0">
      <pane xSplit="3" ySplit="9" topLeftCell="D127" activePane="bottomRight" state="frozen"/>
      <selection pane="topRight" activeCell="D1" sqref="D1"/>
      <selection pane="bottomLeft" activeCell="A9" sqref="A9"/>
      <selection pane="bottomRight" activeCell="E10" sqref="E10:E14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26" t="s">
        <v>556</v>
      </c>
      <c r="B1" s="1126"/>
      <c r="C1" s="1126"/>
      <c r="D1" s="1126"/>
      <c r="E1" s="1126"/>
      <c r="F1" s="1126"/>
      <c r="G1" s="1126"/>
      <c r="H1" s="1126"/>
    </row>
    <row r="2" spans="1:8" ht="15.75" customHeight="1" x14ac:dyDescent="0.25">
      <c r="A2" s="1126"/>
      <c r="B2" s="1126"/>
      <c r="C2" s="1126"/>
      <c r="D2" s="1126"/>
      <c r="E2" s="1126"/>
      <c r="F2" s="1126"/>
      <c r="G2" s="1126"/>
      <c r="H2" s="1126"/>
    </row>
    <row r="3" spans="1:8" x14ac:dyDescent="0.25">
      <c r="C3" s="6"/>
      <c r="E3" s="32"/>
      <c r="F3" s="32"/>
      <c r="G3" s="32"/>
    </row>
    <row r="4" spans="1:8" ht="36.75" customHeight="1" x14ac:dyDescent="0.25">
      <c r="A4" s="886" t="s">
        <v>0</v>
      </c>
      <c r="B4" s="886" t="s">
        <v>1</v>
      </c>
      <c r="C4" s="887" t="s">
        <v>2</v>
      </c>
      <c r="D4" s="887" t="s">
        <v>544</v>
      </c>
      <c r="E4" s="887" t="s">
        <v>545</v>
      </c>
      <c r="F4" s="887" t="s">
        <v>546</v>
      </c>
      <c r="G4" s="887"/>
      <c r="H4" s="887"/>
    </row>
    <row r="5" spans="1:8" s="10" customFormat="1" ht="36" x14ac:dyDescent="0.25">
      <c r="A5" s="886"/>
      <c r="B5" s="886"/>
      <c r="C5" s="887"/>
      <c r="D5" s="887"/>
      <c r="E5" s="887"/>
      <c r="F5" s="831" t="s">
        <v>413</v>
      </c>
      <c r="G5" s="831" t="s">
        <v>780</v>
      </c>
      <c r="H5" s="831" t="s">
        <v>781</v>
      </c>
    </row>
    <row r="6" spans="1:8" x14ac:dyDescent="0.25">
      <c r="A6" s="1139" t="s">
        <v>13</v>
      </c>
      <c r="B6" s="1139"/>
      <c r="C6" s="1139"/>
      <c r="D6" s="269">
        <f>D7+D9+D8</f>
        <v>2482</v>
      </c>
      <c r="E6" s="269">
        <f t="shared" ref="E6:H6" si="0">E7+E9+E8</f>
        <v>4761</v>
      </c>
      <c r="F6" s="269">
        <f t="shared" si="0"/>
        <v>2386</v>
      </c>
      <c r="G6" s="269">
        <f t="shared" si="0"/>
        <v>750</v>
      </c>
      <c r="H6" s="269">
        <f t="shared" si="0"/>
        <v>1636</v>
      </c>
    </row>
    <row r="7" spans="1:8" x14ac:dyDescent="0.25">
      <c r="A7" s="16"/>
      <c r="B7" s="16"/>
      <c r="C7" s="17" t="s">
        <v>14</v>
      </c>
      <c r="D7" s="243">
        <v>0</v>
      </c>
      <c r="E7" s="243">
        <v>0</v>
      </c>
      <c r="F7" s="243">
        <f>G7+H7</f>
        <v>0</v>
      </c>
      <c r="G7" s="243">
        <v>0</v>
      </c>
      <c r="H7" s="243">
        <v>0</v>
      </c>
    </row>
    <row r="8" spans="1:8" x14ac:dyDescent="0.25">
      <c r="A8" s="16"/>
      <c r="B8" s="16"/>
      <c r="C8" s="17" t="s">
        <v>554</v>
      </c>
      <c r="D8" s="243">
        <f>4761-4761</f>
        <v>0</v>
      </c>
      <c r="E8" s="243">
        <f>4761-4761</f>
        <v>0</v>
      </c>
      <c r="F8" s="243">
        <f>G8+H8</f>
        <v>0</v>
      </c>
      <c r="G8" s="243">
        <v>0</v>
      </c>
      <c r="H8" s="243">
        <f>2386-2386</f>
        <v>0</v>
      </c>
    </row>
    <row r="9" spans="1:8" s="10" customFormat="1" x14ac:dyDescent="0.25">
      <c r="A9" s="1139" t="s">
        <v>15</v>
      </c>
      <c r="B9" s="1139"/>
      <c r="C9" s="1139"/>
      <c r="D9" s="269">
        <f>SUM(D10:D147)-D90</f>
        <v>2482</v>
      </c>
      <c r="E9" s="269">
        <f t="shared" ref="E9:H9" si="1">SUM(E10:E147)-E90</f>
        <v>4761</v>
      </c>
      <c r="F9" s="269">
        <f t="shared" si="1"/>
        <v>2386</v>
      </c>
      <c r="G9" s="269">
        <f t="shared" si="1"/>
        <v>750</v>
      </c>
      <c r="H9" s="269">
        <f t="shared" si="1"/>
        <v>1636</v>
      </c>
    </row>
    <row r="10" spans="1:8" s="20" customFormat="1" x14ac:dyDescent="0.25">
      <c r="A10" s="242">
        <v>1</v>
      </c>
      <c r="B10" s="49" t="s">
        <v>54</v>
      </c>
      <c r="C10" s="50" t="s">
        <v>55</v>
      </c>
      <c r="D10" s="243">
        <v>0</v>
      </c>
      <c r="E10" s="243">
        <v>0</v>
      </c>
      <c r="F10" s="243">
        <f>G10+H10</f>
        <v>0</v>
      </c>
      <c r="G10" s="243">
        <v>0</v>
      </c>
      <c r="H10" s="243">
        <v>0</v>
      </c>
    </row>
    <row r="11" spans="1:8" s="20" customFormat="1" x14ac:dyDescent="0.25">
      <c r="A11" s="242">
        <v>2</v>
      </c>
      <c r="B11" s="52" t="s">
        <v>56</v>
      </c>
      <c r="C11" s="50" t="s">
        <v>57</v>
      </c>
      <c r="D11" s="243">
        <v>0</v>
      </c>
      <c r="E11" s="243">
        <v>0</v>
      </c>
      <c r="F11" s="243">
        <f t="shared" ref="F11:F74" si="2">G11+H11</f>
        <v>0</v>
      </c>
      <c r="G11" s="243">
        <v>0</v>
      </c>
      <c r="H11" s="243">
        <v>0</v>
      </c>
    </row>
    <row r="12" spans="1:8" s="10" customFormat="1" x14ac:dyDescent="0.25">
      <c r="A12" s="242">
        <v>3</v>
      </c>
      <c r="B12" s="264" t="s">
        <v>16</v>
      </c>
      <c r="C12" s="50" t="s">
        <v>17</v>
      </c>
      <c r="D12" s="243">
        <v>0</v>
      </c>
      <c r="E12" s="243">
        <v>0</v>
      </c>
      <c r="F12" s="243">
        <f t="shared" si="2"/>
        <v>0</v>
      </c>
      <c r="G12" s="243">
        <v>0</v>
      </c>
      <c r="H12" s="243">
        <v>0</v>
      </c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243">
        <v>0</v>
      </c>
      <c r="E13" s="243">
        <v>0</v>
      </c>
      <c r="F13" s="243">
        <f t="shared" si="2"/>
        <v>0</v>
      </c>
      <c r="G13" s="243">
        <v>0</v>
      </c>
      <c r="H13" s="243">
        <v>0</v>
      </c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243">
        <v>0</v>
      </c>
      <c r="E14" s="243">
        <v>0</v>
      </c>
      <c r="F14" s="243">
        <f t="shared" si="2"/>
        <v>0</v>
      </c>
      <c r="G14" s="243">
        <v>0</v>
      </c>
      <c r="H14" s="243">
        <v>0</v>
      </c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243">
        <v>0</v>
      </c>
      <c r="E15" s="243">
        <v>200</v>
      </c>
      <c r="F15" s="243">
        <f t="shared" si="2"/>
        <v>106</v>
      </c>
      <c r="G15" s="243">
        <v>0</v>
      </c>
      <c r="H15" s="243">
        <v>106</v>
      </c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243">
        <v>0</v>
      </c>
      <c r="E16" s="243">
        <v>200</v>
      </c>
      <c r="F16" s="243">
        <f t="shared" si="2"/>
        <v>0</v>
      </c>
      <c r="G16" s="243">
        <v>0</v>
      </c>
      <c r="H16" s="243">
        <v>0</v>
      </c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243">
        <v>0</v>
      </c>
      <c r="E17" s="243">
        <v>0</v>
      </c>
      <c r="F17" s="243">
        <f t="shared" si="2"/>
        <v>0</v>
      </c>
      <c r="G17" s="243">
        <v>0</v>
      </c>
      <c r="H17" s="243">
        <v>0</v>
      </c>
    </row>
    <row r="18" spans="1:8" s="245" customFormat="1" x14ac:dyDescent="0.25">
      <c r="A18" s="242">
        <v>9</v>
      </c>
      <c r="B18" s="264" t="s">
        <v>66</v>
      </c>
      <c r="C18" s="50" t="s">
        <v>67</v>
      </c>
      <c r="D18" s="243">
        <v>0</v>
      </c>
      <c r="E18" s="243">
        <v>0</v>
      </c>
      <c r="F18" s="243">
        <f t="shared" si="2"/>
        <v>0</v>
      </c>
      <c r="G18" s="243">
        <v>0</v>
      </c>
      <c r="H18" s="243">
        <v>0</v>
      </c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243">
        <v>0</v>
      </c>
      <c r="E19" s="243">
        <v>0</v>
      </c>
      <c r="F19" s="243">
        <f t="shared" si="2"/>
        <v>0</v>
      </c>
      <c r="G19" s="243">
        <v>0</v>
      </c>
      <c r="H19" s="243">
        <v>0</v>
      </c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243">
        <v>0</v>
      </c>
      <c r="E20" s="243">
        <v>0</v>
      </c>
      <c r="F20" s="243">
        <f t="shared" si="2"/>
        <v>0</v>
      </c>
      <c r="G20" s="243">
        <v>0</v>
      </c>
      <c r="H20" s="243">
        <v>0</v>
      </c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243">
        <v>0</v>
      </c>
      <c r="E21" s="243">
        <v>0</v>
      </c>
      <c r="F21" s="243">
        <f t="shared" si="2"/>
        <v>0</v>
      </c>
      <c r="G21" s="243">
        <v>0</v>
      </c>
      <c r="H21" s="243">
        <v>0</v>
      </c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f t="shared" si="2"/>
        <v>0</v>
      </c>
      <c r="G22" s="243">
        <v>0</v>
      </c>
      <c r="H22" s="243">
        <v>0</v>
      </c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243">
        <v>0</v>
      </c>
      <c r="E23" s="243">
        <v>0</v>
      </c>
      <c r="F23" s="243">
        <f t="shared" si="2"/>
        <v>0</v>
      </c>
      <c r="G23" s="243">
        <v>0</v>
      </c>
      <c r="H23" s="243">
        <v>0</v>
      </c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243">
        <v>0</v>
      </c>
      <c r="E24" s="243">
        <v>0</v>
      </c>
      <c r="F24" s="243">
        <f t="shared" si="2"/>
        <v>0</v>
      </c>
      <c r="G24" s="243">
        <v>0</v>
      </c>
      <c r="H24" s="243">
        <v>0</v>
      </c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243">
        <v>0</v>
      </c>
      <c r="E25" s="243">
        <v>0</v>
      </c>
      <c r="F25" s="243">
        <f t="shared" si="2"/>
        <v>0</v>
      </c>
      <c r="G25" s="243">
        <v>0</v>
      </c>
      <c r="H25" s="243">
        <v>0</v>
      </c>
    </row>
    <row r="26" spans="1:8" s="27" customFormat="1" x14ac:dyDescent="0.25">
      <c r="A26" s="242">
        <v>17</v>
      </c>
      <c r="B26" s="264" t="s">
        <v>20</v>
      </c>
      <c r="C26" s="50" t="s">
        <v>21</v>
      </c>
      <c r="D26" s="243">
        <v>0</v>
      </c>
      <c r="E26" s="243">
        <v>200</v>
      </c>
      <c r="F26" s="243">
        <f t="shared" si="2"/>
        <v>200</v>
      </c>
      <c r="G26" s="243">
        <v>0</v>
      </c>
      <c r="H26" s="243">
        <v>200</v>
      </c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243">
        <v>0</v>
      </c>
      <c r="E27" s="243">
        <v>0</v>
      </c>
      <c r="F27" s="243">
        <f t="shared" si="2"/>
        <v>0</v>
      </c>
      <c r="G27" s="243">
        <v>0</v>
      </c>
      <c r="H27" s="243">
        <v>0</v>
      </c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243">
        <v>0</v>
      </c>
      <c r="E28" s="243">
        <v>0</v>
      </c>
      <c r="F28" s="243">
        <f t="shared" si="2"/>
        <v>0</v>
      </c>
      <c r="G28" s="243">
        <v>0</v>
      </c>
      <c r="H28" s="243">
        <v>0</v>
      </c>
    </row>
    <row r="29" spans="1:8" s="245" customFormat="1" x14ac:dyDescent="0.25">
      <c r="A29" s="242">
        <v>20</v>
      </c>
      <c r="B29" s="49" t="s">
        <v>86</v>
      </c>
      <c r="C29" s="50" t="s">
        <v>87</v>
      </c>
      <c r="D29" s="243">
        <v>0</v>
      </c>
      <c r="E29" s="243">
        <v>0</v>
      </c>
      <c r="F29" s="243">
        <f t="shared" si="2"/>
        <v>0</v>
      </c>
      <c r="G29" s="243">
        <v>0</v>
      </c>
      <c r="H29" s="243">
        <v>0</v>
      </c>
    </row>
    <row r="30" spans="1:8" s="27" customFormat="1" x14ac:dyDescent="0.25">
      <c r="A30" s="242">
        <v>21</v>
      </c>
      <c r="B30" s="49" t="s">
        <v>22</v>
      </c>
      <c r="C30" s="50" t="s">
        <v>23</v>
      </c>
      <c r="D30" s="243">
        <v>0</v>
      </c>
      <c r="E30" s="243">
        <v>100</v>
      </c>
      <c r="F30" s="243">
        <f t="shared" si="2"/>
        <v>106</v>
      </c>
      <c r="G30" s="243">
        <v>0</v>
      </c>
      <c r="H30" s="243">
        <v>106</v>
      </c>
    </row>
    <row r="31" spans="1:8" s="27" customFormat="1" x14ac:dyDescent="0.25">
      <c r="A31" s="242">
        <v>22</v>
      </c>
      <c r="B31" s="264" t="s">
        <v>24</v>
      </c>
      <c r="C31" s="50" t="s">
        <v>25</v>
      </c>
      <c r="D31" s="243">
        <v>0</v>
      </c>
      <c r="E31" s="243">
        <v>0</v>
      </c>
      <c r="F31" s="243">
        <f t="shared" si="2"/>
        <v>0</v>
      </c>
      <c r="G31" s="243">
        <v>0</v>
      </c>
      <c r="H31" s="243">
        <v>0</v>
      </c>
    </row>
    <row r="32" spans="1:8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f t="shared" si="2"/>
        <v>0</v>
      </c>
      <c r="G32" s="243">
        <v>0</v>
      </c>
      <c r="H32" s="243">
        <v>0</v>
      </c>
    </row>
    <row r="33" spans="1:8" s="245" customFormat="1" ht="12.75" customHeigh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f t="shared" si="2"/>
        <v>0</v>
      </c>
      <c r="G33" s="243">
        <v>0</v>
      </c>
      <c r="H33" s="243">
        <v>0</v>
      </c>
    </row>
    <row r="34" spans="1:8" s="245" customFormat="1" x14ac:dyDescent="0.25">
      <c r="A34" s="242">
        <v>25</v>
      </c>
      <c r="B34" s="49" t="s">
        <v>92</v>
      </c>
      <c r="C34" s="50" t="s">
        <v>93</v>
      </c>
      <c r="D34" s="243">
        <v>0</v>
      </c>
      <c r="E34" s="243">
        <v>461</v>
      </c>
      <c r="F34" s="243">
        <f t="shared" si="2"/>
        <v>253</v>
      </c>
      <c r="G34" s="243">
        <v>0</v>
      </c>
      <c r="H34" s="243">
        <v>253</v>
      </c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f t="shared" si="2"/>
        <v>0</v>
      </c>
      <c r="G35" s="243">
        <v>0</v>
      </c>
      <c r="H35" s="243">
        <v>0</v>
      </c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243">
        <v>0</v>
      </c>
      <c r="E36" s="243">
        <v>0</v>
      </c>
      <c r="F36" s="243">
        <f t="shared" si="2"/>
        <v>0</v>
      </c>
      <c r="G36" s="243">
        <v>0</v>
      </c>
      <c r="H36" s="243">
        <v>0</v>
      </c>
    </row>
    <row r="37" spans="1:8" s="27" customFormat="1" x14ac:dyDescent="0.25">
      <c r="A37" s="242">
        <v>28</v>
      </c>
      <c r="B37" s="52" t="s">
        <v>26</v>
      </c>
      <c r="C37" s="50" t="s">
        <v>27</v>
      </c>
      <c r="D37" s="243">
        <v>0</v>
      </c>
      <c r="E37" s="243">
        <v>100</v>
      </c>
      <c r="F37" s="243">
        <f t="shared" si="2"/>
        <v>106</v>
      </c>
      <c r="G37" s="243">
        <v>0</v>
      </c>
      <c r="H37" s="243">
        <v>106</v>
      </c>
    </row>
    <row r="38" spans="1:8" s="27" customFormat="1" x14ac:dyDescent="0.25">
      <c r="A38" s="242">
        <v>29</v>
      </c>
      <c r="B38" s="49" t="s">
        <v>98</v>
      </c>
      <c r="C38" s="50" t="s">
        <v>99</v>
      </c>
      <c r="D38" s="243">
        <v>0</v>
      </c>
      <c r="E38" s="243">
        <v>0</v>
      </c>
      <c r="F38" s="243">
        <f t="shared" si="2"/>
        <v>0</v>
      </c>
      <c r="G38" s="243">
        <v>0</v>
      </c>
      <c r="H38" s="243">
        <v>0</v>
      </c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243">
        <v>0</v>
      </c>
      <c r="E39" s="243">
        <v>0</v>
      </c>
      <c r="F39" s="243">
        <f t="shared" si="2"/>
        <v>0</v>
      </c>
      <c r="G39" s="243">
        <v>0</v>
      </c>
      <c r="H39" s="243">
        <v>0</v>
      </c>
    </row>
    <row r="40" spans="1:8" s="245" customFormat="1" x14ac:dyDescent="0.25">
      <c r="A40" s="242">
        <v>31</v>
      </c>
      <c r="B40" s="264" t="s">
        <v>102</v>
      </c>
      <c r="C40" s="50" t="s">
        <v>103</v>
      </c>
      <c r="D40" s="243">
        <v>0</v>
      </c>
      <c r="E40" s="243">
        <v>0</v>
      </c>
      <c r="F40" s="243">
        <f t="shared" si="2"/>
        <v>0</v>
      </c>
      <c r="G40" s="243">
        <v>0</v>
      </c>
      <c r="H40" s="243">
        <v>0</v>
      </c>
    </row>
    <row r="41" spans="1:8" x14ac:dyDescent="0.25">
      <c r="A41" s="242">
        <v>32</v>
      </c>
      <c r="B41" s="52" t="s">
        <v>104</v>
      </c>
      <c r="C41" s="50" t="s">
        <v>105</v>
      </c>
      <c r="D41" s="243">
        <v>0</v>
      </c>
      <c r="E41" s="243">
        <v>0</v>
      </c>
      <c r="F41" s="243">
        <f t="shared" si="2"/>
        <v>0</v>
      </c>
      <c r="G41" s="243">
        <v>0</v>
      </c>
      <c r="H41" s="243">
        <v>0</v>
      </c>
    </row>
    <row r="42" spans="1:8" s="27" customFormat="1" x14ac:dyDescent="0.25">
      <c r="A42" s="242">
        <v>33</v>
      </c>
      <c r="B42" s="49" t="s">
        <v>106</v>
      </c>
      <c r="C42" s="50" t="s">
        <v>107</v>
      </c>
      <c r="D42" s="243">
        <v>0</v>
      </c>
      <c r="E42" s="243">
        <v>0</v>
      </c>
      <c r="F42" s="243">
        <f t="shared" si="2"/>
        <v>0</v>
      </c>
      <c r="G42" s="243">
        <v>0</v>
      </c>
      <c r="H42" s="243">
        <v>0</v>
      </c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243">
        <v>0</v>
      </c>
      <c r="E43" s="243">
        <v>0</v>
      </c>
      <c r="F43" s="243">
        <f t="shared" si="2"/>
        <v>0</v>
      </c>
      <c r="G43" s="243">
        <v>0</v>
      </c>
      <c r="H43" s="243">
        <v>0</v>
      </c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243">
        <v>0</v>
      </c>
      <c r="E44" s="243">
        <v>0</v>
      </c>
      <c r="F44" s="243">
        <f t="shared" si="2"/>
        <v>0</v>
      </c>
      <c r="G44" s="243">
        <v>0</v>
      </c>
      <c r="H44" s="243">
        <v>0</v>
      </c>
    </row>
    <row r="45" spans="1:8" x14ac:dyDescent="0.25">
      <c r="A45" s="242">
        <v>36</v>
      </c>
      <c r="B45" s="49" t="s">
        <v>112</v>
      </c>
      <c r="C45" s="50" t="s">
        <v>113</v>
      </c>
      <c r="D45" s="243">
        <v>0</v>
      </c>
      <c r="E45" s="243">
        <v>0</v>
      </c>
      <c r="F45" s="243">
        <f t="shared" si="2"/>
        <v>0</v>
      </c>
      <c r="G45" s="243">
        <v>0</v>
      </c>
      <c r="H45" s="243">
        <v>0</v>
      </c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243">
        <v>0</v>
      </c>
      <c r="E46" s="243">
        <v>0</v>
      </c>
      <c r="F46" s="243">
        <f t="shared" si="2"/>
        <v>0</v>
      </c>
      <c r="G46" s="243">
        <v>0</v>
      </c>
      <c r="H46" s="243">
        <v>0</v>
      </c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243">
        <v>0</v>
      </c>
      <c r="E47" s="243">
        <v>0</v>
      </c>
      <c r="F47" s="243">
        <f t="shared" si="2"/>
        <v>0</v>
      </c>
      <c r="G47" s="243">
        <v>0</v>
      </c>
      <c r="H47" s="243">
        <v>0</v>
      </c>
    </row>
    <row r="48" spans="1:8" s="27" customFormat="1" x14ac:dyDescent="0.25">
      <c r="A48" s="242">
        <v>39</v>
      </c>
      <c r="B48" s="264" t="s">
        <v>28</v>
      </c>
      <c r="C48" s="50" t="s">
        <v>29</v>
      </c>
      <c r="D48" s="243">
        <v>0</v>
      </c>
      <c r="E48" s="243">
        <v>200</v>
      </c>
      <c r="F48" s="243">
        <f t="shared" si="2"/>
        <v>212</v>
      </c>
      <c r="G48" s="243">
        <v>0</v>
      </c>
      <c r="H48" s="243">
        <v>212</v>
      </c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243">
        <v>0</v>
      </c>
      <c r="E49" s="243">
        <v>0</v>
      </c>
      <c r="F49" s="243">
        <f t="shared" si="2"/>
        <v>0</v>
      </c>
      <c r="G49" s="243">
        <v>0</v>
      </c>
      <c r="H49" s="243">
        <v>0</v>
      </c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243">
        <v>0</v>
      </c>
      <c r="E50" s="243">
        <v>0</v>
      </c>
      <c r="F50" s="243">
        <f t="shared" si="2"/>
        <v>0</v>
      </c>
      <c r="G50" s="243">
        <v>0</v>
      </c>
      <c r="H50" s="243">
        <v>0</v>
      </c>
    </row>
    <row r="51" spans="1:8" s="245" customFormat="1" x14ac:dyDescent="0.25">
      <c r="A51" s="242">
        <v>42</v>
      </c>
      <c r="B51" s="264" t="s">
        <v>122</v>
      </c>
      <c r="C51" s="50" t="s">
        <v>123</v>
      </c>
      <c r="D51" s="243">
        <v>0</v>
      </c>
      <c r="E51" s="243">
        <v>0</v>
      </c>
      <c r="F51" s="243">
        <f t="shared" si="2"/>
        <v>0</v>
      </c>
      <c r="G51" s="243">
        <v>0</v>
      </c>
      <c r="H51" s="243">
        <v>0</v>
      </c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243">
        <v>0</v>
      </c>
      <c r="E52" s="243">
        <v>0</v>
      </c>
      <c r="F52" s="243">
        <f t="shared" si="2"/>
        <v>0</v>
      </c>
      <c r="G52" s="243">
        <v>0</v>
      </c>
      <c r="H52" s="243">
        <v>0</v>
      </c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243">
        <v>0</v>
      </c>
      <c r="E53" s="243">
        <v>0</v>
      </c>
      <c r="F53" s="243">
        <f t="shared" si="2"/>
        <v>0</v>
      </c>
      <c r="G53" s="243">
        <v>0</v>
      </c>
      <c r="H53" s="243">
        <v>0</v>
      </c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243">
        <v>0</v>
      </c>
      <c r="E54" s="243">
        <v>0</v>
      </c>
      <c r="F54" s="243">
        <f t="shared" si="2"/>
        <v>0</v>
      </c>
      <c r="G54" s="243">
        <v>0</v>
      </c>
      <c r="H54" s="243">
        <v>0</v>
      </c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243">
        <v>0</v>
      </c>
      <c r="E55" s="243">
        <v>0</v>
      </c>
      <c r="F55" s="243">
        <f t="shared" si="2"/>
        <v>0</v>
      </c>
      <c r="G55" s="243">
        <v>0</v>
      </c>
      <c r="H55" s="243">
        <v>0</v>
      </c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243">
        <v>0</v>
      </c>
      <c r="E56" s="243">
        <v>0</v>
      </c>
      <c r="F56" s="243">
        <f t="shared" si="2"/>
        <v>0</v>
      </c>
      <c r="G56" s="243">
        <v>0</v>
      </c>
      <c r="H56" s="243">
        <v>0</v>
      </c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243">
        <v>0</v>
      </c>
      <c r="E57" s="243">
        <v>0</v>
      </c>
      <c r="F57" s="243">
        <f t="shared" si="2"/>
        <v>0</v>
      </c>
      <c r="G57" s="243">
        <v>0</v>
      </c>
      <c r="H57" s="243">
        <v>0</v>
      </c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243">
        <v>0</v>
      </c>
      <c r="E58" s="243">
        <v>0</v>
      </c>
      <c r="F58" s="243">
        <f t="shared" si="2"/>
        <v>0</v>
      </c>
      <c r="G58" s="243">
        <v>0</v>
      </c>
      <c r="H58" s="243">
        <v>0</v>
      </c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243">
        <v>0</v>
      </c>
      <c r="E59" s="243">
        <v>0</v>
      </c>
      <c r="F59" s="243">
        <f t="shared" si="2"/>
        <v>0</v>
      </c>
      <c r="G59" s="243">
        <v>0</v>
      </c>
      <c r="H59" s="243">
        <v>0</v>
      </c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243">
        <v>0</v>
      </c>
      <c r="E60" s="243">
        <v>0</v>
      </c>
      <c r="F60" s="243">
        <f t="shared" si="2"/>
        <v>0</v>
      </c>
      <c r="G60" s="243">
        <v>0</v>
      </c>
      <c r="H60" s="243">
        <v>0</v>
      </c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243">
        <v>0</v>
      </c>
      <c r="E61" s="243">
        <v>0</v>
      </c>
      <c r="F61" s="243">
        <f t="shared" si="2"/>
        <v>0</v>
      </c>
      <c r="G61" s="243">
        <v>0</v>
      </c>
      <c r="H61" s="243">
        <v>0</v>
      </c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243">
        <v>0</v>
      </c>
      <c r="E62" s="243">
        <v>0</v>
      </c>
      <c r="F62" s="243">
        <f t="shared" si="2"/>
        <v>0</v>
      </c>
      <c r="G62" s="243">
        <v>0</v>
      </c>
      <c r="H62" s="243">
        <v>0</v>
      </c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f t="shared" si="2"/>
        <v>0</v>
      </c>
      <c r="G63" s="243">
        <v>0</v>
      </c>
      <c r="H63" s="243">
        <v>0</v>
      </c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243">
        <v>0</v>
      </c>
      <c r="E64" s="243">
        <v>0</v>
      </c>
      <c r="F64" s="243">
        <f t="shared" si="2"/>
        <v>0</v>
      </c>
      <c r="G64" s="243">
        <v>0</v>
      </c>
      <c r="H64" s="243">
        <v>0</v>
      </c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243">
        <v>0</v>
      </c>
      <c r="E65" s="243">
        <v>0</v>
      </c>
      <c r="F65" s="243">
        <f t="shared" si="2"/>
        <v>0</v>
      </c>
      <c r="G65" s="243">
        <v>0</v>
      </c>
      <c r="H65" s="243">
        <v>0</v>
      </c>
    </row>
    <row r="66" spans="1:8" s="27" customFormat="1" x14ac:dyDescent="0.25">
      <c r="A66" s="242">
        <v>57</v>
      </c>
      <c r="B66" s="49" t="s">
        <v>152</v>
      </c>
      <c r="C66" s="50" t="s">
        <v>557</v>
      </c>
      <c r="D66" s="243">
        <v>0</v>
      </c>
      <c r="E66" s="243">
        <v>0</v>
      </c>
      <c r="F66" s="243">
        <f t="shared" si="2"/>
        <v>0</v>
      </c>
      <c r="G66" s="243">
        <v>0</v>
      </c>
      <c r="H66" s="243">
        <v>0</v>
      </c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243">
        <v>0</v>
      </c>
      <c r="E67" s="243">
        <v>0</v>
      </c>
      <c r="F67" s="243">
        <f t="shared" si="2"/>
        <v>0</v>
      </c>
      <c r="G67" s="243">
        <v>0</v>
      </c>
      <c r="H67" s="243">
        <v>0</v>
      </c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f t="shared" si="2"/>
        <v>0</v>
      </c>
      <c r="G68" s="243">
        <v>0</v>
      </c>
      <c r="H68" s="243">
        <v>0</v>
      </c>
    </row>
    <row r="69" spans="1:8" s="27" customFormat="1" ht="24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f t="shared" si="2"/>
        <v>0</v>
      </c>
      <c r="G69" s="243">
        <v>0</v>
      </c>
      <c r="H69" s="243">
        <v>0</v>
      </c>
    </row>
    <row r="70" spans="1:8" s="27" customFormat="1" ht="24" x14ac:dyDescent="0.25">
      <c r="A70" s="242">
        <v>61</v>
      </c>
      <c r="B70" s="49" t="s">
        <v>160</v>
      </c>
      <c r="C70" s="50" t="s">
        <v>161</v>
      </c>
      <c r="D70" s="243">
        <v>0</v>
      </c>
      <c r="E70" s="243">
        <v>0</v>
      </c>
      <c r="F70" s="243">
        <f t="shared" si="2"/>
        <v>0</v>
      </c>
      <c r="G70" s="243">
        <v>0</v>
      </c>
      <c r="H70" s="243">
        <v>0</v>
      </c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243">
        <v>0</v>
      </c>
      <c r="E71" s="243">
        <v>0</v>
      </c>
      <c r="F71" s="243">
        <f t="shared" si="2"/>
        <v>0</v>
      </c>
      <c r="G71" s="243">
        <v>0</v>
      </c>
      <c r="H71" s="243">
        <v>0</v>
      </c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243">
        <v>0</v>
      </c>
      <c r="E72" s="243">
        <v>0</v>
      </c>
      <c r="F72" s="243">
        <f t="shared" si="2"/>
        <v>0</v>
      </c>
      <c r="G72" s="243">
        <v>0</v>
      </c>
      <c r="H72" s="243">
        <v>0</v>
      </c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243">
        <v>0</v>
      </c>
      <c r="E73" s="243">
        <v>0</v>
      </c>
      <c r="F73" s="243">
        <f t="shared" si="2"/>
        <v>0</v>
      </c>
      <c r="G73" s="243">
        <v>0</v>
      </c>
      <c r="H73" s="243">
        <v>0</v>
      </c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f t="shared" si="2"/>
        <v>0</v>
      </c>
      <c r="G74" s="243">
        <v>0</v>
      </c>
      <c r="H74" s="243">
        <v>0</v>
      </c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243">
        <v>0</v>
      </c>
      <c r="E75" s="243">
        <v>0</v>
      </c>
      <c r="F75" s="243">
        <f t="shared" ref="F75:F138" si="3">G75+H75</f>
        <v>0</v>
      </c>
      <c r="G75" s="243">
        <v>0</v>
      </c>
      <c r="H75" s="243">
        <v>0</v>
      </c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f t="shared" si="3"/>
        <v>0</v>
      </c>
      <c r="G76" s="243">
        <v>0</v>
      </c>
      <c r="H76" s="243">
        <v>0</v>
      </c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f t="shared" si="3"/>
        <v>0</v>
      </c>
      <c r="G77" s="243">
        <v>0</v>
      </c>
      <c r="H77" s="243">
        <v>0</v>
      </c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f t="shared" si="3"/>
        <v>0</v>
      </c>
      <c r="G78" s="243">
        <v>0</v>
      </c>
      <c r="H78" s="243">
        <v>0</v>
      </c>
    </row>
    <row r="79" spans="1:8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f t="shared" si="3"/>
        <v>0</v>
      </c>
      <c r="G79" s="243">
        <v>0</v>
      </c>
      <c r="H79" s="243">
        <v>0</v>
      </c>
    </row>
    <row r="80" spans="1:8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f t="shared" si="3"/>
        <v>0</v>
      </c>
      <c r="G80" s="243">
        <v>0</v>
      </c>
      <c r="H80" s="243">
        <v>0</v>
      </c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243">
        <v>0</v>
      </c>
      <c r="E81" s="243">
        <v>0</v>
      </c>
      <c r="F81" s="243">
        <f t="shared" si="3"/>
        <v>0</v>
      </c>
      <c r="G81" s="243">
        <v>0</v>
      </c>
      <c r="H81" s="243">
        <v>0</v>
      </c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243">
        <v>0</v>
      </c>
      <c r="E82" s="243">
        <v>0</v>
      </c>
      <c r="F82" s="243">
        <f t="shared" si="3"/>
        <v>0</v>
      </c>
      <c r="G82" s="243">
        <v>0</v>
      </c>
      <c r="H82" s="243">
        <v>0</v>
      </c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243">
        <v>0</v>
      </c>
      <c r="E83" s="243">
        <v>0</v>
      </c>
      <c r="F83" s="243">
        <f t="shared" si="3"/>
        <v>0</v>
      </c>
      <c r="G83" s="243">
        <v>0</v>
      </c>
      <c r="H83" s="243">
        <v>0</v>
      </c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243">
        <v>0</v>
      </c>
      <c r="E84" s="243">
        <v>0</v>
      </c>
      <c r="F84" s="243">
        <f t="shared" si="3"/>
        <v>0</v>
      </c>
      <c r="G84" s="243">
        <v>0</v>
      </c>
      <c r="H84" s="243">
        <v>0</v>
      </c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243">
        <v>0</v>
      </c>
      <c r="E85" s="243">
        <v>500</v>
      </c>
      <c r="F85" s="243">
        <f t="shared" si="3"/>
        <v>653</v>
      </c>
      <c r="G85" s="243">
        <v>0</v>
      </c>
      <c r="H85" s="243">
        <v>653</v>
      </c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243">
        <v>0</v>
      </c>
      <c r="E86" s="243">
        <v>0</v>
      </c>
      <c r="F86" s="243">
        <f t="shared" si="3"/>
        <v>0</v>
      </c>
      <c r="G86" s="243">
        <v>0</v>
      </c>
      <c r="H86" s="243">
        <v>0</v>
      </c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243">
        <v>0</v>
      </c>
      <c r="E87" s="243">
        <v>0</v>
      </c>
      <c r="F87" s="243">
        <f t="shared" si="3"/>
        <v>0</v>
      </c>
      <c r="G87" s="243">
        <v>0</v>
      </c>
      <c r="H87" s="243">
        <v>0</v>
      </c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f t="shared" si="3"/>
        <v>0</v>
      </c>
      <c r="G88" s="243">
        <v>0</v>
      </c>
      <c r="H88" s="243">
        <v>0</v>
      </c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f t="shared" si="3"/>
        <v>0</v>
      </c>
      <c r="G89" s="243">
        <v>0</v>
      </c>
      <c r="H89" s="243">
        <v>0</v>
      </c>
    </row>
    <row r="90" spans="1:8" s="27" customFormat="1" ht="24" x14ac:dyDescent="0.25">
      <c r="A90" s="1140">
        <v>81</v>
      </c>
      <c r="B90" s="907" t="s">
        <v>199</v>
      </c>
      <c r="C90" s="57" t="s">
        <v>200</v>
      </c>
      <c r="D90" s="243">
        <v>0</v>
      </c>
      <c r="E90" s="243">
        <v>0</v>
      </c>
      <c r="F90" s="243">
        <f t="shared" si="3"/>
        <v>0</v>
      </c>
      <c r="G90" s="243">
        <v>0</v>
      </c>
      <c r="H90" s="243">
        <v>0</v>
      </c>
    </row>
    <row r="91" spans="1:8" s="27" customFormat="1" ht="36" x14ac:dyDescent="0.25">
      <c r="A91" s="1141"/>
      <c r="B91" s="908"/>
      <c r="C91" s="50" t="s">
        <v>201</v>
      </c>
      <c r="D91" s="243">
        <v>0</v>
      </c>
      <c r="E91" s="243">
        <v>0</v>
      </c>
      <c r="F91" s="243">
        <f t="shared" si="3"/>
        <v>0</v>
      </c>
      <c r="G91" s="243">
        <v>0</v>
      </c>
      <c r="H91" s="243">
        <v>0</v>
      </c>
    </row>
    <row r="92" spans="1:8" s="27" customFormat="1" ht="24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f t="shared" si="3"/>
        <v>0</v>
      </c>
      <c r="G92" s="243">
        <v>0</v>
      </c>
      <c r="H92" s="243">
        <v>0</v>
      </c>
    </row>
    <row r="93" spans="1:8" s="27" customFormat="1" ht="36" x14ac:dyDescent="0.25">
      <c r="A93" s="1142"/>
      <c r="B93" s="909"/>
      <c r="C93" s="58" t="s">
        <v>203</v>
      </c>
      <c r="D93" s="243">
        <v>0</v>
      </c>
      <c r="E93" s="243">
        <v>0</v>
      </c>
      <c r="F93" s="243">
        <f t="shared" si="3"/>
        <v>0</v>
      </c>
      <c r="G93" s="243">
        <v>0</v>
      </c>
      <c r="H93" s="243">
        <v>0</v>
      </c>
    </row>
    <row r="94" spans="1:8" s="27" customFormat="1" ht="24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f t="shared" si="3"/>
        <v>0</v>
      </c>
      <c r="G94" s="243">
        <v>0</v>
      </c>
      <c r="H94" s="243">
        <v>0</v>
      </c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243">
        <v>0</v>
      </c>
      <c r="E95" s="243">
        <v>0</v>
      </c>
      <c r="F95" s="243">
        <f t="shared" si="3"/>
        <v>0</v>
      </c>
      <c r="G95" s="243">
        <v>0</v>
      </c>
      <c r="H95" s="243">
        <v>0</v>
      </c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243">
        <v>0</v>
      </c>
      <c r="E96" s="243">
        <v>0</v>
      </c>
      <c r="F96" s="243">
        <f t="shared" si="3"/>
        <v>0</v>
      </c>
      <c r="G96" s="243">
        <v>0</v>
      </c>
      <c r="H96" s="243">
        <v>0</v>
      </c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243">
        <v>0</v>
      </c>
      <c r="E97" s="243">
        <v>0</v>
      </c>
      <c r="F97" s="243">
        <f t="shared" si="3"/>
        <v>0</v>
      </c>
      <c r="G97" s="243">
        <v>0</v>
      </c>
      <c r="H97" s="243">
        <v>0</v>
      </c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243">
        <v>0</v>
      </c>
      <c r="E98" s="243">
        <v>0</v>
      </c>
      <c r="F98" s="243">
        <f t="shared" si="3"/>
        <v>0</v>
      </c>
      <c r="G98" s="243">
        <v>0</v>
      </c>
      <c r="H98" s="243">
        <v>0</v>
      </c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243">
        <v>0</v>
      </c>
      <c r="E99" s="243">
        <v>0</v>
      </c>
      <c r="F99" s="243">
        <f t="shared" si="3"/>
        <v>0</v>
      </c>
      <c r="G99" s="243">
        <v>0</v>
      </c>
      <c r="H99" s="243">
        <v>0</v>
      </c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243">
        <v>0</v>
      </c>
      <c r="E100" s="243">
        <v>0</v>
      </c>
      <c r="F100" s="243">
        <f t="shared" si="3"/>
        <v>0</v>
      </c>
      <c r="G100" s="243">
        <v>0</v>
      </c>
      <c r="H100" s="243">
        <v>0</v>
      </c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243">
        <v>0</v>
      </c>
      <c r="E101" s="243">
        <v>0</v>
      </c>
      <c r="F101" s="243">
        <f t="shared" si="3"/>
        <v>0</v>
      </c>
      <c r="G101" s="243">
        <v>0</v>
      </c>
      <c r="H101" s="243">
        <v>0</v>
      </c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243">
        <v>0</v>
      </c>
      <c r="E102" s="243">
        <v>0</v>
      </c>
      <c r="F102" s="243">
        <f t="shared" si="3"/>
        <v>0</v>
      </c>
      <c r="G102" s="243">
        <v>0</v>
      </c>
      <c r="H102" s="243">
        <v>0</v>
      </c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243">
        <v>0</v>
      </c>
      <c r="E103" s="243">
        <v>0</v>
      </c>
      <c r="F103" s="243">
        <f t="shared" si="3"/>
        <v>0</v>
      </c>
      <c r="G103" s="243">
        <v>0</v>
      </c>
      <c r="H103" s="243">
        <v>0</v>
      </c>
    </row>
    <row r="104" spans="1:8" s="27" customFormat="1" x14ac:dyDescent="0.25">
      <c r="A104" s="242">
        <v>92</v>
      </c>
      <c r="B104" s="49" t="s">
        <v>224</v>
      </c>
      <c r="C104" s="50" t="s">
        <v>225</v>
      </c>
      <c r="D104" s="243">
        <v>0</v>
      </c>
      <c r="E104" s="243">
        <v>0</v>
      </c>
      <c r="F104" s="243">
        <f t="shared" si="3"/>
        <v>0</v>
      </c>
      <c r="G104" s="243">
        <v>0</v>
      </c>
      <c r="H104" s="243">
        <v>0</v>
      </c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243">
        <v>0</v>
      </c>
      <c r="E105" s="243">
        <v>0</v>
      </c>
      <c r="F105" s="243">
        <f t="shared" si="3"/>
        <v>0</v>
      </c>
      <c r="G105" s="243">
        <v>0</v>
      </c>
      <c r="H105" s="243">
        <v>0</v>
      </c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243">
        <v>0</v>
      </c>
      <c r="E106" s="243">
        <v>0</v>
      </c>
      <c r="F106" s="243">
        <f t="shared" si="3"/>
        <v>0</v>
      </c>
      <c r="G106" s="243">
        <v>0</v>
      </c>
      <c r="H106" s="243">
        <v>0</v>
      </c>
    </row>
    <row r="107" spans="1:8" s="245" customFormat="1" x14ac:dyDescent="0.25">
      <c r="A107" s="242">
        <v>95</v>
      </c>
      <c r="B107" s="264" t="s">
        <v>228</v>
      </c>
      <c r="C107" s="50" t="s">
        <v>229</v>
      </c>
      <c r="D107" s="243">
        <v>0</v>
      </c>
      <c r="E107" s="243">
        <v>0</v>
      </c>
      <c r="F107" s="243">
        <f t="shared" si="3"/>
        <v>0</v>
      </c>
      <c r="G107" s="243">
        <v>0</v>
      </c>
      <c r="H107" s="243">
        <v>0</v>
      </c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243">
        <v>0</v>
      </c>
      <c r="E108" s="243">
        <v>0</v>
      </c>
      <c r="F108" s="243">
        <f t="shared" si="3"/>
        <v>0</v>
      </c>
      <c r="G108" s="243">
        <v>0</v>
      </c>
      <c r="H108" s="243">
        <v>0</v>
      </c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f t="shared" si="3"/>
        <v>0</v>
      </c>
      <c r="G109" s="243">
        <v>0</v>
      </c>
      <c r="H109" s="243">
        <v>0</v>
      </c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f t="shared" si="3"/>
        <v>0</v>
      </c>
      <c r="G110" s="243">
        <v>0</v>
      </c>
      <c r="H110" s="243">
        <v>0</v>
      </c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f t="shared" si="3"/>
        <v>0</v>
      </c>
      <c r="G111" s="243">
        <v>0</v>
      </c>
      <c r="H111" s="243">
        <v>0</v>
      </c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f t="shared" si="3"/>
        <v>0</v>
      </c>
      <c r="G112" s="243">
        <v>0</v>
      </c>
      <c r="H112" s="243">
        <v>0</v>
      </c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f t="shared" si="3"/>
        <v>0</v>
      </c>
      <c r="G113" s="243">
        <v>0</v>
      </c>
      <c r="H113" s="243">
        <v>0</v>
      </c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f t="shared" si="3"/>
        <v>0</v>
      </c>
      <c r="G114" s="243">
        <v>0</v>
      </c>
      <c r="H114" s="243">
        <v>0</v>
      </c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f t="shared" si="3"/>
        <v>0</v>
      </c>
      <c r="G115" s="243">
        <v>0</v>
      </c>
      <c r="H115" s="243">
        <v>0</v>
      </c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0</v>
      </c>
      <c r="F116" s="243">
        <f t="shared" si="3"/>
        <v>0</v>
      </c>
      <c r="G116" s="243">
        <v>0</v>
      </c>
      <c r="H116" s="243">
        <v>0</v>
      </c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f t="shared" si="3"/>
        <v>0</v>
      </c>
      <c r="G117" s="243">
        <v>0</v>
      </c>
      <c r="H117" s="243">
        <v>0</v>
      </c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f t="shared" si="3"/>
        <v>0</v>
      </c>
      <c r="G118" s="243">
        <v>0</v>
      </c>
      <c r="H118" s="243">
        <v>0</v>
      </c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f t="shared" si="3"/>
        <v>0</v>
      </c>
      <c r="G119" s="243">
        <v>0</v>
      </c>
      <c r="H119" s="243">
        <v>0</v>
      </c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f t="shared" si="3"/>
        <v>0</v>
      </c>
      <c r="G120" s="243">
        <v>0</v>
      </c>
      <c r="H120" s="243">
        <v>0</v>
      </c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0</v>
      </c>
      <c r="F121" s="243">
        <f t="shared" si="3"/>
        <v>0</v>
      </c>
      <c r="G121" s="243">
        <v>0</v>
      </c>
      <c r="H121" s="243">
        <v>0</v>
      </c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f t="shared" si="3"/>
        <v>0</v>
      </c>
      <c r="G122" s="243">
        <v>0</v>
      </c>
      <c r="H122" s="243">
        <v>0</v>
      </c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f t="shared" si="3"/>
        <v>0</v>
      </c>
      <c r="G123" s="243">
        <v>0</v>
      </c>
      <c r="H123" s="243">
        <v>0</v>
      </c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f t="shared" si="3"/>
        <v>0</v>
      </c>
      <c r="G124" s="243">
        <v>0</v>
      </c>
      <c r="H124" s="243">
        <v>0</v>
      </c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f t="shared" si="3"/>
        <v>0</v>
      </c>
      <c r="G125" s="243">
        <v>0</v>
      </c>
      <c r="H125" s="243">
        <v>0</v>
      </c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f t="shared" si="3"/>
        <v>0</v>
      </c>
      <c r="G126" s="243">
        <v>0</v>
      </c>
      <c r="H126" s="243">
        <v>0</v>
      </c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300</v>
      </c>
      <c r="F127" s="243">
        <f t="shared" si="3"/>
        <v>0</v>
      </c>
      <c r="G127" s="243">
        <v>0</v>
      </c>
      <c r="H127" s="243">
        <v>0</v>
      </c>
    </row>
    <row r="128" spans="1:8" s="27" customFormat="1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0</v>
      </c>
      <c r="F128" s="243">
        <f t="shared" si="3"/>
        <v>0</v>
      </c>
      <c r="G128" s="243">
        <v>0</v>
      </c>
      <c r="H128" s="243">
        <v>0</v>
      </c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243">
        <v>0</v>
      </c>
      <c r="E129" s="243">
        <v>0</v>
      </c>
      <c r="F129" s="243">
        <f t="shared" si="3"/>
        <v>0</v>
      </c>
      <c r="G129" s="243">
        <v>0</v>
      </c>
      <c r="H129" s="243">
        <v>0</v>
      </c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243">
        <v>0</v>
      </c>
      <c r="E130" s="243">
        <v>0</v>
      </c>
      <c r="F130" s="243">
        <f t="shared" si="3"/>
        <v>0</v>
      </c>
      <c r="G130" s="243">
        <v>0</v>
      </c>
      <c r="H130" s="243">
        <v>0</v>
      </c>
    </row>
    <row r="131" spans="1:8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f t="shared" si="3"/>
        <v>0</v>
      </c>
      <c r="G131" s="243">
        <v>0</v>
      </c>
      <c r="H131" s="243">
        <v>0</v>
      </c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f t="shared" si="3"/>
        <v>0</v>
      </c>
      <c r="G132" s="243">
        <v>0</v>
      </c>
      <c r="H132" s="243">
        <v>0</v>
      </c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243">
        <v>2482</v>
      </c>
      <c r="E133" s="243">
        <v>0</v>
      </c>
      <c r="F133" s="243">
        <f t="shared" si="3"/>
        <v>0</v>
      </c>
      <c r="G133" s="243">
        <v>0</v>
      </c>
      <c r="H133" s="243">
        <v>0</v>
      </c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f t="shared" si="3"/>
        <v>0</v>
      </c>
      <c r="G134" s="243">
        <v>0</v>
      </c>
      <c r="H134" s="243">
        <v>0</v>
      </c>
    </row>
    <row r="135" spans="1:8" s="27" customFormat="1" x14ac:dyDescent="0.25">
      <c r="A135" s="242">
        <v>123</v>
      </c>
      <c r="B135" s="264" t="s">
        <v>282</v>
      </c>
      <c r="C135" s="50" t="s">
        <v>783</v>
      </c>
      <c r="D135" s="243">
        <v>0</v>
      </c>
      <c r="E135" s="243">
        <v>0</v>
      </c>
      <c r="F135" s="243">
        <f t="shared" si="3"/>
        <v>0</v>
      </c>
      <c r="G135" s="243">
        <v>0</v>
      </c>
      <c r="H135" s="243">
        <v>0</v>
      </c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243">
        <v>0</v>
      </c>
      <c r="E136" s="243">
        <v>0</v>
      </c>
      <c r="F136" s="243">
        <f t="shared" si="3"/>
        <v>0</v>
      </c>
      <c r="G136" s="243">
        <v>0</v>
      </c>
      <c r="H136" s="243">
        <v>0</v>
      </c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243">
        <v>0</v>
      </c>
      <c r="E137" s="243">
        <v>0</v>
      </c>
      <c r="F137" s="243">
        <f t="shared" si="3"/>
        <v>0</v>
      </c>
      <c r="G137" s="243">
        <v>0</v>
      </c>
      <c r="H137" s="243">
        <v>0</v>
      </c>
    </row>
    <row r="138" spans="1:8" s="27" customFormat="1" x14ac:dyDescent="0.25">
      <c r="A138" s="242">
        <v>126</v>
      </c>
      <c r="B138" s="264" t="s">
        <v>286</v>
      </c>
      <c r="C138" s="50" t="s">
        <v>287</v>
      </c>
      <c r="D138" s="243">
        <v>0</v>
      </c>
      <c r="E138" s="243">
        <v>2500</v>
      </c>
      <c r="F138" s="243">
        <f t="shared" si="3"/>
        <v>750</v>
      </c>
      <c r="G138" s="243">
        <v>750</v>
      </c>
      <c r="H138" s="243">
        <v>0</v>
      </c>
    </row>
    <row r="139" spans="1:8" s="27" customFormat="1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f t="shared" ref="F139:F147" si="4">G139+H139</f>
        <v>0</v>
      </c>
      <c r="G139" s="243">
        <v>0</v>
      </c>
      <c r="H139" s="243">
        <v>0</v>
      </c>
    </row>
    <row r="140" spans="1:8" s="27" customFormat="1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f t="shared" si="4"/>
        <v>0</v>
      </c>
      <c r="G140" s="243">
        <v>0</v>
      </c>
      <c r="H140" s="243">
        <v>0</v>
      </c>
    </row>
    <row r="141" spans="1:8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f t="shared" si="4"/>
        <v>0</v>
      </c>
      <c r="G141" s="243">
        <v>0</v>
      </c>
      <c r="H141" s="243">
        <v>0</v>
      </c>
    </row>
    <row r="142" spans="1:8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f t="shared" si="4"/>
        <v>0</v>
      </c>
      <c r="G142" s="243">
        <v>0</v>
      </c>
      <c r="H142" s="243">
        <v>0</v>
      </c>
    </row>
    <row r="143" spans="1:8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f t="shared" si="4"/>
        <v>0</v>
      </c>
      <c r="G143" s="243">
        <v>0</v>
      </c>
      <c r="H143" s="243">
        <v>0</v>
      </c>
    </row>
    <row r="144" spans="1:8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f t="shared" si="4"/>
        <v>0</v>
      </c>
      <c r="G144" s="243">
        <v>0</v>
      </c>
      <c r="H144" s="243">
        <v>0</v>
      </c>
    </row>
    <row r="145" spans="1:8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f t="shared" si="4"/>
        <v>0</v>
      </c>
      <c r="G145" s="243">
        <v>0</v>
      </c>
      <c r="H145" s="243">
        <v>0</v>
      </c>
    </row>
    <row r="146" spans="1:8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f t="shared" si="4"/>
        <v>0</v>
      </c>
      <c r="G146" s="243">
        <v>0</v>
      </c>
      <c r="H146" s="243">
        <v>0</v>
      </c>
    </row>
    <row r="147" spans="1:8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f t="shared" si="4"/>
        <v>0</v>
      </c>
      <c r="G147" s="243">
        <v>0</v>
      </c>
      <c r="H147" s="243"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1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2"/>
  <sheetViews>
    <sheetView tabSelected="1" zoomScaleNormal="10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C138" sqref="C138"/>
    </sheetView>
  </sheetViews>
  <sheetFormatPr defaultRowHeight="12" x14ac:dyDescent="0.25"/>
  <cols>
    <col min="1" max="1" width="4.7109375" style="714" customWidth="1"/>
    <col min="2" max="2" width="9.28515625" style="714" customWidth="1"/>
    <col min="3" max="3" width="39.28515625" style="2" customWidth="1"/>
    <col min="4" max="4" width="9.42578125" style="2" customWidth="1"/>
    <col min="5" max="5" width="9.28515625" style="2" customWidth="1"/>
    <col min="6" max="6" width="28" style="2" customWidth="1"/>
    <col min="7" max="7" width="22.5703125" style="2" customWidth="1"/>
    <col min="8" max="8" width="13.140625" style="2" customWidth="1"/>
    <col min="9" max="9" width="8.28515625" style="2" customWidth="1"/>
    <col min="10" max="10" width="9.5703125" style="27" customWidth="1"/>
    <col min="11" max="11" width="10.7109375" style="27" customWidth="1"/>
    <col min="12" max="12" width="12.7109375" style="27" customWidth="1"/>
    <col min="13" max="13" width="8" style="27" bestFit="1" customWidth="1"/>
    <col min="14" max="14" width="10.5703125" style="27" customWidth="1"/>
    <col min="15" max="16384" width="9.140625" style="27"/>
  </cols>
  <sheetData>
    <row r="1" spans="1:15" x14ac:dyDescent="0.25">
      <c r="A1" s="1126" t="s">
        <v>776</v>
      </c>
      <c r="B1" s="1126"/>
      <c r="C1" s="1126"/>
      <c r="D1" s="1126"/>
      <c r="E1" s="1126"/>
      <c r="F1" s="1126"/>
      <c r="G1" s="1126"/>
      <c r="H1" s="1126"/>
      <c r="I1" s="1126"/>
      <c r="J1" s="1126"/>
      <c r="K1" s="1126"/>
      <c r="L1" s="1126"/>
    </row>
    <row r="2" spans="1:15" x14ac:dyDescent="0.25">
      <c r="A2" s="1126"/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</row>
    <row r="3" spans="1:15" x14ac:dyDescent="0.25">
      <c r="A3" s="1162"/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</row>
    <row r="4" spans="1:15" x14ac:dyDescent="0.25">
      <c r="A4" s="887" t="s">
        <v>0</v>
      </c>
      <c r="B4" s="887" t="s">
        <v>1</v>
      </c>
      <c r="C4" s="887" t="s">
        <v>2</v>
      </c>
      <c r="D4" s="887" t="s">
        <v>413</v>
      </c>
      <c r="E4" s="1163" t="s">
        <v>6</v>
      </c>
      <c r="F4" s="1164"/>
      <c r="G4" s="1164"/>
      <c r="H4" s="1164"/>
      <c r="I4" s="1164"/>
      <c r="J4" s="1164"/>
      <c r="K4" s="1164"/>
      <c r="L4" s="1165"/>
    </row>
    <row r="5" spans="1:15" s="20" customFormat="1" x14ac:dyDescent="0.25">
      <c r="A5" s="887"/>
      <c r="B5" s="887"/>
      <c r="C5" s="887"/>
      <c r="D5" s="887"/>
      <c r="E5" s="1166" t="s">
        <v>539</v>
      </c>
      <c r="F5" s="1166"/>
      <c r="G5" s="1166"/>
      <c r="H5" s="1167"/>
      <c r="I5" s="1161" t="s">
        <v>540</v>
      </c>
      <c r="J5" s="1161"/>
      <c r="K5" s="1161"/>
      <c r="L5" s="1161"/>
    </row>
    <row r="6" spans="1:15" s="20" customFormat="1" ht="24" customHeight="1" x14ac:dyDescent="0.25">
      <c r="A6" s="887"/>
      <c r="B6" s="887"/>
      <c r="C6" s="887"/>
      <c r="D6" s="887"/>
      <c r="E6" s="1168" t="s">
        <v>46</v>
      </c>
      <c r="F6" s="703" t="s">
        <v>749</v>
      </c>
      <c r="G6" s="703" t="s">
        <v>750</v>
      </c>
      <c r="H6" s="1159" t="s">
        <v>751</v>
      </c>
      <c r="I6" s="887" t="s">
        <v>46</v>
      </c>
      <c r="J6" s="1161" t="s">
        <v>541</v>
      </c>
      <c r="K6" s="1161" t="s">
        <v>542</v>
      </c>
      <c r="L6" s="1161" t="s">
        <v>543</v>
      </c>
    </row>
    <row r="7" spans="1:15" ht="195.75" customHeight="1" x14ac:dyDescent="0.25">
      <c r="A7" s="887"/>
      <c r="B7" s="887"/>
      <c r="C7" s="887"/>
      <c r="D7" s="887"/>
      <c r="E7" s="1169"/>
      <c r="F7" s="704" t="s">
        <v>752</v>
      </c>
      <c r="G7" s="704" t="s">
        <v>753</v>
      </c>
      <c r="H7" s="1160"/>
      <c r="I7" s="887"/>
      <c r="J7" s="1161"/>
      <c r="K7" s="1161"/>
      <c r="L7" s="1161"/>
      <c r="M7" s="723"/>
      <c r="N7" s="723"/>
    </row>
    <row r="8" spans="1:15" s="20" customFormat="1" x14ac:dyDescent="0.25">
      <c r="A8" s="1139" t="s">
        <v>13</v>
      </c>
      <c r="B8" s="1139"/>
      <c r="C8" s="1139"/>
      <c r="D8" s="269">
        <f>E8+I8</f>
        <v>806628</v>
      </c>
      <c r="E8" s="269">
        <f>E11+E10+E9</f>
        <v>785070</v>
      </c>
      <c r="F8" s="269">
        <f t="shared" ref="F8:H8" si="0">F11+F10+F9</f>
        <v>413799</v>
      </c>
      <c r="G8" s="269">
        <f t="shared" si="0"/>
        <v>370762</v>
      </c>
      <c r="H8" s="269">
        <f t="shared" si="0"/>
        <v>509</v>
      </c>
      <c r="I8" s="269">
        <f>I11+I10+I9</f>
        <v>21558</v>
      </c>
      <c r="J8" s="269">
        <f>J9+J10+J11</f>
        <v>4764</v>
      </c>
      <c r="K8" s="269">
        <f t="shared" ref="K8:L8" si="1">K9+K10+K11</f>
        <v>14990</v>
      </c>
      <c r="L8" s="269">
        <f t="shared" si="1"/>
        <v>1804</v>
      </c>
      <c r="M8" s="15"/>
      <c r="N8" s="15"/>
      <c r="O8" s="705"/>
    </row>
    <row r="9" spans="1:15" s="20" customFormat="1" x14ac:dyDescent="0.25">
      <c r="A9" s="706"/>
      <c r="B9" s="706"/>
      <c r="C9" s="17" t="s">
        <v>14</v>
      </c>
      <c r="D9" s="17"/>
      <c r="E9" s="17"/>
      <c r="F9" s="17"/>
      <c r="G9" s="17"/>
      <c r="H9" s="17"/>
      <c r="I9" s="17"/>
      <c r="J9" s="243"/>
      <c r="K9" s="243"/>
      <c r="L9" s="243"/>
      <c r="M9" s="15"/>
      <c r="N9" s="15"/>
    </row>
    <row r="10" spans="1:15" s="20" customFormat="1" x14ac:dyDescent="0.25">
      <c r="A10" s="706"/>
      <c r="B10" s="706"/>
      <c r="C10" s="17" t="s">
        <v>554</v>
      </c>
      <c r="D10" s="17"/>
      <c r="E10" s="17"/>
      <c r="F10" s="17"/>
      <c r="G10" s="17"/>
      <c r="H10" s="17"/>
      <c r="I10" s="17"/>
      <c r="J10" s="243"/>
      <c r="K10" s="243"/>
      <c r="L10" s="243"/>
      <c r="M10" s="15"/>
      <c r="N10" s="15"/>
    </row>
    <row r="11" spans="1:15" s="20" customFormat="1" x14ac:dyDescent="0.25">
      <c r="A11" s="1139" t="s">
        <v>15</v>
      </c>
      <c r="B11" s="1139"/>
      <c r="C11" s="1139"/>
      <c r="D11" s="269">
        <f>SUM(D12:D149)-D89</f>
        <v>806628</v>
      </c>
      <c r="E11" s="269">
        <f t="shared" ref="E11:L11" si="2">SUM(E12:E149)-E89</f>
        <v>785070</v>
      </c>
      <c r="F11" s="269">
        <f t="shared" si="2"/>
        <v>413799</v>
      </c>
      <c r="G11" s="269">
        <f t="shared" si="2"/>
        <v>370762</v>
      </c>
      <c r="H11" s="269">
        <f t="shared" si="2"/>
        <v>509</v>
      </c>
      <c r="I11" s="269">
        <f t="shared" si="2"/>
        <v>21558</v>
      </c>
      <c r="J11" s="269">
        <f t="shared" si="2"/>
        <v>4764</v>
      </c>
      <c r="K11" s="269">
        <f t="shared" si="2"/>
        <v>14990</v>
      </c>
      <c r="L11" s="269">
        <f t="shared" si="2"/>
        <v>1804</v>
      </c>
      <c r="M11" s="15"/>
      <c r="N11" s="15"/>
    </row>
    <row r="12" spans="1:15" x14ac:dyDescent="0.25">
      <c r="A12" s="242">
        <v>1</v>
      </c>
      <c r="B12" s="49" t="s">
        <v>54</v>
      </c>
      <c r="C12" s="50" t="s">
        <v>55</v>
      </c>
      <c r="D12" s="715">
        <f t="shared" ref="D12:D43" si="3">E12+I12</f>
        <v>5922</v>
      </c>
      <c r="E12" s="715">
        <f>F12+G12+H12</f>
        <v>5916</v>
      </c>
      <c r="F12" s="715">
        <v>4076</v>
      </c>
      <c r="G12" s="715">
        <v>1840</v>
      </c>
      <c r="H12" s="715">
        <v>0</v>
      </c>
      <c r="I12" s="715">
        <f>J12+K12+L12</f>
        <v>6</v>
      </c>
      <c r="J12" s="716">
        <v>0</v>
      </c>
      <c r="K12" s="716">
        <v>0</v>
      </c>
      <c r="L12" s="716">
        <v>6</v>
      </c>
      <c r="M12" s="15"/>
      <c r="N12" s="15"/>
    </row>
    <row r="13" spans="1:15" x14ac:dyDescent="0.25">
      <c r="A13" s="242">
        <v>2</v>
      </c>
      <c r="B13" s="52" t="s">
        <v>56</v>
      </c>
      <c r="C13" s="50" t="s">
        <v>57</v>
      </c>
      <c r="D13" s="715">
        <f t="shared" si="3"/>
        <v>3743</v>
      </c>
      <c r="E13" s="715">
        <f t="shared" ref="E13:E76" si="4">F13+G13+H13</f>
        <v>3411</v>
      </c>
      <c r="F13" s="715">
        <v>1599</v>
      </c>
      <c r="G13" s="715">
        <v>1812</v>
      </c>
      <c r="H13" s="715">
        <v>0</v>
      </c>
      <c r="I13" s="715">
        <f t="shared" ref="I13:I76" si="5">J13+K13+L13</f>
        <v>332</v>
      </c>
      <c r="J13" s="716">
        <v>69</v>
      </c>
      <c r="K13" s="716">
        <v>259</v>
      </c>
      <c r="L13" s="716">
        <v>4</v>
      </c>
      <c r="M13" s="15"/>
      <c r="N13" s="15"/>
    </row>
    <row r="14" spans="1:15" x14ac:dyDescent="0.25">
      <c r="A14" s="242">
        <v>3</v>
      </c>
      <c r="B14" s="264" t="s">
        <v>16</v>
      </c>
      <c r="C14" s="50" t="s">
        <v>17</v>
      </c>
      <c r="D14" s="715">
        <f t="shared" si="3"/>
        <v>12508</v>
      </c>
      <c r="E14" s="715">
        <f t="shared" si="4"/>
        <v>12092</v>
      </c>
      <c r="F14" s="715">
        <v>5975</v>
      </c>
      <c r="G14" s="715">
        <v>6117</v>
      </c>
      <c r="H14" s="715">
        <v>0</v>
      </c>
      <c r="I14" s="715">
        <f t="shared" si="5"/>
        <v>416</v>
      </c>
      <c r="J14" s="716">
        <f>111-22</f>
        <v>89</v>
      </c>
      <c r="K14" s="716">
        <f>382-87</f>
        <v>295</v>
      </c>
      <c r="L14" s="716">
        <v>32</v>
      </c>
      <c r="M14" s="15"/>
      <c r="N14" s="15"/>
    </row>
    <row r="15" spans="1:15" x14ac:dyDescent="0.25">
      <c r="A15" s="242">
        <v>4</v>
      </c>
      <c r="B15" s="49" t="s">
        <v>58</v>
      </c>
      <c r="C15" s="50" t="s">
        <v>59</v>
      </c>
      <c r="D15" s="715">
        <f t="shared" si="3"/>
        <v>4522</v>
      </c>
      <c r="E15" s="715">
        <f t="shared" si="4"/>
        <v>4514</v>
      </c>
      <c r="F15" s="715">
        <v>2358</v>
      </c>
      <c r="G15" s="715">
        <v>2156</v>
      </c>
      <c r="H15" s="715">
        <v>0</v>
      </c>
      <c r="I15" s="715">
        <f t="shared" si="5"/>
        <v>8</v>
      </c>
      <c r="J15" s="716">
        <v>0</v>
      </c>
      <c r="K15" s="716">
        <v>0</v>
      </c>
      <c r="L15" s="716">
        <v>8</v>
      </c>
      <c r="M15" s="15"/>
      <c r="N15" s="15"/>
    </row>
    <row r="16" spans="1:15" x14ac:dyDescent="0.25">
      <c r="A16" s="242">
        <v>5</v>
      </c>
      <c r="B16" s="49" t="s">
        <v>60</v>
      </c>
      <c r="C16" s="50" t="s">
        <v>61</v>
      </c>
      <c r="D16" s="715">
        <f t="shared" si="3"/>
        <v>5127</v>
      </c>
      <c r="E16" s="715">
        <f t="shared" si="4"/>
        <v>5122</v>
      </c>
      <c r="F16" s="715">
        <v>3058</v>
      </c>
      <c r="G16" s="715">
        <v>2064</v>
      </c>
      <c r="H16" s="715">
        <v>0</v>
      </c>
      <c r="I16" s="715">
        <f t="shared" si="5"/>
        <v>5</v>
      </c>
      <c r="J16" s="716">
        <v>0</v>
      </c>
      <c r="K16" s="716">
        <v>0</v>
      </c>
      <c r="L16" s="716">
        <v>5</v>
      </c>
      <c r="M16" s="15"/>
      <c r="N16" s="15"/>
    </row>
    <row r="17" spans="1:14" x14ac:dyDescent="0.25">
      <c r="A17" s="242">
        <v>6</v>
      </c>
      <c r="B17" s="264" t="s">
        <v>18</v>
      </c>
      <c r="C17" s="50" t="s">
        <v>19</v>
      </c>
      <c r="D17" s="715">
        <f t="shared" si="3"/>
        <v>26431</v>
      </c>
      <c r="E17" s="715">
        <f t="shared" si="4"/>
        <v>25456</v>
      </c>
      <c r="F17" s="715">
        <v>14733</v>
      </c>
      <c r="G17" s="715">
        <v>10723</v>
      </c>
      <c r="H17" s="715">
        <v>0</v>
      </c>
      <c r="I17" s="715">
        <f t="shared" si="5"/>
        <v>975</v>
      </c>
      <c r="J17" s="716">
        <v>178</v>
      </c>
      <c r="K17" s="716">
        <v>713</v>
      </c>
      <c r="L17" s="716">
        <v>84</v>
      </c>
      <c r="M17" s="15"/>
      <c r="N17" s="15"/>
    </row>
    <row r="18" spans="1:14" x14ac:dyDescent="0.25">
      <c r="A18" s="242">
        <v>7</v>
      </c>
      <c r="B18" s="49" t="s">
        <v>62</v>
      </c>
      <c r="C18" s="50" t="s">
        <v>63</v>
      </c>
      <c r="D18" s="715">
        <f t="shared" si="3"/>
        <v>9066</v>
      </c>
      <c r="E18" s="715">
        <f t="shared" si="4"/>
        <v>8601</v>
      </c>
      <c r="F18" s="715">
        <v>4341</v>
      </c>
      <c r="G18" s="715">
        <v>4260</v>
      </c>
      <c r="H18" s="715">
        <v>0</v>
      </c>
      <c r="I18" s="715">
        <f t="shared" si="5"/>
        <v>465</v>
      </c>
      <c r="J18" s="716">
        <v>95</v>
      </c>
      <c r="K18" s="716">
        <v>356</v>
      </c>
      <c r="L18" s="716">
        <v>14</v>
      </c>
      <c r="M18" s="15"/>
      <c r="N18" s="15"/>
    </row>
    <row r="19" spans="1:14" x14ac:dyDescent="0.25">
      <c r="A19" s="242">
        <v>8</v>
      </c>
      <c r="B19" s="264" t="s">
        <v>64</v>
      </c>
      <c r="C19" s="50" t="s">
        <v>65</v>
      </c>
      <c r="D19" s="715">
        <f t="shared" si="3"/>
        <v>2738</v>
      </c>
      <c r="E19" s="715">
        <f t="shared" si="4"/>
        <v>2733</v>
      </c>
      <c r="F19" s="715">
        <v>1059</v>
      </c>
      <c r="G19" s="715">
        <v>1674</v>
      </c>
      <c r="H19" s="715">
        <v>0</v>
      </c>
      <c r="I19" s="715">
        <f t="shared" si="5"/>
        <v>5</v>
      </c>
      <c r="J19" s="716">
        <v>0</v>
      </c>
      <c r="K19" s="716">
        <v>0</v>
      </c>
      <c r="L19" s="716">
        <v>5</v>
      </c>
      <c r="M19" s="15"/>
      <c r="N19" s="15"/>
    </row>
    <row r="20" spans="1:14" x14ac:dyDescent="0.25">
      <c r="A20" s="242">
        <v>9</v>
      </c>
      <c r="B20" s="264" t="s">
        <v>66</v>
      </c>
      <c r="C20" s="50" t="s">
        <v>67</v>
      </c>
      <c r="D20" s="715">
        <f t="shared" si="3"/>
        <v>5593</v>
      </c>
      <c r="E20" s="715">
        <f t="shared" si="4"/>
        <v>5476</v>
      </c>
      <c r="F20" s="715">
        <v>3182</v>
      </c>
      <c r="G20" s="715">
        <v>2294</v>
      </c>
      <c r="H20" s="715">
        <v>0</v>
      </c>
      <c r="I20" s="715">
        <f t="shared" si="5"/>
        <v>117</v>
      </c>
      <c r="J20" s="716">
        <f>22</f>
        <v>22</v>
      </c>
      <c r="K20" s="716">
        <f>87</f>
        <v>87</v>
      </c>
      <c r="L20" s="716">
        <v>8</v>
      </c>
      <c r="M20" s="15"/>
      <c r="N20" s="15"/>
    </row>
    <row r="21" spans="1:14" x14ac:dyDescent="0.25">
      <c r="A21" s="242">
        <v>10</v>
      </c>
      <c r="B21" s="264" t="s">
        <v>68</v>
      </c>
      <c r="C21" s="50" t="s">
        <v>69</v>
      </c>
      <c r="D21" s="715">
        <f t="shared" si="3"/>
        <v>6184</v>
      </c>
      <c r="E21" s="715">
        <f t="shared" si="4"/>
        <v>6172</v>
      </c>
      <c r="F21" s="715">
        <v>3522</v>
      </c>
      <c r="G21" s="715">
        <v>2650</v>
      </c>
      <c r="H21" s="715">
        <v>0</v>
      </c>
      <c r="I21" s="715">
        <f t="shared" si="5"/>
        <v>12</v>
      </c>
      <c r="J21" s="716">
        <v>0</v>
      </c>
      <c r="K21" s="716">
        <v>0</v>
      </c>
      <c r="L21" s="716">
        <v>12</v>
      </c>
      <c r="M21" s="15"/>
      <c r="N21" s="15"/>
    </row>
    <row r="22" spans="1:14" x14ac:dyDescent="0.25">
      <c r="A22" s="242">
        <v>11</v>
      </c>
      <c r="B22" s="264" t="s">
        <v>70</v>
      </c>
      <c r="C22" s="50" t="s">
        <v>71</v>
      </c>
      <c r="D22" s="715">
        <f t="shared" si="3"/>
        <v>5037</v>
      </c>
      <c r="E22" s="715">
        <f t="shared" si="4"/>
        <v>5033</v>
      </c>
      <c r="F22" s="715">
        <v>2775</v>
      </c>
      <c r="G22" s="715">
        <v>2258</v>
      </c>
      <c r="H22" s="715">
        <v>0</v>
      </c>
      <c r="I22" s="715">
        <f t="shared" si="5"/>
        <v>4</v>
      </c>
      <c r="J22" s="716">
        <v>0</v>
      </c>
      <c r="K22" s="716">
        <v>0</v>
      </c>
      <c r="L22" s="716">
        <v>4</v>
      </c>
      <c r="M22" s="15"/>
      <c r="N22" s="15"/>
    </row>
    <row r="23" spans="1:14" x14ac:dyDescent="0.25">
      <c r="A23" s="242">
        <v>12</v>
      </c>
      <c r="B23" s="264" t="s">
        <v>72</v>
      </c>
      <c r="C23" s="50" t="s">
        <v>73</v>
      </c>
      <c r="D23" s="715">
        <f t="shared" si="3"/>
        <v>7143</v>
      </c>
      <c r="E23" s="715">
        <f t="shared" si="4"/>
        <v>6738</v>
      </c>
      <c r="F23" s="715">
        <v>2948</v>
      </c>
      <c r="G23" s="715">
        <v>3790</v>
      </c>
      <c r="H23" s="715">
        <v>0</v>
      </c>
      <c r="I23" s="715">
        <f t="shared" si="5"/>
        <v>405</v>
      </c>
      <c r="J23" s="716">
        <v>80</v>
      </c>
      <c r="K23" s="716">
        <v>312</v>
      </c>
      <c r="L23" s="716">
        <v>13</v>
      </c>
      <c r="M23" s="15"/>
      <c r="N23" s="15"/>
    </row>
    <row r="24" spans="1:14" x14ac:dyDescent="0.25">
      <c r="A24" s="242">
        <v>13</v>
      </c>
      <c r="B24" s="264" t="s">
        <v>74</v>
      </c>
      <c r="C24" s="50" t="s">
        <v>75</v>
      </c>
      <c r="D24" s="715">
        <f t="shared" si="3"/>
        <v>0</v>
      </c>
      <c r="E24" s="715">
        <f t="shared" si="4"/>
        <v>0</v>
      </c>
      <c r="F24" s="715">
        <v>0</v>
      </c>
      <c r="G24" s="715">
        <v>0</v>
      </c>
      <c r="H24" s="715">
        <v>0</v>
      </c>
      <c r="I24" s="715">
        <f t="shared" si="5"/>
        <v>0</v>
      </c>
      <c r="J24" s="716">
        <v>0</v>
      </c>
      <c r="K24" s="716">
        <v>0</v>
      </c>
      <c r="L24" s="716">
        <v>0</v>
      </c>
      <c r="M24" s="15"/>
      <c r="N24" s="15"/>
    </row>
    <row r="25" spans="1:14" x14ac:dyDescent="0.25">
      <c r="A25" s="242">
        <v>14</v>
      </c>
      <c r="B25" s="264" t="s">
        <v>76</v>
      </c>
      <c r="C25" s="50" t="s">
        <v>77</v>
      </c>
      <c r="D25" s="715">
        <f t="shared" si="3"/>
        <v>5035</v>
      </c>
      <c r="E25" s="715">
        <f t="shared" si="4"/>
        <v>4867</v>
      </c>
      <c r="F25" s="715">
        <v>2560</v>
      </c>
      <c r="G25" s="715">
        <v>2307</v>
      </c>
      <c r="H25" s="715">
        <v>0</v>
      </c>
      <c r="I25" s="715">
        <f t="shared" si="5"/>
        <v>168</v>
      </c>
      <c r="J25" s="716">
        <v>45</v>
      </c>
      <c r="K25" s="716">
        <v>114</v>
      </c>
      <c r="L25" s="716">
        <v>9</v>
      </c>
      <c r="M25" s="15"/>
      <c r="N25" s="15"/>
    </row>
    <row r="26" spans="1:14" x14ac:dyDescent="0.25">
      <c r="A26" s="242">
        <v>15</v>
      </c>
      <c r="B26" s="264" t="s">
        <v>78</v>
      </c>
      <c r="C26" s="50" t="s">
        <v>79</v>
      </c>
      <c r="D26" s="715">
        <f t="shared" si="3"/>
        <v>6554</v>
      </c>
      <c r="E26" s="715">
        <f t="shared" si="4"/>
        <v>6535</v>
      </c>
      <c r="F26" s="715">
        <v>3682</v>
      </c>
      <c r="G26" s="715">
        <v>2853</v>
      </c>
      <c r="H26" s="715">
        <v>0</v>
      </c>
      <c r="I26" s="715">
        <f t="shared" si="5"/>
        <v>19</v>
      </c>
      <c r="J26" s="716">
        <v>0</v>
      </c>
      <c r="K26" s="716">
        <v>0</v>
      </c>
      <c r="L26" s="716">
        <v>19</v>
      </c>
      <c r="M26" s="15"/>
      <c r="N26" s="15"/>
    </row>
    <row r="27" spans="1:14" x14ac:dyDescent="0.25">
      <c r="A27" s="242">
        <v>16</v>
      </c>
      <c r="B27" s="264" t="s">
        <v>80</v>
      </c>
      <c r="C27" s="50" t="s">
        <v>81</v>
      </c>
      <c r="D27" s="715">
        <f t="shared" si="3"/>
        <v>7795</v>
      </c>
      <c r="E27" s="715">
        <f t="shared" si="4"/>
        <v>7774</v>
      </c>
      <c r="F27" s="715">
        <v>4363</v>
      </c>
      <c r="G27" s="715">
        <v>3411</v>
      </c>
      <c r="H27" s="715">
        <v>0</v>
      </c>
      <c r="I27" s="715">
        <f t="shared" si="5"/>
        <v>21</v>
      </c>
      <c r="J27" s="716">
        <v>0</v>
      </c>
      <c r="K27" s="716">
        <v>0</v>
      </c>
      <c r="L27" s="716">
        <v>21</v>
      </c>
      <c r="M27" s="15"/>
      <c r="N27" s="15"/>
    </row>
    <row r="28" spans="1:14" x14ac:dyDescent="0.25">
      <c r="A28" s="242">
        <v>17</v>
      </c>
      <c r="B28" s="264" t="s">
        <v>20</v>
      </c>
      <c r="C28" s="50" t="s">
        <v>21</v>
      </c>
      <c r="D28" s="715">
        <f t="shared" si="3"/>
        <v>22246</v>
      </c>
      <c r="E28" s="715">
        <f t="shared" si="4"/>
        <v>21562</v>
      </c>
      <c r="F28" s="715">
        <v>8532</v>
      </c>
      <c r="G28" s="715">
        <v>13030</v>
      </c>
      <c r="H28" s="715">
        <v>0</v>
      </c>
      <c r="I28" s="715">
        <f t="shared" si="5"/>
        <v>684</v>
      </c>
      <c r="J28" s="716">
        <v>181</v>
      </c>
      <c r="K28" s="716">
        <v>462</v>
      </c>
      <c r="L28" s="716">
        <v>41</v>
      </c>
      <c r="M28" s="15"/>
      <c r="N28" s="15"/>
    </row>
    <row r="29" spans="1:14" x14ac:dyDescent="0.25">
      <c r="A29" s="242">
        <v>18</v>
      </c>
      <c r="B29" s="49" t="s">
        <v>82</v>
      </c>
      <c r="C29" s="50" t="s">
        <v>83</v>
      </c>
      <c r="D29" s="715">
        <f t="shared" si="3"/>
        <v>2782</v>
      </c>
      <c r="E29" s="715">
        <f t="shared" si="4"/>
        <v>2779</v>
      </c>
      <c r="F29" s="715">
        <v>1438</v>
      </c>
      <c r="G29" s="715">
        <v>1341</v>
      </c>
      <c r="H29" s="715">
        <v>0</v>
      </c>
      <c r="I29" s="715">
        <f t="shared" si="5"/>
        <v>3</v>
      </c>
      <c r="J29" s="716">
        <v>0</v>
      </c>
      <c r="K29" s="716">
        <v>0</v>
      </c>
      <c r="L29" s="716">
        <v>3</v>
      </c>
      <c r="M29" s="15"/>
      <c r="N29" s="15"/>
    </row>
    <row r="30" spans="1:14" x14ac:dyDescent="0.25">
      <c r="A30" s="242">
        <v>19</v>
      </c>
      <c r="B30" s="49" t="s">
        <v>84</v>
      </c>
      <c r="C30" s="50" t="s">
        <v>85</v>
      </c>
      <c r="D30" s="715">
        <f t="shared" si="3"/>
        <v>2297</v>
      </c>
      <c r="E30" s="715">
        <f t="shared" si="4"/>
        <v>2292</v>
      </c>
      <c r="F30" s="715">
        <v>1075</v>
      </c>
      <c r="G30" s="715">
        <v>1217</v>
      </c>
      <c r="H30" s="715">
        <v>0</v>
      </c>
      <c r="I30" s="715">
        <f t="shared" si="5"/>
        <v>5</v>
      </c>
      <c r="J30" s="716">
        <v>0</v>
      </c>
      <c r="K30" s="716">
        <v>0</v>
      </c>
      <c r="L30" s="716">
        <v>5</v>
      </c>
      <c r="M30" s="15"/>
      <c r="N30" s="15"/>
    </row>
    <row r="31" spans="1:14" x14ac:dyDescent="0.25">
      <c r="A31" s="242">
        <v>20</v>
      </c>
      <c r="B31" s="49" t="s">
        <v>86</v>
      </c>
      <c r="C31" s="50" t="s">
        <v>87</v>
      </c>
      <c r="D31" s="715">
        <f t="shared" si="3"/>
        <v>17322</v>
      </c>
      <c r="E31" s="715">
        <f t="shared" si="4"/>
        <v>16939</v>
      </c>
      <c r="F31" s="715">
        <v>11769</v>
      </c>
      <c r="G31" s="715">
        <v>5170</v>
      </c>
      <c r="H31" s="715">
        <v>0</v>
      </c>
      <c r="I31" s="715">
        <f t="shared" si="5"/>
        <v>383</v>
      </c>
      <c r="J31" s="716">
        <v>74</v>
      </c>
      <c r="K31" s="716">
        <v>281</v>
      </c>
      <c r="L31" s="716">
        <v>28</v>
      </c>
      <c r="M31" s="15"/>
      <c r="N31" s="15"/>
    </row>
    <row r="32" spans="1:14" x14ac:dyDescent="0.25">
      <c r="A32" s="242">
        <v>21</v>
      </c>
      <c r="B32" s="49" t="s">
        <v>22</v>
      </c>
      <c r="C32" s="50" t="s">
        <v>23</v>
      </c>
      <c r="D32" s="715">
        <f t="shared" si="3"/>
        <v>7707</v>
      </c>
      <c r="E32" s="715">
        <f t="shared" si="4"/>
        <v>7196</v>
      </c>
      <c r="F32" s="715">
        <v>3772</v>
      </c>
      <c r="G32" s="715">
        <v>3421</v>
      </c>
      <c r="H32" s="715">
        <v>3</v>
      </c>
      <c r="I32" s="715">
        <f t="shared" si="5"/>
        <v>511</v>
      </c>
      <c r="J32" s="716">
        <v>118</v>
      </c>
      <c r="K32" s="716">
        <v>356</v>
      </c>
      <c r="L32" s="716">
        <v>37</v>
      </c>
      <c r="M32" s="15"/>
      <c r="N32" s="15"/>
    </row>
    <row r="33" spans="1:14" x14ac:dyDescent="0.25">
      <c r="A33" s="242">
        <v>22</v>
      </c>
      <c r="B33" s="264" t="s">
        <v>24</v>
      </c>
      <c r="C33" s="50" t="s">
        <v>25</v>
      </c>
      <c r="D33" s="715">
        <f t="shared" si="3"/>
        <v>1819</v>
      </c>
      <c r="E33" s="715">
        <f t="shared" si="4"/>
        <v>1812</v>
      </c>
      <c r="F33" s="715">
        <v>988</v>
      </c>
      <c r="G33" s="715">
        <v>824</v>
      </c>
      <c r="H33" s="715">
        <v>0</v>
      </c>
      <c r="I33" s="715">
        <f t="shared" si="5"/>
        <v>7</v>
      </c>
      <c r="J33" s="716">
        <v>0</v>
      </c>
      <c r="K33" s="716">
        <v>0</v>
      </c>
      <c r="L33" s="716">
        <v>7</v>
      </c>
      <c r="M33" s="15"/>
      <c r="N33" s="15"/>
    </row>
    <row r="34" spans="1:14" x14ac:dyDescent="0.25">
      <c r="A34" s="242">
        <v>23</v>
      </c>
      <c r="B34" s="264" t="s">
        <v>88</v>
      </c>
      <c r="C34" s="50" t="s">
        <v>89</v>
      </c>
      <c r="D34" s="715">
        <f t="shared" si="3"/>
        <v>0</v>
      </c>
      <c r="E34" s="715">
        <f t="shared" si="4"/>
        <v>0</v>
      </c>
      <c r="F34" s="715">
        <v>0</v>
      </c>
      <c r="G34" s="715">
        <v>0</v>
      </c>
      <c r="H34" s="715">
        <v>0</v>
      </c>
      <c r="I34" s="715">
        <f t="shared" si="5"/>
        <v>0</v>
      </c>
      <c r="J34" s="716">
        <v>0</v>
      </c>
      <c r="K34" s="716">
        <v>0</v>
      </c>
      <c r="L34" s="716">
        <v>0</v>
      </c>
      <c r="M34" s="15"/>
      <c r="N34" s="15"/>
    </row>
    <row r="35" spans="1:14" ht="24" x14ac:dyDescent="0.25">
      <c r="A35" s="242">
        <v>24</v>
      </c>
      <c r="B35" s="264" t="s">
        <v>90</v>
      </c>
      <c r="C35" s="50" t="s">
        <v>91</v>
      </c>
      <c r="D35" s="715">
        <f t="shared" si="3"/>
        <v>0</v>
      </c>
      <c r="E35" s="715">
        <f t="shared" si="4"/>
        <v>0</v>
      </c>
      <c r="F35" s="715">
        <v>0</v>
      </c>
      <c r="G35" s="715">
        <v>0</v>
      </c>
      <c r="H35" s="715">
        <v>0</v>
      </c>
      <c r="I35" s="715">
        <f t="shared" si="5"/>
        <v>0</v>
      </c>
      <c r="J35" s="716">
        <v>0</v>
      </c>
      <c r="K35" s="716">
        <v>0</v>
      </c>
      <c r="L35" s="716">
        <v>0</v>
      </c>
      <c r="M35" s="15"/>
      <c r="N35" s="15"/>
    </row>
    <row r="36" spans="1:14" x14ac:dyDescent="0.25">
      <c r="A36" s="242">
        <v>25</v>
      </c>
      <c r="B36" s="49" t="s">
        <v>92</v>
      </c>
      <c r="C36" s="50" t="s">
        <v>93</v>
      </c>
      <c r="D36" s="715">
        <f t="shared" si="3"/>
        <v>60014</v>
      </c>
      <c r="E36" s="715">
        <f t="shared" si="4"/>
        <v>58144</v>
      </c>
      <c r="F36" s="715">
        <v>27507</v>
      </c>
      <c r="G36" s="715">
        <v>30298</v>
      </c>
      <c r="H36" s="715">
        <v>339</v>
      </c>
      <c r="I36" s="715">
        <f t="shared" si="5"/>
        <v>1870</v>
      </c>
      <c r="J36" s="716">
        <v>421</v>
      </c>
      <c r="K36" s="716">
        <v>1295</v>
      </c>
      <c r="L36" s="716">
        <v>154</v>
      </c>
      <c r="M36" s="15"/>
      <c r="N36" s="15"/>
    </row>
    <row r="37" spans="1:14" x14ac:dyDescent="0.25">
      <c r="A37" s="242">
        <v>26</v>
      </c>
      <c r="B37" s="264" t="s">
        <v>94</v>
      </c>
      <c r="C37" s="50" t="s">
        <v>95</v>
      </c>
      <c r="D37" s="715">
        <f t="shared" si="3"/>
        <v>0</v>
      </c>
      <c r="E37" s="715">
        <f t="shared" si="4"/>
        <v>0</v>
      </c>
      <c r="F37" s="715">
        <v>0</v>
      </c>
      <c r="G37" s="715">
        <v>0</v>
      </c>
      <c r="H37" s="715">
        <v>0</v>
      </c>
      <c r="I37" s="715">
        <f t="shared" si="5"/>
        <v>0</v>
      </c>
      <c r="J37" s="716">
        <v>0</v>
      </c>
      <c r="K37" s="716">
        <v>0</v>
      </c>
      <c r="L37" s="716">
        <v>0</v>
      </c>
      <c r="M37" s="15"/>
      <c r="N37" s="15"/>
    </row>
    <row r="38" spans="1:14" x14ac:dyDescent="0.25">
      <c r="A38" s="242">
        <v>27</v>
      </c>
      <c r="B38" s="52" t="s">
        <v>96</v>
      </c>
      <c r="C38" s="50" t="s">
        <v>97</v>
      </c>
      <c r="D38" s="715">
        <f t="shared" si="3"/>
        <v>0</v>
      </c>
      <c r="E38" s="715">
        <f t="shared" si="4"/>
        <v>0</v>
      </c>
      <c r="F38" s="715">
        <v>0</v>
      </c>
      <c r="G38" s="715">
        <v>0</v>
      </c>
      <c r="H38" s="715">
        <v>0</v>
      </c>
      <c r="I38" s="715">
        <f t="shared" si="5"/>
        <v>0</v>
      </c>
      <c r="J38" s="716">
        <v>0</v>
      </c>
      <c r="K38" s="716">
        <v>0</v>
      </c>
      <c r="L38" s="716">
        <v>0</v>
      </c>
      <c r="M38" s="15"/>
      <c r="N38" s="15"/>
    </row>
    <row r="39" spans="1:14" x14ac:dyDescent="0.25">
      <c r="A39" s="242">
        <v>28</v>
      </c>
      <c r="B39" s="52" t="s">
        <v>26</v>
      </c>
      <c r="C39" s="50" t="s">
        <v>27</v>
      </c>
      <c r="D39" s="715">
        <f t="shared" si="3"/>
        <v>15111</v>
      </c>
      <c r="E39" s="715">
        <f t="shared" si="4"/>
        <v>14680</v>
      </c>
      <c r="F39" s="715">
        <v>6816</v>
      </c>
      <c r="G39" s="715">
        <v>7864</v>
      </c>
      <c r="H39" s="715">
        <v>0</v>
      </c>
      <c r="I39" s="715">
        <f t="shared" si="5"/>
        <v>431</v>
      </c>
      <c r="J39" s="716">
        <v>93</v>
      </c>
      <c r="K39" s="716">
        <v>314</v>
      </c>
      <c r="L39" s="716">
        <v>24</v>
      </c>
      <c r="M39" s="15"/>
      <c r="N39" s="15"/>
    </row>
    <row r="40" spans="1:14" x14ac:dyDescent="0.25">
      <c r="A40" s="242">
        <v>29</v>
      </c>
      <c r="B40" s="49" t="s">
        <v>98</v>
      </c>
      <c r="C40" s="50" t="s">
        <v>99</v>
      </c>
      <c r="D40" s="715">
        <f t="shared" si="3"/>
        <v>24818</v>
      </c>
      <c r="E40" s="715">
        <f t="shared" si="4"/>
        <v>23963</v>
      </c>
      <c r="F40" s="715">
        <v>13038</v>
      </c>
      <c r="G40" s="715">
        <v>10925</v>
      </c>
      <c r="H40" s="715">
        <v>0</v>
      </c>
      <c r="I40" s="715">
        <f t="shared" si="5"/>
        <v>855</v>
      </c>
      <c r="J40" s="716">
        <v>142</v>
      </c>
      <c r="K40" s="716">
        <v>666</v>
      </c>
      <c r="L40" s="716">
        <v>47</v>
      </c>
      <c r="M40" s="15"/>
      <c r="N40" s="15"/>
    </row>
    <row r="41" spans="1:14" x14ac:dyDescent="0.25">
      <c r="A41" s="242">
        <v>30</v>
      </c>
      <c r="B41" s="52" t="s">
        <v>100</v>
      </c>
      <c r="C41" s="50" t="s">
        <v>101</v>
      </c>
      <c r="D41" s="715">
        <f t="shared" si="3"/>
        <v>3863</v>
      </c>
      <c r="E41" s="715">
        <f t="shared" si="4"/>
        <v>3856</v>
      </c>
      <c r="F41" s="715">
        <v>1647</v>
      </c>
      <c r="G41" s="715">
        <v>2209</v>
      </c>
      <c r="H41" s="715">
        <v>0</v>
      </c>
      <c r="I41" s="715">
        <f t="shared" si="5"/>
        <v>7</v>
      </c>
      <c r="J41" s="716">
        <v>0</v>
      </c>
      <c r="K41" s="716">
        <v>0</v>
      </c>
      <c r="L41" s="716">
        <v>7</v>
      </c>
      <c r="M41" s="15"/>
      <c r="N41" s="15"/>
    </row>
    <row r="42" spans="1:14" x14ac:dyDescent="0.25">
      <c r="A42" s="242">
        <v>31</v>
      </c>
      <c r="B42" s="264" t="s">
        <v>102</v>
      </c>
      <c r="C42" s="50" t="s">
        <v>103</v>
      </c>
      <c r="D42" s="715">
        <f t="shared" si="3"/>
        <v>16254</v>
      </c>
      <c r="E42" s="715">
        <f t="shared" si="4"/>
        <v>15780</v>
      </c>
      <c r="F42" s="715">
        <v>9665</v>
      </c>
      <c r="G42" s="715">
        <v>6110</v>
      </c>
      <c r="H42" s="715">
        <v>5</v>
      </c>
      <c r="I42" s="715">
        <f t="shared" si="5"/>
        <v>474</v>
      </c>
      <c r="J42" s="716">
        <v>104</v>
      </c>
      <c r="K42" s="716">
        <v>341</v>
      </c>
      <c r="L42" s="716">
        <v>29</v>
      </c>
      <c r="M42" s="15"/>
      <c r="N42" s="15"/>
    </row>
    <row r="43" spans="1:14" x14ac:dyDescent="0.25">
      <c r="A43" s="242">
        <v>32</v>
      </c>
      <c r="B43" s="52" t="s">
        <v>104</v>
      </c>
      <c r="C43" s="50" t="s">
        <v>105</v>
      </c>
      <c r="D43" s="715">
        <f t="shared" si="3"/>
        <v>6616</v>
      </c>
      <c r="E43" s="715">
        <f t="shared" si="4"/>
        <v>6426</v>
      </c>
      <c r="F43" s="715">
        <v>3950</v>
      </c>
      <c r="G43" s="715">
        <v>2475</v>
      </c>
      <c r="H43" s="715">
        <v>1</v>
      </c>
      <c r="I43" s="715">
        <f t="shared" si="5"/>
        <v>190</v>
      </c>
      <c r="J43" s="716">
        <v>32</v>
      </c>
      <c r="K43" s="716">
        <v>142</v>
      </c>
      <c r="L43" s="716">
        <v>16</v>
      </c>
      <c r="M43" s="15"/>
      <c r="N43" s="15"/>
    </row>
    <row r="44" spans="1:14" x14ac:dyDescent="0.25">
      <c r="A44" s="242">
        <v>33</v>
      </c>
      <c r="B44" s="49" t="s">
        <v>106</v>
      </c>
      <c r="C44" s="50" t="s">
        <v>107</v>
      </c>
      <c r="D44" s="715">
        <f t="shared" ref="D44:D75" si="6">E44+I44</f>
        <v>12990</v>
      </c>
      <c r="E44" s="715">
        <f t="shared" si="4"/>
        <v>12420</v>
      </c>
      <c r="F44" s="715">
        <v>6679</v>
      </c>
      <c r="G44" s="715">
        <v>5730</v>
      </c>
      <c r="H44" s="715">
        <v>11</v>
      </c>
      <c r="I44" s="715">
        <f t="shared" si="5"/>
        <v>570</v>
      </c>
      <c r="J44" s="716">
        <v>73</v>
      </c>
      <c r="K44" s="716">
        <v>462</v>
      </c>
      <c r="L44" s="716">
        <v>35</v>
      </c>
      <c r="M44" s="15"/>
      <c r="N44" s="15"/>
    </row>
    <row r="45" spans="1:14" x14ac:dyDescent="0.25">
      <c r="A45" s="242">
        <v>34</v>
      </c>
      <c r="B45" s="246" t="s">
        <v>108</v>
      </c>
      <c r="C45" s="247" t="s">
        <v>109</v>
      </c>
      <c r="D45" s="715">
        <f t="shared" si="6"/>
        <v>5305</v>
      </c>
      <c r="E45" s="715">
        <f t="shared" si="4"/>
        <v>5042</v>
      </c>
      <c r="F45" s="715">
        <v>2512</v>
      </c>
      <c r="G45" s="715">
        <v>2530</v>
      </c>
      <c r="H45" s="715">
        <v>0</v>
      </c>
      <c r="I45" s="715">
        <f t="shared" si="5"/>
        <v>263</v>
      </c>
      <c r="J45" s="716">
        <v>59</v>
      </c>
      <c r="K45" s="716">
        <v>201</v>
      </c>
      <c r="L45" s="716">
        <v>3</v>
      </c>
      <c r="M45" s="15"/>
      <c r="N45" s="15"/>
    </row>
    <row r="46" spans="1:14" x14ac:dyDescent="0.25">
      <c r="A46" s="242">
        <v>35</v>
      </c>
      <c r="B46" s="49" t="s">
        <v>110</v>
      </c>
      <c r="C46" s="50" t="s">
        <v>111</v>
      </c>
      <c r="D46" s="715">
        <f t="shared" si="6"/>
        <v>4817</v>
      </c>
      <c r="E46" s="715">
        <f t="shared" si="4"/>
        <v>4816</v>
      </c>
      <c r="F46" s="715">
        <v>3159</v>
      </c>
      <c r="G46" s="715">
        <v>1657</v>
      </c>
      <c r="H46" s="715">
        <v>0</v>
      </c>
      <c r="I46" s="715">
        <f t="shared" si="5"/>
        <v>1</v>
      </c>
      <c r="J46" s="716">
        <v>0</v>
      </c>
      <c r="K46" s="716">
        <v>0</v>
      </c>
      <c r="L46" s="716">
        <v>1</v>
      </c>
      <c r="M46" s="15"/>
      <c r="N46" s="15"/>
    </row>
    <row r="47" spans="1:14" x14ac:dyDescent="0.25">
      <c r="A47" s="242">
        <v>36</v>
      </c>
      <c r="B47" s="49" t="s">
        <v>112</v>
      </c>
      <c r="C47" s="50" t="s">
        <v>113</v>
      </c>
      <c r="D47" s="715">
        <f t="shared" si="6"/>
        <v>8550</v>
      </c>
      <c r="E47" s="715">
        <f t="shared" si="4"/>
        <v>8544</v>
      </c>
      <c r="F47" s="715">
        <v>5151</v>
      </c>
      <c r="G47" s="715">
        <v>3393</v>
      </c>
      <c r="H47" s="715">
        <v>0</v>
      </c>
      <c r="I47" s="715">
        <f t="shared" si="5"/>
        <v>6</v>
      </c>
      <c r="J47" s="716">
        <v>0</v>
      </c>
      <c r="K47" s="716">
        <v>0</v>
      </c>
      <c r="L47" s="716">
        <v>6</v>
      </c>
      <c r="M47" s="15"/>
      <c r="N47" s="15"/>
    </row>
    <row r="48" spans="1:14" x14ac:dyDescent="0.25">
      <c r="A48" s="242">
        <v>37</v>
      </c>
      <c r="B48" s="264" t="s">
        <v>114</v>
      </c>
      <c r="C48" s="50" t="s">
        <v>115</v>
      </c>
      <c r="D48" s="715">
        <f t="shared" si="6"/>
        <v>3230</v>
      </c>
      <c r="E48" s="715">
        <f t="shared" si="4"/>
        <v>3227</v>
      </c>
      <c r="F48" s="715">
        <v>1887</v>
      </c>
      <c r="G48" s="715">
        <v>1340</v>
      </c>
      <c r="H48" s="715">
        <v>0</v>
      </c>
      <c r="I48" s="715">
        <f t="shared" si="5"/>
        <v>3</v>
      </c>
      <c r="J48" s="716">
        <v>0</v>
      </c>
      <c r="K48" s="716">
        <v>0</v>
      </c>
      <c r="L48" s="716">
        <v>3</v>
      </c>
      <c r="M48" s="15"/>
      <c r="N48" s="15"/>
    </row>
    <row r="49" spans="1:14" x14ac:dyDescent="0.25">
      <c r="A49" s="242">
        <v>38</v>
      </c>
      <c r="B49" s="52" t="s">
        <v>116</v>
      </c>
      <c r="C49" s="50" t="s">
        <v>117</v>
      </c>
      <c r="D49" s="715">
        <f t="shared" si="6"/>
        <v>2338</v>
      </c>
      <c r="E49" s="715">
        <f t="shared" si="4"/>
        <v>2338</v>
      </c>
      <c r="F49" s="715">
        <v>923</v>
      </c>
      <c r="G49" s="715">
        <v>1415</v>
      </c>
      <c r="H49" s="715">
        <v>0</v>
      </c>
      <c r="I49" s="715">
        <f t="shared" si="5"/>
        <v>0</v>
      </c>
      <c r="J49" s="716">
        <v>0</v>
      </c>
      <c r="K49" s="716">
        <v>0</v>
      </c>
      <c r="L49" s="716">
        <v>0</v>
      </c>
      <c r="M49" s="15"/>
      <c r="N49" s="15"/>
    </row>
    <row r="50" spans="1:14" x14ac:dyDescent="0.25">
      <c r="A50" s="242">
        <v>39</v>
      </c>
      <c r="B50" s="264" t="s">
        <v>28</v>
      </c>
      <c r="C50" s="50" t="s">
        <v>29</v>
      </c>
      <c r="D50" s="715">
        <f t="shared" si="6"/>
        <v>20755</v>
      </c>
      <c r="E50" s="715">
        <f t="shared" si="4"/>
        <v>20209</v>
      </c>
      <c r="F50" s="715">
        <v>9464</v>
      </c>
      <c r="G50" s="715">
        <v>10742</v>
      </c>
      <c r="H50" s="715">
        <v>3</v>
      </c>
      <c r="I50" s="715">
        <f t="shared" si="5"/>
        <v>546</v>
      </c>
      <c r="J50" s="716">
        <v>140</v>
      </c>
      <c r="K50" s="716">
        <v>356</v>
      </c>
      <c r="L50" s="716">
        <v>50</v>
      </c>
      <c r="M50" s="15"/>
      <c r="N50" s="15"/>
    </row>
    <row r="51" spans="1:14" x14ac:dyDescent="0.25">
      <c r="A51" s="242">
        <v>40</v>
      </c>
      <c r="B51" s="49" t="s">
        <v>118</v>
      </c>
      <c r="C51" s="50" t="s">
        <v>119</v>
      </c>
      <c r="D51" s="715">
        <f t="shared" si="6"/>
        <v>4488</v>
      </c>
      <c r="E51" s="715">
        <f t="shared" si="4"/>
        <v>4478</v>
      </c>
      <c r="F51" s="715">
        <v>1863</v>
      </c>
      <c r="G51" s="715">
        <v>2615</v>
      </c>
      <c r="H51" s="715">
        <v>0</v>
      </c>
      <c r="I51" s="715">
        <f t="shared" si="5"/>
        <v>10</v>
      </c>
      <c r="J51" s="716">
        <v>0</v>
      </c>
      <c r="K51" s="716">
        <v>0</v>
      </c>
      <c r="L51" s="716">
        <v>10</v>
      </c>
      <c r="M51" s="15"/>
      <c r="N51" s="15"/>
    </row>
    <row r="52" spans="1:14" x14ac:dyDescent="0.25">
      <c r="A52" s="242">
        <v>41</v>
      </c>
      <c r="B52" s="49" t="s">
        <v>120</v>
      </c>
      <c r="C52" s="50" t="s">
        <v>121</v>
      </c>
      <c r="D52" s="715">
        <f t="shared" si="6"/>
        <v>18051</v>
      </c>
      <c r="E52" s="715">
        <f t="shared" si="4"/>
        <v>17495</v>
      </c>
      <c r="F52" s="715">
        <v>8049</v>
      </c>
      <c r="G52" s="715">
        <v>9446</v>
      </c>
      <c r="H52" s="715">
        <v>0</v>
      </c>
      <c r="I52" s="715">
        <f t="shared" si="5"/>
        <v>556</v>
      </c>
      <c r="J52" s="716">
        <v>108</v>
      </c>
      <c r="K52" s="716">
        <v>412</v>
      </c>
      <c r="L52" s="716">
        <v>36</v>
      </c>
      <c r="M52" s="15"/>
      <c r="N52" s="15"/>
    </row>
    <row r="53" spans="1:14" x14ac:dyDescent="0.25">
      <c r="A53" s="242">
        <v>42</v>
      </c>
      <c r="B53" s="264" t="s">
        <v>122</v>
      </c>
      <c r="C53" s="50" t="s">
        <v>123</v>
      </c>
      <c r="D53" s="715">
        <f t="shared" si="6"/>
        <v>4072</v>
      </c>
      <c r="E53" s="715">
        <f t="shared" si="4"/>
        <v>4067</v>
      </c>
      <c r="F53" s="715">
        <v>2351</v>
      </c>
      <c r="G53" s="715">
        <v>1716</v>
      </c>
      <c r="H53" s="715">
        <v>0</v>
      </c>
      <c r="I53" s="715">
        <f t="shared" si="5"/>
        <v>5</v>
      </c>
      <c r="J53" s="716">
        <v>0</v>
      </c>
      <c r="K53" s="716">
        <v>0</v>
      </c>
      <c r="L53" s="716">
        <v>5</v>
      </c>
      <c r="M53" s="15"/>
      <c r="N53" s="15"/>
    </row>
    <row r="54" spans="1:14" x14ac:dyDescent="0.25">
      <c r="A54" s="242">
        <v>43</v>
      </c>
      <c r="B54" s="264" t="s">
        <v>126</v>
      </c>
      <c r="C54" s="50" t="s">
        <v>127</v>
      </c>
      <c r="D54" s="715">
        <f t="shared" si="6"/>
        <v>5799</v>
      </c>
      <c r="E54" s="715">
        <f t="shared" si="4"/>
        <v>5786</v>
      </c>
      <c r="F54" s="715">
        <v>2947</v>
      </c>
      <c r="G54" s="715">
        <v>2839</v>
      </c>
      <c r="H54" s="715">
        <v>0</v>
      </c>
      <c r="I54" s="715">
        <f t="shared" si="5"/>
        <v>13</v>
      </c>
      <c r="J54" s="716">
        <v>0</v>
      </c>
      <c r="K54" s="716">
        <v>0</v>
      </c>
      <c r="L54" s="716">
        <v>13</v>
      </c>
      <c r="M54" s="15"/>
      <c r="N54" s="15"/>
    </row>
    <row r="55" spans="1:14" x14ac:dyDescent="0.25">
      <c r="A55" s="242">
        <v>44</v>
      </c>
      <c r="B55" s="52" t="s">
        <v>128</v>
      </c>
      <c r="C55" s="50" t="s">
        <v>129</v>
      </c>
      <c r="D55" s="715">
        <f t="shared" si="6"/>
        <v>8054</v>
      </c>
      <c r="E55" s="715">
        <f t="shared" si="4"/>
        <v>7837</v>
      </c>
      <c r="F55" s="715">
        <v>5034</v>
      </c>
      <c r="G55" s="715">
        <v>2803</v>
      </c>
      <c r="H55" s="715">
        <v>0</v>
      </c>
      <c r="I55" s="715">
        <f t="shared" si="5"/>
        <v>217</v>
      </c>
      <c r="J55" s="716">
        <f>36</f>
        <v>36</v>
      </c>
      <c r="K55" s="716">
        <f>166</f>
        <v>166</v>
      </c>
      <c r="L55" s="716">
        <v>15</v>
      </c>
      <c r="M55" s="15"/>
      <c r="N55" s="15"/>
    </row>
    <row r="56" spans="1:14" x14ac:dyDescent="0.25">
      <c r="A56" s="242">
        <v>45</v>
      </c>
      <c r="B56" s="264" t="s">
        <v>130</v>
      </c>
      <c r="C56" s="50" t="s">
        <v>131</v>
      </c>
      <c r="D56" s="715">
        <f t="shared" si="6"/>
        <v>2868</v>
      </c>
      <c r="E56" s="715">
        <f t="shared" si="4"/>
        <v>2864</v>
      </c>
      <c r="F56" s="715">
        <v>1621</v>
      </c>
      <c r="G56" s="715">
        <v>1243</v>
      </c>
      <c r="H56" s="715">
        <v>0</v>
      </c>
      <c r="I56" s="715">
        <f t="shared" si="5"/>
        <v>4</v>
      </c>
      <c r="J56" s="716">
        <v>0</v>
      </c>
      <c r="K56" s="716">
        <v>0</v>
      </c>
      <c r="L56" s="716">
        <v>4</v>
      </c>
      <c r="M56" s="15"/>
      <c r="N56" s="15"/>
    </row>
    <row r="57" spans="1:14" x14ac:dyDescent="0.25">
      <c r="A57" s="242">
        <v>46</v>
      </c>
      <c r="B57" s="52" t="s">
        <v>132</v>
      </c>
      <c r="C57" s="50" t="s">
        <v>133</v>
      </c>
      <c r="D57" s="715">
        <f t="shared" si="6"/>
        <v>5306</v>
      </c>
      <c r="E57" s="715">
        <f t="shared" si="4"/>
        <v>4961</v>
      </c>
      <c r="F57" s="715">
        <v>2963</v>
      </c>
      <c r="G57" s="715">
        <v>1998</v>
      </c>
      <c r="H57" s="715">
        <v>0</v>
      </c>
      <c r="I57" s="715">
        <f t="shared" si="5"/>
        <v>345</v>
      </c>
      <c r="J57" s="716">
        <v>64</v>
      </c>
      <c r="K57" s="716">
        <v>269</v>
      </c>
      <c r="L57" s="716">
        <v>12</v>
      </c>
      <c r="M57" s="15"/>
      <c r="N57" s="15"/>
    </row>
    <row r="58" spans="1:14" x14ac:dyDescent="0.25">
      <c r="A58" s="242">
        <v>47</v>
      </c>
      <c r="B58" s="264" t="s">
        <v>134</v>
      </c>
      <c r="C58" s="50" t="s">
        <v>135</v>
      </c>
      <c r="D58" s="715">
        <f t="shared" si="6"/>
        <v>9981</v>
      </c>
      <c r="E58" s="715">
        <f t="shared" si="4"/>
        <v>9814</v>
      </c>
      <c r="F58" s="715">
        <v>5473</v>
      </c>
      <c r="G58" s="715">
        <v>4341</v>
      </c>
      <c r="H58" s="715">
        <v>0</v>
      </c>
      <c r="I58" s="715">
        <f t="shared" si="5"/>
        <v>167</v>
      </c>
      <c r="J58" s="716">
        <v>43</v>
      </c>
      <c r="K58" s="716">
        <v>112</v>
      </c>
      <c r="L58" s="716">
        <v>12</v>
      </c>
      <c r="M58" s="15"/>
      <c r="N58" s="15"/>
    </row>
    <row r="59" spans="1:14" x14ac:dyDescent="0.25">
      <c r="A59" s="242">
        <v>48</v>
      </c>
      <c r="B59" s="264" t="s">
        <v>136</v>
      </c>
      <c r="C59" s="50" t="s">
        <v>137</v>
      </c>
      <c r="D59" s="715">
        <f t="shared" si="6"/>
        <v>25198</v>
      </c>
      <c r="E59" s="715">
        <f t="shared" si="4"/>
        <v>24522</v>
      </c>
      <c r="F59" s="715">
        <v>14088</v>
      </c>
      <c r="G59" s="715">
        <v>10427</v>
      </c>
      <c r="H59" s="715">
        <v>7</v>
      </c>
      <c r="I59" s="715">
        <f t="shared" si="5"/>
        <v>676</v>
      </c>
      <c r="J59" s="716">
        <v>151</v>
      </c>
      <c r="K59" s="716">
        <v>459</v>
      </c>
      <c r="L59" s="716">
        <v>66</v>
      </c>
      <c r="M59" s="15"/>
      <c r="N59" s="15"/>
    </row>
    <row r="60" spans="1:14" x14ac:dyDescent="0.25">
      <c r="A60" s="242">
        <v>49</v>
      </c>
      <c r="B60" s="264" t="s">
        <v>140</v>
      </c>
      <c r="C60" s="50" t="s">
        <v>141</v>
      </c>
      <c r="D60" s="715">
        <f t="shared" si="6"/>
        <v>3420</v>
      </c>
      <c r="E60" s="715">
        <f t="shared" si="4"/>
        <v>3413</v>
      </c>
      <c r="F60" s="715">
        <v>1504</v>
      </c>
      <c r="G60" s="715">
        <v>1909</v>
      </c>
      <c r="H60" s="715">
        <v>0</v>
      </c>
      <c r="I60" s="715">
        <f t="shared" si="5"/>
        <v>7</v>
      </c>
      <c r="J60" s="716">
        <v>0</v>
      </c>
      <c r="K60" s="716">
        <v>0</v>
      </c>
      <c r="L60" s="716">
        <v>7</v>
      </c>
      <c r="M60" s="15"/>
      <c r="N60" s="15"/>
    </row>
    <row r="61" spans="1:14" x14ac:dyDescent="0.25">
      <c r="A61" s="242">
        <v>50</v>
      </c>
      <c r="B61" s="264" t="s">
        <v>144</v>
      </c>
      <c r="C61" s="50" t="s">
        <v>145</v>
      </c>
      <c r="D61" s="715">
        <f t="shared" si="6"/>
        <v>0</v>
      </c>
      <c r="E61" s="715">
        <f t="shared" si="4"/>
        <v>0</v>
      </c>
      <c r="F61" s="715">
        <v>0</v>
      </c>
      <c r="G61" s="715">
        <v>0</v>
      </c>
      <c r="H61" s="715">
        <v>0</v>
      </c>
      <c r="I61" s="715">
        <f t="shared" si="5"/>
        <v>0</v>
      </c>
      <c r="J61" s="716">
        <v>0</v>
      </c>
      <c r="K61" s="716">
        <v>0</v>
      </c>
      <c r="L61" s="716">
        <v>0</v>
      </c>
      <c r="M61" s="15"/>
      <c r="N61" s="15"/>
    </row>
    <row r="62" spans="1:14" x14ac:dyDescent="0.25">
      <c r="A62" s="242">
        <v>51</v>
      </c>
      <c r="B62" s="264" t="s">
        <v>146</v>
      </c>
      <c r="C62" s="50" t="s">
        <v>147</v>
      </c>
      <c r="D62" s="715">
        <f t="shared" si="6"/>
        <v>0</v>
      </c>
      <c r="E62" s="715">
        <f t="shared" si="4"/>
        <v>0</v>
      </c>
      <c r="F62" s="715">
        <v>0</v>
      </c>
      <c r="G62" s="715">
        <v>0</v>
      </c>
      <c r="H62" s="715">
        <v>0</v>
      </c>
      <c r="I62" s="715">
        <f t="shared" si="5"/>
        <v>0</v>
      </c>
      <c r="J62" s="716">
        <v>0</v>
      </c>
      <c r="K62" s="716">
        <v>0</v>
      </c>
      <c r="L62" s="716">
        <v>0</v>
      </c>
      <c r="M62" s="15"/>
      <c r="N62" s="15"/>
    </row>
    <row r="63" spans="1:14" x14ac:dyDescent="0.25">
      <c r="A63" s="242">
        <v>52</v>
      </c>
      <c r="B63" s="264" t="s">
        <v>148</v>
      </c>
      <c r="C63" s="50" t="s">
        <v>149</v>
      </c>
      <c r="D63" s="715">
        <f t="shared" si="6"/>
        <v>1189</v>
      </c>
      <c r="E63" s="715">
        <f t="shared" si="4"/>
        <v>1084</v>
      </c>
      <c r="F63" s="715">
        <v>555</v>
      </c>
      <c r="G63" s="715">
        <v>519</v>
      </c>
      <c r="H63" s="715">
        <v>10</v>
      </c>
      <c r="I63" s="715">
        <f t="shared" si="5"/>
        <v>105</v>
      </c>
      <c r="J63" s="716">
        <v>0</v>
      </c>
      <c r="K63" s="716">
        <v>0</v>
      </c>
      <c r="L63" s="716">
        <v>105</v>
      </c>
      <c r="M63" s="15"/>
      <c r="N63" s="15"/>
    </row>
    <row r="64" spans="1:14" x14ac:dyDescent="0.25">
      <c r="A64" s="242">
        <v>53</v>
      </c>
      <c r="B64" s="52" t="s">
        <v>150</v>
      </c>
      <c r="C64" s="50" t="s">
        <v>151</v>
      </c>
      <c r="D64" s="715">
        <f t="shared" si="6"/>
        <v>674</v>
      </c>
      <c r="E64" s="715">
        <f t="shared" si="4"/>
        <v>581</v>
      </c>
      <c r="F64" s="715">
        <v>251</v>
      </c>
      <c r="G64" s="715">
        <v>321</v>
      </c>
      <c r="H64" s="715">
        <v>9</v>
      </c>
      <c r="I64" s="715">
        <f t="shared" si="5"/>
        <v>93</v>
      </c>
      <c r="J64" s="716">
        <v>0</v>
      </c>
      <c r="K64" s="716">
        <v>0</v>
      </c>
      <c r="L64" s="716">
        <v>93</v>
      </c>
      <c r="M64" s="15"/>
      <c r="N64" s="15"/>
    </row>
    <row r="65" spans="1:14" x14ac:dyDescent="0.25">
      <c r="A65" s="242">
        <v>54</v>
      </c>
      <c r="B65" s="49" t="s">
        <v>152</v>
      </c>
      <c r="C65" s="50" t="s">
        <v>557</v>
      </c>
      <c r="D65" s="715">
        <f t="shared" si="6"/>
        <v>0</v>
      </c>
      <c r="E65" s="715">
        <f t="shared" si="4"/>
        <v>0</v>
      </c>
      <c r="F65" s="715">
        <v>0</v>
      </c>
      <c r="G65" s="715">
        <v>0</v>
      </c>
      <c r="H65" s="715">
        <v>0</v>
      </c>
      <c r="I65" s="715">
        <f t="shared" si="5"/>
        <v>0</v>
      </c>
      <c r="J65" s="716">
        <v>0</v>
      </c>
      <c r="K65" s="716">
        <v>0</v>
      </c>
      <c r="L65" s="716">
        <v>0</v>
      </c>
      <c r="M65" s="15"/>
      <c r="N65" s="15"/>
    </row>
    <row r="66" spans="1:14" x14ac:dyDescent="0.25">
      <c r="A66" s="242">
        <v>55</v>
      </c>
      <c r="B66" s="52" t="s">
        <v>154</v>
      </c>
      <c r="C66" s="50" t="s">
        <v>155</v>
      </c>
      <c r="D66" s="715">
        <f t="shared" si="6"/>
        <v>1614</v>
      </c>
      <c r="E66" s="715">
        <f t="shared" si="4"/>
        <v>1444</v>
      </c>
      <c r="F66" s="715">
        <v>778</v>
      </c>
      <c r="G66" s="715">
        <v>625</v>
      </c>
      <c r="H66" s="715">
        <v>41</v>
      </c>
      <c r="I66" s="715">
        <f t="shared" si="5"/>
        <v>170</v>
      </c>
      <c r="J66" s="716">
        <v>0</v>
      </c>
      <c r="K66" s="716">
        <v>0</v>
      </c>
      <c r="L66" s="716">
        <v>170</v>
      </c>
      <c r="M66" s="15"/>
      <c r="N66" s="15"/>
    </row>
    <row r="67" spans="1:14" x14ac:dyDescent="0.25">
      <c r="A67" s="242">
        <v>56</v>
      </c>
      <c r="B67" s="264" t="s">
        <v>156</v>
      </c>
      <c r="C67" s="50" t="s">
        <v>157</v>
      </c>
      <c r="D67" s="715">
        <f t="shared" si="6"/>
        <v>0</v>
      </c>
      <c r="E67" s="715">
        <f t="shared" si="4"/>
        <v>0</v>
      </c>
      <c r="F67" s="715">
        <v>0</v>
      </c>
      <c r="G67" s="715">
        <v>0</v>
      </c>
      <c r="H67" s="715">
        <v>0</v>
      </c>
      <c r="I67" s="715">
        <f t="shared" si="5"/>
        <v>0</v>
      </c>
      <c r="J67" s="716">
        <v>0</v>
      </c>
      <c r="K67" s="716">
        <v>0</v>
      </c>
      <c r="L67" s="716">
        <v>0</v>
      </c>
      <c r="M67" s="15"/>
      <c r="N67" s="15"/>
    </row>
    <row r="68" spans="1:14" ht="24" x14ac:dyDescent="0.25">
      <c r="A68" s="242">
        <v>57</v>
      </c>
      <c r="B68" s="49" t="s">
        <v>158</v>
      </c>
      <c r="C68" s="50" t="s">
        <v>159</v>
      </c>
      <c r="D68" s="715">
        <f t="shared" si="6"/>
        <v>0</v>
      </c>
      <c r="E68" s="715">
        <f t="shared" si="4"/>
        <v>0</v>
      </c>
      <c r="F68" s="715">
        <v>0</v>
      </c>
      <c r="G68" s="715">
        <v>0</v>
      </c>
      <c r="H68" s="715">
        <v>0</v>
      </c>
      <c r="I68" s="715">
        <f t="shared" si="5"/>
        <v>0</v>
      </c>
      <c r="J68" s="716">
        <v>0</v>
      </c>
      <c r="K68" s="716">
        <v>0</v>
      </c>
      <c r="L68" s="716">
        <v>0</v>
      </c>
      <c r="M68" s="15"/>
      <c r="N68" s="15"/>
    </row>
    <row r="69" spans="1:14" ht="24" x14ac:dyDescent="0.25">
      <c r="A69" s="242">
        <v>58</v>
      </c>
      <c r="B69" s="49" t="s">
        <v>160</v>
      </c>
      <c r="C69" s="50" t="s">
        <v>161</v>
      </c>
      <c r="D69" s="715">
        <f t="shared" si="6"/>
        <v>0</v>
      </c>
      <c r="E69" s="715">
        <f t="shared" si="4"/>
        <v>0</v>
      </c>
      <c r="F69" s="715">
        <v>0</v>
      </c>
      <c r="G69" s="715">
        <v>0</v>
      </c>
      <c r="H69" s="715">
        <v>0</v>
      </c>
      <c r="I69" s="715">
        <f t="shared" si="5"/>
        <v>0</v>
      </c>
      <c r="J69" s="716">
        <v>0</v>
      </c>
      <c r="K69" s="716">
        <v>0</v>
      </c>
      <c r="L69" s="716">
        <v>0</v>
      </c>
      <c r="M69" s="15"/>
      <c r="N69" s="15"/>
    </row>
    <row r="70" spans="1:14" x14ac:dyDescent="0.25">
      <c r="A70" s="242">
        <v>59</v>
      </c>
      <c r="B70" s="52" t="s">
        <v>162</v>
      </c>
      <c r="C70" s="50" t="s">
        <v>163</v>
      </c>
      <c r="D70" s="715">
        <f t="shared" si="6"/>
        <v>19140</v>
      </c>
      <c r="E70" s="715">
        <f t="shared" si="4"/>
        <v>18516</v>
      </c>
      <c r="F70" s="715">
        <v>8967</v>
      </c>
      <c r="G70" s="715">
        <v>9549</v>
      </c>
      <c r="H70" s="715">
        <v>0</v>
      </c>
      <c r="I70" s="715">
        <f t="shared" si="5"/>
        <v>624</v>
      </c>
      <c r="J70" s="716">
        <v>171</v>
      </c>
      <c r="K70" s="716">
        <v>453</v>
      </c>
      <c r="L70" s="716">
        <v>0</v>
      </c>
      <c r="M70" s="15"/>
      <c r="N70" s="15"/>
    </row>
    <row r="71" spans="1:14" x14ac:dyDescent="0.25">
      <c r="A71" s="242">
        <v>60</v>
      </c>
      <c r="B71" s="52" t="s">
        <v>164</v>
      </c>
      <c r="C71" s="50" t="s">
        <v>165</v>
      </c>
      <c r="D71" s="715">
        <f t="shared" si="6"/>
        <v>12234</v>
      </c>
      <c r="E71" s="715">
        <f t="shared" si="4"/>
        <v>11877</v>
      </c>
      <c r="F71" s="715">
        <v>5884</v>
      </c>
      <c r="G71" s="715">
        <v>5993</v>
      </c>
      <c r="H71" s="715">
        <v>0</v>
      </c>
      <c r="I71" s="715">
        <f t="shared" si="5"/>
        <v>357</v>
      </c>
      <c r="J71" s="716">
        <v>92</v>
      </c>
      <c r="K71" s="716">
        <v>265</v>
      </c>
      <c r="L71" s="716">
        <v>0</v>
      </c>
      <c r="M71" s="15"/>
      <c r="N71" s="15"/>
    </row>
    <row r="72" spans="1:14" x14ac:dyDescent="0.25">
      <c r="A72" s="242">
        <v>61</v>
      </c>
      <c r="B72" s="52" t="s">
        <v>166</v>
      </c>
      <c r="C72" s="50" t="s">
        <v>167</v>
      </c>
      <c r="D72" s="715">
        <f t="shared" si="6"/>
        <v>27869</v>
      </c>
      <c r="E72" s="715">
        <f t="shared" si="4"/>
        <v>27215</v>
      </c>
      <c r="F72" s="715">
        <v>14485</v>
      </c>
      <c r="G72" s="715">
        <v>12730</v>
      </c>
      <c r="H72" s="715">
        <v>0</v>
      </c>
      <c r="I72" s="715">
        <f t="shared" si="5"/>
        <v>654</v>
      </c>
      <c r="J72" s="716">
        <v>220</v>
      </c>
      <c r="K72" s="716">
        <v>434</v>
      </c>
      <c r="L72" s="716">
        <v>0</v>
      </c>
      <c r="M72" s="15"/>
      <c r="N72" s="15"/>
    </row>
    <row r="73" spans="1:14" ht="12" customHeight="1" x14ac:dyDescent="0.25">
      <c r="A73" s="242">
        <v>62</v>
      </c>
      <c r="B73" s="52" t="s">
        <v>168</v>
      </c>
      <c r="C73" s="50" t="s">
        <v>169</v>
      </c>
      <c r="D73" s="715">
        <f t="shared" si="6"/>
        <v>0</v>
      </c>
      <c r="E73" s="715">
        <f t="shared" si="4"/>
        <v>0</v>
      </c>
      <c r="F73" s="715">
        <v>0</v>
      </c>
      <c r="G73" s="715">
        <v>0</v>
      </c>
      <c r="H73" s="715">
        <v>0</v>
      </c>
      <c r="I73" s="715">
        <f t="shared" si="5"/>
        <v>0</v>
      </c>
      <c r="J73" s="716">
        <v>0</v>
      </c>
      <c r="K73" s="716">
        <v>0</v>
      </c>
      <c r="L73" s="716">
        <v>0</v>
      </c>
      <c r="M73" s="15"/>
      <c r="N73" s="15"/>
    </row>
    <row r="74" spans="1:14" ht="12" customHeight="1" x14ac:dyDescent="0.25">
      <c r="A74" s="242">
        <v>63</v>
      </c>
      <c r="B74" s="49" t="s">
        <v>170</v>
      </c>
      <c r="C74" s="50" t="s">
        <v>171</v>
      </c>
      <c r="D74" s="715">
        <f t="shared" si="6"/>
        <v>0</v>
      </c>
      <c r="E74" s="715">
        <f t="shared" si="4"/>
        <v>0</v>
      </c>
      <c r="F74" s="715">
        <v>0</v>
      </c>
      <c r="G74" s="715">
        <v>0</v>
      </c>
      <c r="H74" s="715">
        <v>0</v>
      </c>
      <c r="I74" s="715">
        <f t="shared" si="5"/>
        <v>0</v>
      </c>
      <c r="J74" s="716">
        <v>0</v>
      </c>
      <c r="K74" s="716">
        <v>0</v>
      </c>
      <c r="L74" s="716">
        <v>0</v>
      </c>
      <c r="M74" s="15"/>
      <c r="N74" s="15"/>
    </row>
    <row r="75" spans="1:14" ht="12" customHeight="1" x14ac:dyDescent="0.25">
      <c r="A75" s="242">
        <v>64</v>
      </c>
      <c r="B75" s="52" t="s">
        <v>172</v>
      </c>
      <c r="C75" s="50" t="s">
        <v>173</v>
      </c>
      <c r="D75" s="715">
        <f t="shared" si="6"/>
        <v>0</v>
      </c>
      <c r="E75" s="715">
        <f t="shared" si="4"/>
        <v>0</v>
      </c>
      <c r="F75" s="715">
        <v>0</v>
      </c>
      <c r="G75" s="715">
        <v>0</v>
      </c>
      <c r="H75" s="715">
        <v>0</v>
      </c>
      <c r="I75" s="715">
        <f t="shared" si="5"/>
        <v>0</v>
      </c>
      <c r="J75" s="716">
        <v>0</v>
      </c>
      <c r="K75" s="716">
        <v>0</v>
      </c>
      <c r="L75" s="716">
        <v>0</v>
      </c>
      <c r="M75" s="15"/>
      <c r="N75" s="15"/>
    </row>
    <row r="76" spans="1:14" ht="12" customHeight="1" x14ac:dyDescent="0.25">
      <c r="A76" s="242">
        <v>65</v>
      </c>
      <c r="B76" s="52" t="s">
        <v>174</v>
      </c>
      <c r="C76" s="50" t="s">
        <v>175</v>
      </c>
      <c r="D76" s="715">
        <f t="shared" ref="D76:D90" si="7">E76+I76</f>
        <v>0</v>
      </c>
      <c r="E76" s="715">
        <f t="shared" si="4"/>
        <v>0</v>
      </c>
      <c r="F76" s="715">
        <v>0</v>
      </c>
      <c r="G76" s="715">
        <v>0</v>
      </c>
      <c r="H76" s="715">
        <v>0</v>
      </c>
      <c r="I76" s="715">
        <f t="shared" si="5"/>
        <v>0</v>
      </c>
      <c r="J76" s="716">
        <v>0</v>
      </c>
      <c r="K76" s="716">
        <v>0</v>
      </c>
      <c r="L76" s="716">
        <v>0</v>
      </c>
      <c r="M76" s="15"/>
      <c r="N76" s="15"/>
    </row>
    <row r="77" spans="1:14" ht="12" customHeight="1" x14ac:dyDescent="0.25">
      <c r="A77" s="242">
        <v>66</v>
      </c>
      <c r="B77" s="49" t="s">
        <v>176</v>
      </c>
      <c r="C77" s="50" t="s">
        <v>177</v>
      </c>
      <c r="D77" s="715">
        <f t="shared" si="7"/>
        <v>0</v>
      </c>
      <c r="E77" s="715">
        <f t="shared" ref="E77:E140" si="8">F77+G77+H77</f>
        <v>0</v>
      </c>
      <c r="F77" s="715">
        <v>0</v>
      </c>
      <c r="G77" s="715">
        <v>0</v>
      </c>
      <c r="H77" s="715">
        <v>0</v>
      </c>
      <c r="I77" s="715">
        <f t="shared" ref="I77:I143" si="9">J77+K77+L77</f>
        <v>0</v>
      </c>
      <c r="J77" s="716">
        <v>0</v>
      </c>
      <c r="K77" s="716">
        <v>0</v>
      </c>
      <c r="L77" s="716">
        <v>0</v>
      </c>
      <c r="M77" s="15"/>
      <c r="N77" s="15"/>
    </row>
    <row r="78" spans="1:14" ht="12" customHeight="1" x14ac:dyDescent="0.25">
      <c r="A78" s="242">
        <v>67</v>
      </c>
      <c r="B78" s="49" t="s">
        <v>178</v>
      </c>
      <c r="C78" s="50" t="s">
        <v>179</v>
      </c>
      <c r="D78" s="715">
        <f t="shared" si="7"/>
        <v>0</v>
      </c>
      <c r="E78" s="715">
        <f t="shared" si="8"/>
        <v>0</v>
      </c>
      <c r="F78" s="715">
        <v>0</v>
      </c>
      <c r="G78" s="715">
        <v>0</v>
      </c>
      <c r="H78" s="715">
        <v>0</v>
      </c>
      <c r="I78" s="715">
        <f t="shared" si="9"/>
        <v>0</v>
      </c>
      <c r="J78" s="716">
        <v>0</v>
      </c>
      <c r="K78" s="716">
        <v>0</v>
      </c>
      <c r="L78" s="716">
        <v>0</v>
      </c>
      <c r="M78" s="15"/>
      <c r="N78" s="15"/>
    </row>
    <row r="79" spans="1:14" ht="12" customHeight="1" x14ac:dyDescent="0.25">
      <c r="A79" s="242">
        <v>68</v>
      </c>
      <c r="B79" s="49" t="s">
        <v>180</v>
      </c>
      <c r="C79" s="50" t="s">
        <v>181</v>
      </c>
      <c r="D79" s="715">
        <f t="shared" si="7"/>
        <v>0</v>
      </c>
      <c r="E79" s="715">
        <f t="shared" si="8"/>
        <v>0</v>
      </c>
      <c r="F79" s="715">
        <v>0</v>
      </c>
      <c r="G79" s="715">
        <v>0</v>
      </c>
      <c r="H79" s="715">
        <v>0</v>
      </c>
      <c r="I79" s="715">
        <f t="shared" si="9"/>
        <v>0</v>
      </c>
      <c r="J79" s="716">
        <v>0</v>
      </c>
      <c r="K79" s="716">
        <v>0</v>
      </c>
      <c r="L79" s="716">
        <v>0</v>
      </c>
      <c r="M79" s="15"/>
      <c r="N79" s="15"/>
    </row>
    <row r="80" spans="1:14" x14ac:dyDescent="0.25">
      <c r="A80" s="242">
        <v>69</v>
      </c>
      <c r="B80" s="264" t="s">
        <v>182</v>
      </c>
      <c r="C80" s="50" t="s">
        <v>183</v>
      </c>
      <c r="D80" s="715">
        <f t="shared" si="7"/>
        <v>18593</v>
      </c>
      <c r="E80" s="715">
        <f t="shared" si="8"/>
        <v>18067</v>
      </c>
      <c r="F80" s="715">
        <v>10234</v>
      </c>
      <c r="G80" s="715">
        <v>7833</v>
      </c>
      <c r="H80" s="715">
        <v>0</v>
      </c>
      <c r="I80" s="715">
        <f t="shared" si="9"/>
        <v>526</v>
      </c>
      <c r="J80" s="716">
        <v>131</v>
      </c>
      <c r="K80" s="716">
        <v>345</v>
      </c>
      <c r="L80" s="716">
        <v>50</v>
      </c>
      <c r="M80" s="15"/>
      <c r="N80" s="15"/>
    </row>
    <row r="81" spans="1:14" x14ac:dyDescent="0.25">
      <c r="A81" s="242">
        <v>70</v>
      </c>
      <c r="B81" s="49" t="s">
        <v>184</v>
      </c>
      <c r="C81" s="50" t="s">
        <v>185</v>
      </c>
      <c r="D81" s="715">
        <f t="shared" si="7"/>
        <v>36701</v>
      </c>
      <c r="E81" s="715">
        <f t="shared" si="8"/>
        <v>35892</v>
      </c>
      <c r="F81" s="715">
        <v>19465</v>
      </c>
      <c r="G81" s="715">
        <v>16427</v>
      </c>
      <c r="H81" s="715">
        <v>0</v>
      </c>
      <c r="I81" s="715">
        <f t="shared" si="9"/>
        <v>809</v>
      </c>
      <c r="J81" s="716">
        <v>226</v>
      </c>
      <c r="K81" s="716">
        <v>583</v>
      </c>
      <c r="L81" s="716">
        <v>0</v>
      </c>
      <c r="M81" s="15"/>
      <c r="N81" s="15"/>
    </row>
    <row r="82" spans="1:14" x14ac:dyDescent="0.25">
      <c r="A82" s="242">
        <v>71</v>
      </c>
      <c r="B82" s="264" t="s">
        <v>186</v>
      </c>
      <c r="C82" s="50" t="s">
        <v>187</v>
      </c>
      <c r="D82" s="715">
        <f t="shared" si="7"/>
        <v>20962</v>
      </c>
      <c r="E82" s="715">
        <f t="shared" si="8"/>
        <v>20410</v>
      </c>
      <c r="F82" s="715">
        <v>12197</v>
      </c>
      <c r="G82" s="715">
        <v>8213</v>
      </c>
      <c r="H82" s="715">
        <v>0</v>
      </c>
      <c r="I82" s="715">
        <f t="shared" si="9"/>
        <v>552</v>
      </c>
      <c r="J82" s="716">
        <v>154</v>
      </c>
      <c r="K82" s="716">
        <v>398</v>
      </c>
      <c r="L82" s="716">
        <v>0</v>
      </c>
      <c r="M82" s="15"/>
      <c r="N82" s="15"/>
    </row>
    <row r="83" spans="1:14" x14ac:dyDescent="0.25">
      <c r="A83" s="242">
        <v>72</v>
      </c>
      <c r="B83" s="49" t="s">
        <v>188</v>
      </c>
      <c r="C83" s="50" t="s">
        <v>461</v>
      </c>
      <c r="D83" s="715">
        <f t="shared" si="7"/>
        <v>14226</v>
      </c>
      <c r="E83" s="715">
        <f t="shared" si="8"/>
        <v>13846</v>
      </c>
      <c r="F83" s="715">
        <v>6883</v>
      </c>
      <c r="G83" s="715">
        <v>6936</v>
      </c>
      <c r="H83" s="715">
        <v>27</v>
      </c>
      <c r="I83" s="715">
        <f t="shared" si="9"/>
        <v>380</v>
      </c>
      <c r="J83" s="716">
        <v>81</v>
      </c>
      <c r="K83" s="716">
        <v>235</v>
      </c>
      <c r="L83" s="716">
        <v>64</v>
      </c>
      <c r="M83" s="15"/>
      <c r="N83" s="15"/>
    </row>
    <row r="84" spans="1:14" x14ac:dyDescent="0.25">
      <c r="A84" s="242">
        <v>73</v>
      </c>
      <c r="B84" s="49" t="s">
        <v>190</v>
      </c>
      <c r="C84" s="50" t="s">
        <v>191</v>
      </c>
      <c r="D84" s="715">
        <f t="shared" si="7"/>
        <v>37874</v>
      </c>
      <c r="E84" s="715">
        <f t="shared" si="8"/>
        <v>36845</v>
      </c>
      <c r="F84" s="715">
        <v>14737</v>
      </c>
      <c r="G84" s="715">
        <v>22108</v>
      </c>
      <c r="H84" s="715">
        <v>0</v>
      </c>
      <c r="I84" s="715">
        <f t="shared" si="9"/>
        <v>1029</v>
      </c>
      <c r="J84" s="716">
        <v>272</v>
      </c>
      <c r="K84" s="716">
        <v>757</v>
      </c>
      <c r="L84" s="716">
        <v>0</v>
      </c>
      <c r="M84" s="15"/>
      <c r="N84" s="15"/>
    </row>
    <row r="85" spans="1:14" x14ac:dyDescent="0.25">
      <c r="A85" s="242">
        <v>74</v>
      </c>
      <c r="B85" s="49" t="s">
        <v>192</v>
      </c>
      <c r="C85" s="50" t="s">
        <v>193</v>
      </c>
      <c r="D85" s="715">
        <f t="shared" si="7"/>
        <v>1748</v>
      </c>
      <c r="E85" s="715">
        <f t="shared" si="8"/>
        <v>1589</v>
      </c>
      <c r="F85" s="715">
        <v>829</v>
      </c>
      <c r="G85" s="715">
        <v>722</v>
      </c>
      <c r="H85" s="715">
        <v>38</v>
      </c>
      <c r="I85" s="715">
        <f t="shared" si="9"/>
        <v>159</v>
      </c>
      <c r="J85" s="716">
        <v>0</v>
      </c>
      <c r="K85" s="716">
        <v>0</v>
      </c>
      <c r="L85" s="716">
        <v>159</v>
      </c>
      <c r="M85" s="15"/>
      <c r="N85" s="15"/>
    </row>
    <row r="86" spans="1:14" x14ac:dyDescent="0.25">
      <c r="A86" s="242">
        <v>75</v>
      </c>
      <c r="B86" s="49" t="s">
        <v>194</v>
      </c>
      <c r="C86" s="50" t="s">
        <v>195</v>
      </c>
      <c r="D86" s="715">
        <f t="shared" si="7"/>
        <v>27525</v>
      </c>
      <c r="E86" s="715">
        <f t="shared" si="8"/>
        <v>26853</v>
      </c>
      <c r="F86" s="715">
        <v>14712</v>
      </c>
      <c r="G86" s="715">
        <v>12141</v>
      </c>
      <c r="H86" s="715">
        <v>0</v>
      </c>
      <c r="I86" s="715">
        <f t="shared" si="9"/>
        <v>672</v>
      </c>
      <c r="J86" s="716">
        <v>192</v>
      </c>
      <c r="K86" s="716">
        <v>480</v>
      </c>
      <c r="L86" s="716">
        <v>0</v>
      </c>
      <c r="M86" s="15"/>
      <c r="N86" s="15"/>
    </row>
    <row r="87" spans="1:14" x14ac:dyDescent="0.25">
      <c r="A87" s="242">
        <v>76</v>
      </c>
      <c r="B87" s="49" t="s">
        <v>196</v>
      </c>
      <c r="C87" s="50" t="s">
        <v>197</v>
      </c>
      <c r="D87" s="715">
        <f t="shared" si="7"/>
        <v>0</v>
      </c>
      <c r="E87" s="715">
        <f t="shared" si="8"/>
        <v>0</v>
      </c>
      <c r="F87" s="715">
        <v>0</v>
      </c>
      <c r="G87" s="715">
        <v>0</v>
      </c>
      <c r="H87" s="715">
        <v>0</v>
      </c>
      <c r="I87" s="715">
        <f t="shared" si="9"/>
        <v>0</v>
      </c>
      <c r="J87" s="716">
        <v>0</v>
      </c>
      <c r="K87" s="716">
        <v>0</v>
      </c>
      <c r="L87" s="716">
        <v>0</v>
      </c>
      <c r="M87" s="15"/>
      <c r="N87" s="15"/>
    </row>
    <row r="88" spans="1:14" x14ac:dyDescent="0.25">
      <c r="A88" s="242">
        <v>77</v>
      </c>
      <c r="B88" s="52" t="s">
        <v>30</v>
      </c>
      <c r="C88" s="50" t="s">
        <v>198</v>
      </c>
      <c r="D88" s="715">
        <f t="shared" si="7"/>
        <v>0</v>
      </c>
      <c r="E88" s="715">
        <f t="shared" si="8"/>
        <v>0</v>
      </c>
      <c r="F88" s="715">
        <v>0</v>
      </c>
      <c r="G88" s="715">
        <v>0</v>
      </c>
      <c r="H88" s="715">
        <v>0</v>
      </c>
      <c r="I88" s="715">
        <f t="shared" si="9"/>
        <v>0</v>
      </c>
      <c r="J88" s="716">
        <v>0</v>
      </c>
      <c r="K88" s="716">
        <v>0</v>
      </c>
      <c r="L88" s="716">
        <v>0</v>
      </c>
      <c r="M88" s="15"/>
      <c r="N88" s="15"/>
    </row>
    <row r="89" spans="1:14" ht="24" x14ac:dyDescent="0.25">
      <c r="A89" s="1140">
        <v>78</v>
      </c>
      <c r="B89" s="907" t="s">
        <v>199</v>
      </c>
      <c r="C89" s="57" t="s">
        <v>200</v>
      </c>
      <c r="D89" s="715">
        <f t="shared" si="7"/>
        <v>78</v>
      </c>
      <c r="E89" s="715">
        <f t="shared" si="8"/>
        <v>78</v>
      </c>
      <c r="F89" s="715">
        <v>15</v>
      </c>
      <c r="G89" s="715">
        <v>63</v>
      </c>
      <c r="H89" s="715">
        <v>0</v>
      </c>
      <c r="I89" s="715">
        <f t="shared" si="9"/>
        <v>0</v>
      </c>
      <c r="J89" s="716">
        <v>0</v>
      </c>
      <c r="K89" s="716">
        <v>0</v>
      </c>
      <c r="L89" s="716">
        <v>0</v>
      </c>
      <c r="M89" s="15"/>
      <c r="N89" s="15"/>
    </row>
    <row r="90" spans="1:14" ht="36" x14ac:dyDescent="0.25">
      <c r="A90" s="1141"/>
      <c r="B90" s="908"/>
      <c r="C90" s="50" t="s">
        <v>201</v>
      </c>
      <c r="D90" s="715">
        <f t="shared" si="7"/>
        <v>78</v>
      </c>
      <c r="E90" s="715">
        <f t="shared" si="8"/>
        <v>78</v>
      </c>
      <c r="F90" s="715">
        <v>15</v>
      </c>
      <c r="G90" s="715">
        <v>63</v>
      </c>
      <c r="H90" s="715">
        <v>0</v>
      </c>
      <c r="I90" s="715">
        <f t="shared" ref="I90" si="10">J90+K90+L90</f>
        <v>0</v>
      </c>
      <c r="J90" s="716">
        <v>0</v>
      </c>
      <c r="K90" s="716">
        <v>0</v>
      </c>
      <c r="L90" s="716">
        <v>0</v>
      </c>
      <c r="M90" s="15"/>
      <c r="N90" s="15"/>
    </row>
    <row r="91" spans="1:14" ht="24" x14ac:dyDescent="0.25">
      <c r="A91" s="1141"/>
      <c r="B91" s="908"/>
      <c r="C91" s="50" t="s">
        <v>202</v>
      </c>
      <c r="D91" s="715">
        <v>0</v>
      </c>
      <c r="E91" s="715">
        <f t="shared" si="8"/>
        <v>0</v>
      </c>
      <c r="F91" s="715">
        <v>0</v>
      </c>
      <c r="G91" s="715">
        <v>0</v>
      </c>
      <c r="H91" s="715">
        <v>0</v>
      </c>
      <c r="I91" s="715">
        <v>0</v>
      </c>
      <c r="J91" s="715">
        <v>0</v>
      </c>
      <c r="K91" s="715">
        <v>0</v>
      </c>
      <c r="L91" s="716">
        <v>0</v>
      </c>
      <c r="M91" s="15"/>
      <c r="N91" s="15"/>
    </row>
    <row r="92" spans="1:14" ht="36" x14ac:dyDescent="0.25">
      <c r="A92" s="1142"/>
      <c r="B92" s="909"/>
      <c r="C92" s="58" t="s">
        <v>203</v>
      </c>
      <c r="D92" s="715">
        <v>0</v>
      </c>
      <c r="E92" s="715">
        <f t="shared" si="8"/>
        <v>0</v>
      </c>
      <c r="F92" s="715">
        <v>0</v>
      </c>
      <c r="G92" s="715">
        <v>0</v>
      </c>
      <c r="H92" s="715">
        <v>0</v>
      </c>
      <c r="I92" s="715">
        <v>0</v>
      </c>
      <c r="J92" s="715">
        <v>0</v>
      </c>
      <c r="K92" s="715">
        <v>0</v>
      </c>
      <c r="L92" s="716">
        <v>0</v>
      </c>
      <c r="M92" s="15"/>
      <c r="N92" s="15"/>
    </row>
    <row r="93" spans="1:14" ht="24" x14ac:dyDescent="0.25">
      <c r="A93" s="242">
        <v>79</v>
      </c>
      <c r="B93" s="52" t="s">
        <v>204</v>
      </c>
      <c r="C93" s="50" t="s">
        <v>205</v>
      </c>
      <c r="D93" s="715">
        <f t="shared" ref="D93:D124" si="11">E93+I93</f>
        <v>0</v>
      </c>
      <c r="E93" s="715">
        <f t="shared" si="8"/>
        <v>0</v>
      </c>
      <c r="F93" s="715">
        <v>0</v>
      </c>
      <c r="G93" s="715">
        <v>0</v>
      </c>
      <c r="H93" s="715">
        <v>0</v>
      </c>
      <c r="I93" s="715">
        <f t="shared" si="9"/>
        <v>0</v>
      </c>
      <c r="J93" s="716">
        <v>0</v>
      </c>
      <c r="K93" s="716">
        <v>0</v>
      </c>
      <c r="L93" s="716">
        <v>0</v>
      </c>
      <c r="M93" s="15"/>
      <c r="N93" s="15"/>
    </row>
    <row r="94" spans="1:14" x14ac:dyDescent="0.25">
      <c r="A94" s="242">
        <v>80</v>
      </c>
      <c r="B94" s="52" t="s">
        <v>206</v>
      </c>
      <c r="C94" s="50" t="s">
        <v>207</v>
      </c>
      <c r="D94" s="715">
        <f t="shared" si="11"/>
        <v>1102</v>
      </c>
      <c r="E94" s="715">
        <f t="shared" si="8"/>
        <v>1102</v>
      </c>
      <c r="F94" s="715">
        <v>575</v>
      </c>
      <c r="G94" s="715">
        <v>527</v>
      </c>
      <c r="H94" s="715">
        <v>0</v>
      </c>
      <c r="I94" s="715">
        <f t="shared" si="9"/>
        <v>0</v>
      </c>
      <c r="J94" s="716">
        <v>0</v>
      </c>
      <c r="K94" s="716">
        <v>0</v>
      </c>
      <c r="L94" s="716">
        <v>0</v>
      </c>
      <c r="M94" s="15"/>
      <c r="N94" s="15"/>
    </row>
    <row r="95" spans="1:14" x14ac:dyDescent="0.25">
      <c r="A95" s="242">
        <v>81</v>
      </c>
      <c r="B95" s="264" t="s">
        <v>208</v>
      </c>
      <c r="C95" s="50" t="s">
        <v>209</v>
      </c>
      <c r="D95" s="715">
        <f t="shared" si="11"/>
        <v>7767</v>
      </c>
      <c r="E95" s="715">
        <f t="shared" si="8"/>
        <v>7767</v>
      </c>
      <c r="F95" s="715">
        <v>4562</v>
      </c>
      <c r="G95" s="715">
        <v>3205</v>
      </c>
      <c r="H95" s="715">
        <v>0</v>
      </c>
      <c r="I95" s="715">
        <f t="shared" si="9"/>
        <v>0</v>
      </c>
      <c r="J95" s="716">
        <v>0</v>
      </c>
      <c r="K95" s="716">
        <v>0</v>
      </c>
      <c r="L95" s="716">
        <v>0</v>
      </c>
      <c r="M95" s="15"/>
      <c r="N95" s="15"/>
    </row>
    <row r="96" spans="1:14" x14ac:dyDescent="0.25">
      <c r="A96" s="242">
        <v>82</v>
      </c>
      <c r="B96" s="52" t="s">
        <v>210</v>
      </c>
      <c r="C96" s="50" t="s">
        <v>211</v>
      </c>
      <c r="D96" s="715">
        <f t="shared" si="11"/>
        <v>3268</v>
      </c>
      <c r="E96" s="715">
        <f t="shared" si="8"/>
        <v>3259</v>
      </c>
      <c r="F96" s="715">
        <v>1748</v>
      </c>
      <c r="G96" s="715">
        <v>1511</v>
      </c>
      <c r="H96" s="715">
        <v>0</v>
      </c>
      <c r="I96" s="715">
        <f t="shared" si="9"/>
        <v>9</v>
      </c>
      <c r="J96" s="716">
        <v>0</v>
      </c>
      <c r="K96" s="716">
        <v>0</v>
      </c>
      <c r="L96" s="716">
        <v>9</v>
      </c>
      <c r="M96" s="15"/>
      <c r="N96" s="15"/>
    </row>
    <row r="97" spans="1:14" x14ac:dyDescent="0.25">
      <c r="A97" s="242">
        <v>83</v>
      </c>
      <c r="B97" s="264" t="s">
        <v>212</v>
      </c>
      <c r="C97" s="50" t="s">
        <v>213</v>
      </c>
      <c r="D97" s="715">
        <f t="shared" si="11"/>
        <v>3744</v>
      </c>
      <c r="E97" s="715">
        <f t="shared" si="8"/>
        <v>3738</v>
      </c>
      <c r="F97" s="715">
        <v>2132</v>
      </c>
      <c r="G97" s="715">
        <v>1606</v>
      </c>
      <c r="H97" s="715">
        <v>0</v>
      </c>
      <c r="I97" s="715">
        <f t="shared" si="9"/>
        <v>6</v>
      </c>
      <c r="J97" s="716">
        <v>0</v>
      </c>
      <c r="K97" s="716">
        <v>0</v>
      </c>
      <c r="L97" s="716">
        <v>6</v>
      </c>
      <c r="M97" s="15"/>
      <c r="N97" s="15"/>
    </row>
    <row r="98" spans="1:14" x14ac:dyDescent="0.25">
      <c r="A98" s="242">
        <v>84</v>
      </c>
      <c r="B98" s="264" t="s">
        <v>214</v>
      </c>
      <c r="C98" s="50" t="s">
        <v>215</v>
      </c>
      <c r="D98" s="715">
        <f t="shared" si="11"/>
        <v>9103</v>
      </c>
      <c r="E98" s="715">
        <f t="shared" si="8"/>
        <v>8794</v>
      </c>
      <c r="F98" s="715">
        <v>4789</v>
      </c>
      <c r="G98" s="715">
        <v>4004</v>
      </c>
      <c r="H98" s="715">
        <v>1</v>
      </c>
      <c r="I98" s="715">
        <f t="shared" si="9"/>
        <v>309</v>
      </c>
      <c r="J98" s="716">
        <v>68</v>
      </c>
      <c r="K98" s="716">
        <v>214</v>
      </c>
      <c r="L98" s="716">
        <v>27</v>
      </c>
      <c r="M98" s="15"/>
      <c r="N98" s="15"/>
    </row>
    <row r="99" spans="1:14" x14ac:dyDescent="0.25">
      <c r="A99" s="242">
        <v>85</v>
      </c>
      <c r="B99" s="52" t="s">
        <v>216</v>
      </c>
      <c r="C99" s="50" t="s">
        <v>217</v>
      </c>
      <c r="D99" s="715">
        <f t="shared" si="11"/>
        <v>4584</v>
      </c>
      <c r="E99" s="715">
        <f t="shared" si="8"/>
        <v>4580</v>
      </c>
      <c r="F99" s="715">
        <v>2599</v>
      </c>
      <c r="G99" s="715">
        <v>1981</v>
      </c>
      <c r="H99" s="715">
        <v>0</v>
      </c>
      <c r="I99" s="715">
        <f t="shared" si="9"/>
        <v>4</v>
      </c>
      <c r="J99" s="716">
        <v>0</v>
      </c>
      <c r="K99" s="716">
        <v>0</v>
      </c>
      <c r="L99" s="716">
        <v>4</v>
      </c>
      <c r="M99" s="15"/>
      <c r="N99" s="15"/>
    </row>
    <row r="100" spans="1:14" x14ac:dyDescent="0.25">
      <c r="A100" s="242">
        <v>86</v>
      </c>
      <c r="B100" s="52" t="s">
        <v>124</v>
      </c>
      <c r="C100" s="50" t="s">
        <v>125</v>
      </c>
      <c r="D100" s="715">
        <f t="shared" si="11"/>
        <v>4710</v>
      </c>
      <c r="E100" s="715">
        <f t="shared" si="8"/>
        <v>4513</v>
      </c>
      <c r="F100" s="715">
        <v>2426</v>
      </c>
      <c r="G100" s="715">
        <v>2087</v>
      </c>
      <c r="H100" s="715">
        <v>0</v>
      </c>
      <c r="I100" s="715">
        <f t="shared" si="9"/>
        <v>197</v>
      </c>
      <c r="J100" s="716">
        <f>70-36</f>
        <v>34</v>
      </c>
      <c r="K100" s="716">
        <f>324-166</f>
        <v>158</v>
      </c>
      <c r="L100" s="716">
        <v>5</v>
      </c>
      <c r="M100" s="15"/>
      <c r="N100" s="15"/>
    </row>
    <row r="101" spans="1:14" x14ac:dyDescent="0.25">
      <c r="A101" s="242">
        <v>87</v>
      </c>
      <c r="B101" s="49" t="s">
        <v>218</v>
      </c>
      <c r="C101" s="50" t="s">
        <v>219</v>
      </c>
      <c r="D101" s="715">
        <f t="shared" si="11"/>
        <v>10018</v>
      </c>
      <c r="E101" s="715">
        <f t="shared" si="8"/>
        <v>9698</v>
      </c>
      <c r="F101" s="715">
        <v>5509</v>
      </c>
      <c r="G101" s="715">
        <v>4189</v>
      </c>
      <c r="H101" s="715">
        <v>0</v>
      </c>
      <c r="I101" s="715">
        <f t="shared" si="9"/>
        <v>320</v>
      </c>
      <c r="J101" s="716">
        <v>74</v>
      </c>
      <c r="K101" s="716">
        <v>210</v>
      </c>
      <c r="L101" s="716">
        <v>36</v>
      </c>
      <c r="M101" s="15"/>
      <c r="N101" s="15"/>
    </row>
    <row r="102" spans="1:14" x14ac:dyDescent="0.25">
      <c r="A102" s="242">
        <v>88</v>
      </c>
      <c r="B102" s="49" t="s">
        <v>220</v>
      </c>
      <c r="C102" s="50" t="s">
        <v>221</v>
      </c>
      <c r="D102" s="715">
        <f t="shared" si="11"/>
        <v>8606</v>
      </c>
      <c r="E102" s="715">
        <f t="shared" si="8"/>
        <v>8113</v>
      </c>
      <c r="F102" s="715">
        <v>4646</v>
      </c>
      <c r="G102" s="715">
        <v>3467</v>
      </c>
      <c r="H102" s="715">
        <v>0</v>
      </c>
      <c r="I102" s="715">
        <f t="shared" si="9"/>
        <v>493</v>
      </c>
      <c r="J102" s="716">
        <v>105</v>
      </c>
      <c r="K102" s="716">
        <v>363</v>
      </c>
      <c r="L102" s="716">
        <v>25</v>
      </c>
      <c r="M102" s="15"/>
      <c r="N102" s="15"/>
    </row>
    <row r="103" spans="1:14" x14ac:dyDescent="0.25">
      <c r="A103" s="242">
        <v>89</v>
      </c>
      <c r="B103" s="264" t="s">
        <v>222</v>
      </c>
      <c r="C103" s="50" t="s">
        <v>223</v>
      </c>
      <c r="D103" s="715">
        <f t="shared" si="11"/>
        <v>4326</v>
      </c>
      <c r="E103" s="715">
        <f t="shared" si="8"/>
        <v>4124</v>
      </c>
      <c r="F103" s="715">
        <v>2628</v>
      </c>
      <c r="G103" s="715">
        <v>1496</v>
      </c>
      <c r="H103" s="715">
        <v>0</v>
      </c>
      <c r="I103" s="715">
        <f t="shared" si="9"/>
        <v>202</v>
      </c>
      <c r="J103" s="716">
        <v>34</v>
      </c>
      <c r="K103" s="716">
        <v>155</v>
      </c>
      <c r="L103" s="716">
        <v>13</v>
      </c>
      <c r="M103" s="15"/>
      <c r="N103" s="15"/>
    </row>
    <row r="104" spans="1:14" x14ac:dyDescent="0.25">
      <c r="A104" s="242">
        <v>90</v>
      </c>
      <c r="B104" s="49" t="s">
        <v>224</v>
      </c>
      <c r="C104" s="50" t="s">
        <v>225</v>
      </c>
      <c r="D104" s="715">
        <f t="shared" si="11"/>
        <v>5344</v>
      </c>
      <c r="E104" s="715">
        <f t="shared" si="8"/>
        <v>5332</v>
      </c>
      <c r="F104" s="715">
        <v>2667</v>
      </c>
      <c r="G104" s="715">
        <v>2665</v>
      </c>
      <c r="H104" s="715">
        <v>0</v>
      </c>
      <c r="I104" s="715">
        <f t="shared" si="9"/>
        <v>12</v>
      </c>
      <c r="J104" s="716">
        <v>0</v>
      </c>
      <c r="K104" s="716">
        <v>0</v>
      </c>
      <c r="L104" s="716">
        <v>12</v>
      </c>
      <c r="M104" s="15"/>
      <c r="N104" s="15"/>
    </row>
    <row r="105" spans="1:14" x14ac:dyDescent="0.25">
      <c r="A105" s="242">
        <v>91</v>
      </c>
      <c r="B105" s="49" t="s">
        <v>226</v>
      </c>
      <c r="C105" s="50" t="s">
        <v>227</v>
      </c>
      <c r="D105" s="715">
        <f t="shared" si="11"/>
        <v>4758</v>
      </c>
      <c r="E105" s="715">
        <f t="shared" si="8"/>
        <v>4752</v>
      </c>
      <c r="F105" s="715">
        <v>2597</v>
      </c>
      <c r="G105" s="715">
        <v>2155</v>
      </c>
      <c r="H105" s="715">
        <v>0</v>
      </c>
      <c r="I105" s="715">
        <f t="shared" si="9"/>
        <v>6</v>
      </c>
      <c r="J105" s="716">
        <v>0</v>
      </c>
      <c r="K105" s="716">
        <v>0</v>
      </c>
      <c r="L105" s="716">
        <v>6</v>
      </c>
      <c r="M105" s="15"/>
      <c r="N105" s="15"/>
    </row>
    <row r="106" spans="1:14" x14ac:dyDescent="0.25">
      <c r="A106" s="242">
        <v>92</v>
      </c>
      <c r="B106" s="52" t="s">
        <v>32</v>
      </c>
      <c r="C106" s="50" t="s">
        <v>33</v>
      </c>
      <c r="D106" s="715">
        <f t="shared" si="11"/>
        <v>5786</v>
      </c>
      <c r="E106" s="715">
        <f t="shared" si="8"/>
        <v>5438</v>
      </c>
      <c r="F106" s="715">
        <v>3065</v>
      </c>
      <c r="G106" s="715">
        <v>2373</v>
      </c>
      <c r="H106" s="715">
        <v>0</v>
      </c>
      <c r="I106" s="715">
        <f t="shared" si="9"/>
        <v>348</v>
      </c>
      <c r="J106" s="716">
        <v>82</v>
      </c>
      <c r="K106" s="716">
        <v>253</v>
      </c>
      <c r="L106" s="716">
        <v>13</v>
      </c>
      <c r="M106" s="15"/>
      <c r="N106" s="15"/>
    </row>
    <row r="107" spans="1:14" x14ac:dyDescent="0.25">
      <c r="A107" s="242">
        <v>93</v>
      </c>
      <c r="B107" s="264" t="s">
        <v>228</v>
      </c>
      <c r="C107" s="50" t="s">
        <v>229</v>
      </c>
      <c r="D107" s="715">
        <f t="shared" si="11"/>
        <v>3937</v>
      </c>
      <c r="E107" s="715">
        <f t="shared" si="8"/>
        <v>3925</v>
      </c>
      <c r="F107" s="715">
        <v>2496</v>
      </c>
      <c r="G107" s="715">
        <v>1429</v>
      </c>
      <c r="H107" s="715">
        <v>0</v>
      </c>
      <c r="I107" s="715">
        <f t="shared" si="9"/>
        <v>12</v>
      </c>
      <c r="J107" s="716">
        <v>0</v>
      </c>
      <c r="K107" s="716">
        <v>0</v>
      </c>
      <c r="L107" s="716">
        <v>12</v>
      </c>
      <c r="M107" s="15"/>
      <c r="N107" s="15"/>
    </row>
    <row r="108" spans="1:14" x14ac:dyDescent="0.25">
      <c r="A108" s="242">
        <v>94</v>
      </c>
      <c r="B108" s="264" t="s">
        <v>138</v>
      </c>
      <c r="C108" s="50" t="s">
        <v>139</v>
      </c>
      <c r="D108" s="715">
        <f t="shared" si="11"/>
        <v>4761</v>
      </c>
      <c r="E108" s="715">
        <f t="shared" si="8"/>
        <v>4281</v>
      </c>
      <c r="F108" s="715">
        <v>2627</v>
      </c>
      <c r="G108" s="715">
        <v>1654</v>
      </c>
      <c r="H108" s="715">
        <v>0</v>
      </c>
      <c r="I108" s="715">
        <f t="shared" si="9"/>
        <v>480</v>
      </c>
      <c r="J108" s="716">
        <v>96</v>
      </c>
      <c r="K108" s="716">
        <v>375</v>
      </c>
      <c r="L108" s="716">
        <v>9</v>
      </c>
      <c r="M108" s="15"/>
      <c r="N108" s="15"/>
    </row>
    <row r="109" spans="1:14" x14ac:dyDescent="0.25">
      <c r="A109" s="242">
        <v>95</v>
      </c>
      <c r="B109" s="49" t="s">
        <v>230</v>
      </c>
      <c r="C109" s="50" t="s">
        <v>231</v>
      </c>
      <c r="D109" s="715">
        <f t="shared" si="11"/>
        <v>8290</v>
      </c>
      <c r="E109" s="715">
        <f t="shared" si="8"/>
        <v>7956</v>
      </c>
      <c r="F109" s="715">
        <v>3726</v>
      </c>
      <c r="G109" s="715">
        <v>4230</v>
      </c>
      <c r="H109" s="715">
        <v>0</v>
      </c>
      <c r="I109" s="715">
        <f t="shared" si="9"/>
        <v>334</v>
      </c>
      <c r="J109" s="716">
        <v>64</v>
      </c>
      <c r="K109" s="716">
        <v>253</v>
      </c>
      <c r="L109" s="716">
        <v>17</v>
      </c>
      <c r="M109" s="15"/>
      <c r="N109" s="15"/>
    </row>
    <row r="110" spans="1:14" x14ac:dyDescent="0.25">
      <c r="A110" s="242">
        <v>96</v>
      </c>
      <c r="B110" s="52" t="s">
        <v>142</v>
      </c>
      <c r="C110" s="50" t="s">
        <v>143</v>
      </c>
      <c r="D110" s="715">
        <f t="shared" si="11"/>
        <v>6199</v>
      </c>
      <c r="E110" s="715">
        <f t="shared" si="8"/>
        <v>6186</v>
      </c>
      <c r="F110" s="715">
        <v>3861</v>
      </c>
      <c r="G110" s="715">
        <v>2325</v>
      </c>
      <c r="H110" s="715">
        <v>0</v>
      </c>
      <c r="I110" s="715">
        <f t="shared" si="9"/>
        <v>13</v>
      </c>
      <c r="J110" s="716">
        <v>0</v>
      </c>
      <c r="K110" s="716">
        <v>0</v>
      </c>
      <c r="L110" s="716">
        <v>13</v>
      </c>
      <c r="M110" s="15"/>
      <c r="N110" s="15"/>
    </row>
    <row r="111" spans="1:14" x14ac:dyDescent="0.25">
      <c r="A111" s="242">
        <v>97</v>
      </c>
      <c r="B111" s="49" t="s">
        <v>232</v>
      </c>
      <c r="C111" s="50" t="s">
        <v>233</v>
      </c>
      <c r="D111" s="715">
        <f t="shared" si="11"/>
        <v>0</v>
      </c>
      <c r="E111" s="715">
        <f t="shared" si="8"/>
        <v>0</v>
      </c>
      <c r="F111" s="715">
        <v>0</v>
      </c>
      <c r="G111" s="715">
        <v>0</v>
      </c>
      <c r="H111" s="715">
        <v>0</v>
      </c>
      <c r="I111" s="715">
        <f t="shared" si="9"/>
        <v>0</v>
      </c>
      <c r="J111" s="716">
        <v>0</v>
      </c>
      <c r="K111" s="716">
        <v>0</v>
      </c>
      <c r="L111" s="716">
        <v>0</v>
      </c>
      <c r="M111" s="15"/>
      <c r="N111" s="15"/>
    </row>
    <row r="112" spans="1:14" x14ac:dyDescent="0.25">
      <c r="A112" s="242">
        <v>98</v>
      </c>
      <c r="B112" s="49" t="s">
        <v>234</v>
      </c>
      <c r="C112" s="50" t="s">
        <v>235</v>
      </c>
      <c r="D112" s="715">
        <f t="shared" si="11"/>
        <v>0</v>
      </c>
      <c r="E112" s="715">
        <f t="shared" si="8"/>
        <v>0</v>
      </c>
      <c r="F112" s="715">
        <v>0</v>
      </c>
      <c r="G112" s="715">
        <v>0</v>
      </c>
      <c r="H112" s="715">
        <v>0</v>
      </c>
      <c r="I112" s="715">
        <f t="shared" si="9"/>
        <v>0</v>
      </c>
      <c r="J112" s="716">
        <v>0</v>
      </c>
      <c r="K112" s="716">
        <v>0</v>
      </c>
      <c r="L112" s="716">
        <v>0</v>
      </c>
      <c r="M112" s="15"/>
      <c r="N112" s="15"/>
    </row>
    <row r="113" spans="1:14" x14ac:dyDescent="0.25">
      <c r="A113" s="242">
        <v>99</v>
      </c>
      <c r="B113" s="264" t="s">
        <v>236</v>
      </c>
      <c r="C113" s="50" t="s">
        <v>237</v>
      </c>
      <c r="D113" s="715">
        <f t="shared" si="11"/>
        <v>0</v>
      </c>
      <c r="E113" s="715">
        <f t="shared" si="8"/>
        <v>0</v>
      </c>
      <c r="F113" s="715">
        <v>0</v>
      </c>
      <c r="G113" s="715">
        <v>0</v>
      </c>
      <c r="H113" s="715">
        <v>0</v>
      </c>
      <c r="I113" s="715">
        <f t="shared" si="9"/>
        <v>0</v>
      </c>
      <c r="J113" s="716">
        <v>0</v>
      </c>
      <c r="K113" s="716">
        <v>0</v>
      </c>
      <c r="L113" s="716">
        <v>0</v>
      </c>
      <c r="M113" s="15"/>
      <c r="N113" s="15"/>
    </row>
    <row r="114" spans="1:14" x14ac:dyDescent="0.25">
      <c r="A114" s="242">
        <v>100</v>
      </c>
      <c r="B114" s="264" t="s">
        <v>238</v>
      </c>
      <c r="C114" s="50" t="s">
        <v>239</v>
      </c>
      <c r="D114" s="715">
        <f t="shared" si="11"/>
        <v>0</v>
      </c>
      <c r="E114" s="715">
        <f t="shared" si="8"/>
        <v>0</v>
      </c>
      <c r="F114" s="715">
        <v>0</v>
      </c>
      <c r="G114" s="715">
        <v>0</v>
      </c>
      <c r="H114" s="715">
        <v>0</v>
      </c>
      <c r="I114" s="715">
        <f t="shared" si="9"/>
        <v>0</v>
      </c>
      <c r="J114" s="716">
        <v>0</v>
      </c>
      <c r="K114" s="716">
        <v>0</v>
      </c>
      <c r="L114" s="716">
        <v>0</v>
      </c>
      <c r="M114" s="15"/>
      <c r="N114" s="15"/>
    </row>
    <row r="115" spans="1:14" x14ac:dyDescent="0.25">
      <c r="A115" s="242">
        <v>101</v>
      </c>
      <c r="B115" s="264" t="s">
        <v>240</v>
      </c>
      <c r="C115" s="50" t="s">
        <v>241</v>
      </c>
      <c r="D115" s="715">
        <f t="shared" si="11"/>
        <v>0</v>
      </c>
      <c r="E115" s="715">
        <f t="shared" si="8"/>
        <v>0</v>
      </c>
      <c r="F115" s="715">
        <v>0</v>
      </c>
      <c r="G115" s="715">
        <v>0</v>
      </c>
      <c r="H115" s="715">
        <v>0</v>
      </c>
      <c r="I115" s="715">
        <f t="shared" si="9"/>
        <v>0</v>
      </c>
      <c r="J115" s="716">
        <v>0</v>
      </c>
      <c r="K115" s="716">
        <v>0</v>
      </c>
      <c r="L115" s="716">
        <v>0</v>
      </c>
      <c r="M115" s="15"/>
      <c r="N115" s="15"/>
    </row>
    <row r="116" spans="1:14" x14ac:dyDescent="0.25">
      <c r="A116" s="242">
        <v>102</v>
      </c>
      <c r="B116" s="264" t="s">
        <v>242</v>
      </c>
      <c r="C116" s="50" t="s">
        <v>243</v>
      </c>
      <c r="D116" s="715">
        <f t="shared" si="11"/>
        <v>0</v>
      </c>
      <c r="E116" s="715">
        <f t="shared" si="8"/>
        <v>0</v>
      </c>
      <c r="F116" s="715">
        <v>0</v>
      </c>
      <c r="G116" s="715">
        <v>0</v>
      </c>
      <c r="H116" s="715">
        <v>0</v>
      </c>
      <c r="I116" s="715">
        <f t="shared" si="9"/>
        <v>0</v>
      </c>
      <c r="J116" s="716">
        <v>0</v>
      </c>
      <c r="K116" s="716">
        <v>0</v>
      </c>
      <c r="L116" s="716">
        <v>0</v>
      </c>
      <c r="M116" s="15"/>
      <c r="N116" s="15"/>
    </row>
    <row r="117" spans="1:14" x14ac:dyDescent="0.25">
      <c r="A117" s="242">
        <v>103</v>
      </c>
      <c r="B117" s="264" t="s">
        <v>244</v>
      </c>
      <c r="C117" s="50" t="s">
        <v>245</v>
      </c>
      <c r="D117" s="715">
        <f t="shared" si="11"/>
        <v>0</v>
      </c>
      <c r="E117" s="715">
        <f t="shared" si="8"/>
        <v>0</v>
      </c>
      <c r="F117" s="715">
        <v>0</v>
      </c>
      <c r="G117" s="715">
        <v>0</v>
      </c>
      <c r="H117" s="715">
        <v>0</v>
      </c>
      <c r="I117" s="715">
        <f t="shared" si="9"/>
        <v>0</v>
      </c>
      <c r="J117" s="716">
        <v>0</v>
      </c>
      <c r="K117" s="716">
        <v>0</v>
      </c>
      <c r="L117" s="716">
        <v>0</v>
      </c>
      <c r="M117" s="15"/>
      <c r="N117" s="15"/>
    </row>
    <row r="118" spans="1:14" x14ac:dyDescent="0.25">
      <c r="A118" s="242">
        <v>104</v>
      </c>
      <c r="B118" s="248" t="s">
        <v>246</v>
      </c>
      <c r="C118" s="247" t="s">
        <v>247</v>
      </c>
      <c r="D118" s="715">
        <f t="shared" si="11"/>
        <v>0</v>
      </c>
      <c r="E118" s="715">
        <f t="shared" si="8"/>
        <v>0</v>
      </c>
      <c r="F118" s="715">
        <v>0</v>
      </c>
      <c r="G118" s="715">
        <v>0</v>
      </c>
      <c r="H118" s="715">
        <v>0</v>
      </c>
      <c r="I118" s="715">
        <f t="shared" si="9"/>
        <v>0</v>
      </c>
      <c r="J118" s="716">
        <v>0</v>
      </c>
      <c r="K118" s="716">
        <v>0</v>
      </c>
      <c r="L118" s="716">
        <v>0</v>
      </c>
      <c r="M118" s="15"/>
      <c r="N118" s="15"/>
    </row>
    <row r="119" spans="1:14" x14ac:dyDescent="0.25">
      <c r="A119" s="242">
        <v>105</v>
      </c>
      <c r="B119" s="52" t="s">
        <v>248</v>
      </c>
      <c r="C119" s="50" t="s">
        <v>249</v>
      </c>
      <c r="D119" s="715">
        <f t="shared" si="11"/>
        <v>0</v>
      </c>
      <c r="E119" s="715">
        <f t="shared" si="8"/>
        <v>0</v>
      </c>
      <c r="F119" s="715">
        <v>0</v>
      </c>
      <c r="G119" s="715">
        <v>0</v>
      </c>
      <c r="H119" s="715">
        <v>0</v>
      </c>
      <c r="I119" s="715">
        <f t="shared" si="9"/>
        <v>0</v>
      </c>
      <c r="J119" s="716">
        <v>0</v>
      </c>
      <c r="K119" s="716">
        <v>0</v>
      </c>
      <c r="L119" s="716">
        <v>0</v>
      </c>
      <c r="M119" s="15"/>
      <c r="N119" s="15"/>
    </row>
    <row r="120" spans="1:14" x14ac:dyDescent="0.25">
      <c r="A120" s="242">
        <v>106</v>
      </c>
      <c r="B120" s="264" t="s">
        <v>250</v>
      </c>
      <c r="C120" s="50" t="s">
        <v>251</v>
      </c>
      <c r="D120" s="715">
        <f t="shared" si="11"/>
        <v>0</v>
      </c>
      <c r="E120" s="715">
        <f t="shared" si="8"/>
        <v>0</v>
      </c>
      <c r="F120" s="715">
        <v>0</v>
      </c>
      <c r="G120" s="715">
        <v>0</v>
      </c>
      <c r="H120" s="715">
        <v>0</v>
      </c>
      <c r="I120" s="715">
        <f t="shared" si="9"/>
        <v>0</v>
      </c>
      <c r="J120" s="716">
        <v>0</v>
      </c>
      <c r="K120" s="716">
        <v>0</v>
      </c>
      <c r="L120" s="716">
        <v>0</v>
      </c>
      <c r="M120" s="15"/>
      <c r="N120" s="15"/>
    </row>
    <row r="121" spans="1:14" x14ac:dyDescent="0.25">
      <c r="A121" s="242">
        <v>107</v>
      </c>
      <c r="B121" s="49" t="s">
        <v>252</v>
      </c>
      <c r="C121" s="60" t="s">
        <v>253</v>
      </c>
      <c r="D121" s="715">
        <f t="shared" si="11"/>
        <v>0</v>
      </c>
      <c r="E121" s="715">
        <f t="shared" si="8"/>
        <v>0</v>
      </c>
      <c r="F121" s="715">
        <v>0</v>
      </c>
      <c r="G121" s="715">
        <v>0</v>
      </c>
      <c r="H121" s="715">
        <v>0</v>
      </c>
      <c r="I121" s="715">
        <f t="shared" si="9"/>
        <v>0</v>
      </c>
      <c r="J121" s="716">
        <v>0</v>
      </c>
      <c r="K121" s="716">
        <v>0</v>
      </c>
      <c r="L121" s="716">
        <v>0</v>
      </c>
      <c r="M121" s="15"/>
      <c r="N121" s="15"/>
    </row>
    <row r="122" spans="1:14" x14ac:dyDescent="0.25">
      <c r="A122" s="242">
        <v>108</v>
      </c>
      <c r="B122" s="264" t="s">
        <v>254</v>
      </c>
      <c r="C122" s="50" t="s">
        <v>255</v>
      </c>
      <c r="D122" s="715">
        <f t="shared" si="11"/>
        <v>0</v>
      </c>
      <c r="E122" s="715">
        <f t="shared" si="8"/>
        <v>0</v>
      </c>
      <c r="F122" s="715">
        <v>0</v>
      </c>
      <c r="G122" s="715">
        <v>0</v>
      </c>
      <c r="H122" s="715">
        <v>0</v>
      </c>
      <c r="I122" s="715">
        <f t="shared" si="9"/>
        <v>0</v>
      </c>
      <c r="J122" s="716">
        <v>0</v>
      </c>
      <c r="K122" s="716">
        <v>0</v>
      </c>
      <c r="L122" s="716">
        <v>0</v>
      </c>
      <c r="M122" s="15"/>
      <c r="N122" s="15"/>
    </row>
    <row r="123" spans="1:14" x14ac:dyDescent="0.25">
      <c r="A123" s="242">
        <v>109</v>
      </c>
      <c r="B123" s="52" t="s">
        <v>256</v>
      </c>
      <c r="C123" s="50" t="s">
        <v>257</v>
      </c>
      <c r="D123" s="715">
        <f t="shared" si="11"/>
        <v>0</v>
      </c>
      <c r="E123" s="715">
        <f t="shared" si="8"/>
        <v>0</v>
      </c>
      <c r="F123" s="715">
        <v>0</v>
      </c>
      <c r="G123" s="715">
        <v>0</v>
      </c>
      <c r="H123" s="715">
        <v>0</v>
      </c>
      <c r="I123" s="715">
        <f t="shared" si="9"/>
        <v>0</v>
      </c>
      <c r="J123" s="716">
        <v>0</v>
      </c>
      <c r="K123" s="716">
        <v>0</v>
      </c>
      <c r="L123" s="716">
        <v>0</v>
      </c>
      <c r="M123" s="15"/>
      <c r="N123" s="15"/>
    </row>
    <row r="124" spans="1:14" x14ac:dyDescent="0.25">
      <c r="A124" s="242">
        <v>110</v>
      </c>
      <c r="B124" s="49" t="s">
        <v>258</v>
      </c>
      <c r="C124" s="50" t="s">
        <v>259</v>
      </c>
      <c r="D124" s="715">
        <f t="shared" si="11"/>
        <v>0</v>
      </c>
      <c r="E124" s="715">
        <f t="shared" si="8"/>
        <v>0</v>
      </c>
      <c r="F124" s="715">
        <v>0</v>
      </c>
      <c r="G124" s="715">
        <v>0</v>
      </c>
      <c r="H124" s="715">
        <v>0</v>
      </c>
      <c r="I124" s="715">
        <f t="shared" si="9"/>
        <v>0</v>
      </c>
      <c r="J124" s="716">
        <v>0</v>
      </c>
      <c r="K124" s="716">
        <v>0</v>
      </c>
      <c r="L124" s="716">
        <v>0</v>
      </c>
      <c r="M124" s="15"/>
      <c r="N124" s="15"/>
    </row>
    <row r="125" spans="1:14" x14ac:dyDescent="0.25">
      <c r="A125" s="242">
        <v>111</v>
      </c>
      <c r="B125" s="52" t="s">
        <v>551</v>
      </c>
      <c r="C125" s="50" t="s">
        <v>552</v>
      </c>
      <c r="D125" s="715">
        <f t="shared" ref="D125:D149" si="12">E125+I125</f>
        <v>0</v>
      </c>
      <c r="E125" s="715">
        <f t="shared" si="8"/>
        <v>0</v>
      </c>
      <c r="F125" s="715">
        <v>0</v>
      </c>
      <c r="G125" s="715">
        <v>0</v>
      </c>
      <c r="H125" s="715">
        <v>0</v>
      </c>
      <c r="I125" s="715">
        <f t="shared" si="9"/>
        <v>0</v>
      </c>
      <c r="J125" s="716">
        <v>0</v>
      </c>
      <c r="K125" s="716">
        <v>0</v>
      </c>
      <c r="L125" s="716">
        <v>0</v>
      </c>
      <c r="M125" s="15"/>
      <c r="N125" s="15"/>
    </row>
    <row r="126" spans="1:14" x14ac:dyDescent="0.25">
      <c r="A126" s="242">
        <v>112</v>
      </c>
      <c r="B126" s="52" t="s">
        <v>260</v>
      </c>
      <c r="C126" s="50" t="s">
        <v>261</v>
      </c>
      <c r="D126" s="715">
        <f t="shared" si="12"/>
        <v>0</v>
      </c>
      <c r="E126" s="715">
        <f t="shared" si="8"/>
        <v>0</v>
      </c>
      <c r="F126" s="715">
        <v>0</v>
      </c>
      <c r="G126" s="715">
        <v>0</v>
      </c>
      <c r="H126" s="715">
        <v>0</v>
      </c>
      <c r="I126" s="715">
        <f t="shared" si="9"/>
        <v>0</v>
      </c>
      <c r="J126" s="716">
        <v>0</v>
      </c>
      <c r="K126" s="716">
        <v>0</v>
      </c>
      <c r="L126" s="716">
        <v>0</v>
      </c>
      <c r="M126" s="15"/>
      <c r="N126" s="15"/>
    </row>
    <row r="127" spans="1:14" x14ac:dyDescent="0.25">
      <c r="A127" s="242">
        <v>113</v>
      </c>
      <c r="B127" s="264" t="s">
        <v>262</v>
      </c>
      <c r="C127" s="50" t="s">
        <v>263</v>
      </c>
      <c r="D127" s="715">
        <f t="shared" si="12"/>
        <v>0</v>
      </c>
      <c r="E127" s="715">
        <f t="shared" si="8"/>
        <v>0</v>
      </c>
      <c r="F127" s="715">
        <v>0</v>
      </c>
      <c r="G127" s="715">
        <v>0</v>
      </c>
      <c r="H127" s="715">
        <v>0</v>
      </c>
      <c r="I127" s="715">
        <f t="shared" si="9"/>
        <v>0</v>
      </c>
      <c r="J127" s="716">
        <v>0</v>
      </c>
      <c r="K127" s="716">
        <v>0</v>
      </c>
      <c r="L127" s="716">
        <v>0</v>
      </c>
      <c r="M127" s="15"/>
      <c r="N127" s="15"/>
    </row>
    <row r="128" spans="1:14" x14ac:dyDescent="0.25">
      <c r="A128" s="242">
        <v>114</v>
      </c>
      <c r="B128" s="264" t="s">
        <v>264</v>
      </c>
      <c r="C128" s="54" t="s">
        <v>265</v>
      </c>
      <c r="D128" s="715">
        <f t="shared" si="12"/>
        <v>0</v>
      </c>
      <c r="E128" s="715">
        <f t="shared" si="8"/>
        <v>0</v>
      </c>
      <c r="F128" s="715">
        <v>0</v>
      </c>
      <c r="G128" s="715">
        <v>0</v>
      </c>
      <c r="H128" s="715">
        <v>0</v>
      </c>
      <c r="I128" s="715">
        <f t="shared" si="9"/>
        <v>0</v>
      </c>
      <c r="J128" s="716">
        <v>0</v>
      </c>
      <c r="K128" s="716">
        <v>0</v>
      </c>
      <c r="L128" s="716">
        <v>0</v>
      </c>
      <c r="M128" s="15"/>
      <c r="N128" s="15"/>
    </row>
    <row r="129" spans="1:14" x14ac:dyDescent="0.25">
      <c r="A129" s="242">
        <v>115</v>
      </c>
      <c r="B129" s="264" t="s">
        <v>266</v>
      </c>
      <c r="C129" s="50" t="s">
        <v>267</v>
      </c>
      <c r="D129" s="715">
        <f t="shared" si="12"/>
        <v>20739</v>
      </c>
      <c r="E129" s="715">
        <f t="shared" si="8"/>
        <v>20739</v>
      </c>
      <c r="F129" s="715">
        <v>11118</v>
      </c>
      <c r="G129" s="715">
        <v>9611</v>
      </c>
      <c r="H129" s="715">
        <v>10</v>
      </c>
      <c r="I129" s="715">
        <f t="shared" si="9"/>
        <v>0</v>
      </c>
      <c r="J129" s="716">
        <v>0</v>
      </c>
      <c r="K129" s="716">
        <v>0</v>
      </c>
      <c r="L129" s="716">
        <v>0</v>
      </c>
      <c r="M129" s="15"/>
      <c r="N129" s="15"/>
    </row>
    <row r="130" spans="1:14" x14ac:dyDescent="0.25">
      <c r="A130" s="242">
        <v>116</v>
      </c>
      <c r="B130" s="264" t="s">
        <v>268</v>
      </c>
      <c r="C130" s="50" t="s">
        <v>269</v>
      </c>
      <c r="D130" s="715">
        <f t="shared" si="12"/>
        <v>0</v>
      </c>
      <c r="E130" s="715">
        <f t="shared" si="8"/>
        <v>0</v>
      </c>
      <c r="F130" s="715">
        <v>0</v>
      </c>
      <c r="G130" s="715">
        <v>0</v>
      </c>
      <c r="H130" s="715">
        <v>0</v>
      </c>
      <c r="I130" s="715">
        <f t="shared" si="9"/>
        <v>0</v>
      </c>
      <c r="J130" s="716">
        <v>0</v>
      </c>
      <c r="K130" s="716">
        <v>0</v>
      </c>
      <c r="L130" s="716">
        <v>0</v>
      </c>
      <c r="M130" s="15"/>
      <c r="N130" s="15"/>
    </row>
    <row r="131" spans="1:14" x14ac:dyDescent="0.25">
      <c r="A131" s="242">
        <v>117</v>
      </c>
      <c r="B131" s="264" t="s">
        <v>270</v>
      </c>
      <c r="C131" s="50" t="s">
        <v>271</v>
      </c>
      <c r="D131" s="715">
        <f t="shared" si="12"/>
        <v>20</v>
      </c>
      <c r="E131" s="715">
        <f t="shared" si="8"/>
        <v>20</v>
      </c>
      <c r="F131" s="715">
        <v>0</v>
      </c>
      <c r="G131" s="715">
        <v>16</v>
      </c>
      <c r="H131" s="715">
        <v>4</v>
      </c>
      <c r="I131" s="715">
        <f t="shared" si="9"/>
        <v>0</v>
      </c>
      <c r="J131" s="716">
        <v>0</v>
      </c>
      <c r="K131" s="716">
        <v>0</v>
      </c>
      <c r="L131" s="716">
        <v>0</v>
      </c>
      <c r="M131" s="15"/>
      <c r="N131" s="15"/>
    </row>
    <row r="132" spans="1:14" x14ac:dyDescent="0.25">
      <c r="A132" s="242">
        <v>118</v>
      </c>
      <c r="B132" s="49" t="s">
        <v>272</v>
      </c>
      <c r="C132" s="50" t="s">
        <v>273</v>
      </c>
      <c r="D132" s="715">
        <f t="shared" si="12"/>
        <v>0</v>
      </c>
      <c r="E132" s="715">
        <f t="shared" si="8"/>
        <v>0</v>
      </c>
      <c r="F132" s="715">
        <v>0</v>
      </c>
      <c r="G132" s="715">
        <v>0</v>
      </c>
      <c r="H132" s="715">
        <v>0</v>
      </c>
      <c r="I132" s="715">
        <f t="shared" si="9"/>
        <v>0</v>
      </c>
      <c r="J132" s="716">
        <v>0</v>
      </c>
      <c r="K132" s="716">
        <v>0</v>
      </c>
      <c r="L132" s="716">
        <v>0</v>
      </c>
      <c r="M132" s="15"/>
      <c r="N132" s="15"/>
    </row>
    <row r="133" spans="1:14" x14ac:dyDescent="0.25">
      <c r="A133" s="242">
        <v>119</v>
      </c>
      <c r="B133" s="49" t="s">
        <v>274</v>
      </c>
      <c r="C133" s="50" t="s">
        <v>275</v>
      </c>
      <c r="D133" s="715">
        <f t="shared" si="12"/>
        <v>0</v>
      </c>
      <c r="E133" s="715">
        <f t="shared" si="8"/>
        <v>0</v>
      </c>
      <c r="F133" s="715">
        <v>0</v>
      </c>
      <c r="G133" s="715">
        <v>0</v>
      </c>
      <c r="H133" s="715">
        <v>0</v>
      </c>
      <c r="I133" s="715">
        <f t="shared" si="9"/>
        <v>0</v>
      </c>
      <c r="J133" s="716">
        <v>0</v>
      </c>
      <c r="K133" s="716">
        <v>0</v>
      </c>
      <c r="L133" s="716">
        <v>0</v>
      </c>
      <c r="M133" s="15"/>
      <c r="N133" s="15"/>
    </row>
    <row r="134" spans="1:14" x14ac:dyDescent="0.25">
      <c r="A134" s="242">
        <v>120</v>
      </c>
      <c r="B134" s="49" t="s">
        <v>276</v>
      </c>
      <c r="C134" s="50" t="s">
        <v>277</v>
      </c>
      <c r="D134" s="715">
        <f t="shared" si="12"/>
        <v>0</v>
      </c>
      <c r="E134" s="715">
        <f t="shared" si="8"/>
        <v>0</v>
      </c>
      <c r="F134" s="715">
        <v>0</v>
      </c>
      <c r="G134" s="715">
        <v>0</v>
      </c>
      <c r="H134" s="715">
        <v>0</v>
      </c>
      <c r="I134" s="715">
        <f t="shared" si="9"/>
        <v>0</v>
      </c>
      <c r="J134" s="716">
        <v>0</v>
      </c>
      <c r="K134" s="716">
        <v>0</v>
      </c>
      <c r="L134" s="716">
        <v>0</v>
      </c>
      <c r="M134" s="15"/>
      <c r="N134" s="15"/>
    </row>
    <row r="135" spans="1:14" x14ac:dyDescent="0.25">
      <c r="A135" s="242">
        <v>121</v>
      </c>
      <c r="B135" s="264" t="s">
        <v>278</v>
      </c>
      <c r="C135" s="50" t="s">
        <v>279</v>
      </c>
      <c r="D135" s="715">
        <f t="shared" si="12"/>
        <v>0</v>
      </c>
      <c r="E135" s="715">
        <f t="shared" si="8"/>
        <v>0</v>
      </c>
      <c r="F135" s="715">
        <v>0</v>
      </c>
      <c r="G135" s="715">
        <v>0</v>
      </c>
      <c r="H135" s="715">
        <v>0</v>
      </c>
      <c r="I135" s="715">
        <f t="shared" si="9"/>
        <v>0</v>
      </c>
      <c r="J135" s="716">
        <v>0</v>
      </c>
      <c r="K135" s="716">
        <v>0</v>
      </c>
      <c r="L135" s="716">
        <v>0</v>
      </c>
      <c r="M135" s="15"/>
      <c r="N135" s="15"/>
    </row>
    <row r="136" spans="1:14" x14ac:dyDescent="0.25">
      <c r="A136" s="242">
        <v>122</v>
      </c>
      <c r="B136" s="264" t="s">
        <v>280</v>
      </c>
      <c r="C136" s="50" t="s">
        <v>281</v>
      </c>
      <c r="D136" s="715">
        <f t="shared" si="12"/>
        <v>0</v>
      </c>
      <c r="E136" s="715">
        <f t="shared" si="8"/>
        <v>0</v>
      </c>
      <c r="F136" s="715">
        <v>0</v>
      </c>
      <c r="G136" s="715">
        <v>0</v>
      </c>
      <c r="H136" s="715">
        <v>0</v>
      </c>
      <c r="I136" s="715">
        <f t="shared" si="9"/>
        <v>0</v>
      </c>
      <c r="J136" s="716">
        <v>0</v>
      </c>
      <c r="K136" s="716">
        <v>0</v>
      </c>
      <c r="L136" s="716">
        <v>0</v>
      </c>
      <c r="M136" s="15"/>
      <c r="N136" s="15"/>
    </row>
    <row r="137" spans="1:14" x14ac:dyDescent="0.25">
      <c r="A137" s="242">
        <v>123</v>
      </c>
      <c r="B137" s="264" t="s">
        <v>282</v>
      </c>
      <c r="C137" s="50" t="s">
        <v>783</v>
      </c>
      <c r="D137" s="715">
        <f t="shared" si="12"/>
        <v>0</v>
      </c>
      <c r="E137" s="715">
        <f t="shared" si="8"/>
        <v>0</v>
      </c>
      <c r="F137" s="715">
        <v>0</v>
      </c>
      <c r="G137" s="715">
        <v>0</v>
      </c>
      <c r="H137" s="715">
        <v>0</v>
      </c>
      <c r="I137" s="715">
        <f t="shared" si="9"/>
        <v>0</v>
      </c>
      <c r="J137" s="716">
        <v>0</v>
      </c>
      <c r="K137" s="716">
        <v>0</v>
      </c>
      <c r="L137" s="716">
        <v>0</v>
      </c>
      <c r="M137" s="15"/>
      <c r="N137" s="15"/>
    </row>
    <row r="138" spans="1:14" x14ac:dyDescent="0.25">
      <c r="A138" s="242">
        <v>124</v>
      </c>
      <c r="B138" s="49" t="s">
        <v>283</v>
      </c>
      <c r="C138" s="50" t="s">
        <v>284</v>
      </c>
      <c r="D138" s="715">
        <f t="shared" si="12"/>
        <v>13322</v>
      </c>
      <c r="E138" s="715">
        <f t="shared" si="8"/>
        <v>12894</v>
      </c>
      <c r="F138" s="715">
        <v>6695</v>
      </c>
      <c r="G138" s="715">
        <v>6199</v>
      </c>
      <c r="H138" s="715">
        <v>0</v>
      </c>
      <c r="I138" s="715">
        <f t="shared" si="9"/>
        <v>428</v>
      </c>
      <c r="J138" s="716">
        <v>112</v>
      </c>
      <c r="K138" s="716">
        <v>316</v>
      </c>
      <c r="L138" s="716">
        <v>0</v>
      </c>
      <c r="M138" s="15"/>
      <c r="N138" s="15"/>
    </row>
    <row r="139" spans="1:14" x14ac:dyDescent="0.25">
      <c r="A139" s="242">
        <v>125</v>
      </c>
      <c r="B139" s="52" t="s">
        <v>285</v>
      </c>
      <c r="C139" s="50" t="s">
        <v>737</v>
      </c>
      <c r="D139" s="715">
        <f t="shared" si="12"/>
        <v>16348</v>
      </c>
      <c r="E139" s="715">
        <f t="shared" si="8"/>
        <v>15860</v>
      </c>
      <c r="F139" s="715">
        <v>7245</v>
      </c>
      <c r="G139" s="715">
        <v>8615</v>
      </c>
      <c r="H139" s="715">
        <v>0</v>
      </c>
      <c r="I139" s="715">
        <f t="shared" si="9"/>
        <v>488</v>
      </c>
      <c r="J139" s="716">
        <v>139</v>
      </c>
      <c r="K139" s="716">
        <v>313</v>
      </c>
      <c r="L139" s="716">
        <v>36</v>
      </c>
      <c r="M139" s="15"/>
      <c r="N139" s="15"/>
    </row>
    <row r="140" spans="1:14" x14ac:dyDescent="0.25">
      <c r="A140" s="242">
        <v>126</v>
      </c>
      <c r="B140" s="264" t="s">
        <v>286</v>
      </c>
      <c r="C140" s="50" t="s">
        <v>287</v>
      </c>
      <c r="D140" s="715">
        <f t="shared" si="12"/>
        <v>0</v>
      </c>
      <c r="E140" s="715">
        <f t="shared" si="8"/>
        <v>0</v>
      </c>
      <c r="F140" s="715">
        <v>0</v>
      </c>
      <c r="G140" s="715">
        <v>0</v>
      </c>
      <c r="H140" s="715">
        <v>0</v>
      </c>
      <c r="I140" s="715">
        <f t="shared" si="9"/>
        <v>0</v>
      </c>
      <c r="J140" s="716">
        <v>0</v>
      </c>
      <c r="K140" s="716">
        <v>0</v>
      </c>
      <c r="L140" s="716">
        <v>0</v>
      </c>
      <c r="M140" s="15"/>
      <c r="N140" s="15"/>
    </row>
    <row r="141" spans="1:14" x14ac:dyDescent="0.25">
      <c r="A141" s="242">
        <v>127</v>
      </c>
      <c r="B141" s="49" t="s">
        <v>288</v>
      </c>
      <c r="C141" s="50" t="s">
        <v>289</v>
      </c>
      <c r="D141" s="715">
        <f t="shared" si="12"/>
        <v>0</v>
      </c>
      <c r="E141" s="715">
        <f t="shared" ref="E141:E149" si="13">F141+G141+H141</f>
        <v>0</v>
      </c>
      <c r="F141" s="715">
        <v>0</v>
      </c>
      <c r="G141" s="715">
        <v>0</v>
      </c>
      <c r="H141" s="715">
        <v>0</v>
      </c>
      <c r="I141" s="715">
        <f t="shared" si="9"/>
        <v>0</v>
      </c>
      <c r="J141" s="716">
        <v>0</v>
      </c>
      <c r="K141" s="716">
        <v>0</v>
      </c>
      <c r="L141" s="716">
        <v>0</v>
      </c>
      <c r="M141" s="15"/>
      <c r="N141" s="15"/>
    </row>
    <row r="142" spans="1:14" ht="12.75" x14ac:dyDescent="0.25">
      <c r="A142" s="242">
        <v>128</v>
      </c>
      <c r="B142" s="455" t="s">
        <v>290</v>
      </c>
      <c r="C142" s="707" t="s">
        <v>291</v>
      </c>
      <c r="D142" s="715">
        <f t="shared" si="12"/>
        <v>0</v>
      </c>
      <c r="E142" s="715">
        <f t="shared" si="13"/>
        <v>0</v>
      </c>
      <c r="F142" s="715">
        <v>0</v>
      </c>
      <c r="G142" s="715">
        <v>0</v>
      </c>
      <c r="H142" s="715">
        <v>0</v>
      </c>
      <c r="I142" s="715">
        <f t="shared" si="9"/>
        <v>0</v>
      </c>
      <c r="J142" s="716">
        <v>0</v>
      </c>
      <c r="K142" s="716">
        <v>0</v>
      </c>
      <c r="L142" s="716">
        <v>0</v>
      </c>
      <c r="M142" s="15"/>
      <c r="N142" s="15"/>
    </row>
    <row r="143" spans="1:14" ht="12.75" x14ac:dyDescent="0.25">
      <c r="A143" s="242">
        <v>129</v>
      </c>
      <c r="B143" s="708" t="s">
        <v>292</v>
      </c>
      <c r="C143" s="709" t="s">
        <v>293</v>
      </c>
      <c r="D143" s="715">
        <f t="shared" si="12"/>
        <v>0</v>
      </c>
      <c r="E143" s="715">
        <f t="shared" si="13"/>
        <v>0</v>
      </c>
      <c r="F143" s="715">
        <v>0</v>
      </c>
      <c r="G143" s="715">
        <v>0</v>
      </c>
      <c r="H143" s="715">
        <v>0</v>
      </c>
      <c r="I143" s="715">
        <f t="shared" si="9"/>
        <v>0</v>
      </c>
      <c r="J143" s="716">
        <v>0</v>
      </c>
      <c r="K143" s="716">
        <v>0</v>
      </c>
      <c r="L143" s="716">
        <v>0</v>
      </c>
      <c r="M143" s="15"/>
      <c r="N143" s="15"/>
    </row>
    <row r="144" spans="1:14" ht="12.75" x14ac:dyDescent="0.25">
      <c r="A144" s="242">
        <v>130</v>
      </c>
      <c r="B144" s="710" t="s">
        <v>294</v>
      </c>
      <c r="C144" s="711" t="s">
        <v>295</v>
      </c>
      <c r="D144" s="715">
        <f t="shared" si="12"/>
        <v>0</v>
      </c>
      <c r="E144" s="715">
        <f t="shared" si="13"/>
        <v>0</v>
      </c>
      <c r="F144" s="715">
        <v>0</v>
      </c>
      <c r="G144" s="715">
        <v>0</v>
      </c>
      <c r="H144" s="715">
        <v>0</v>
      </c>
      <c r="I144" s="715">
        <f t="shared" ref="I144:I149" si="14">J144+K144+L144</f>
        <v>0</v>
      </c>
      <c r="J144" s="716">
        <v>0</v>
      </c>
      <c r="K144" s="716">
        <v>0</v>
      </c>
      <c r="L144" s="716">
        <v>0</v>
      </c>
      <c r="M144" s="15"/>
      <c r="N144" s="15"/>
    </row>
    <row r="145" spans="1:30" ht="12.75" x14ac:dyDescent="0.25">
      <c r="A145" s="242">
        <v>131</v>
      </c>
      <c r="B145" s="712" t="s">
        <v>296</v>
      </c>
      <c r="C145" s="713" t="s">
        <v>323</v>
      </c>
      <c r="D145" s="715">
        <f t="shared" si="12"/>
        <v>0</v>
      </c>
      <c r="E145" s="715">
        <f t="shared" si="13"/>
        <v>0</v>
      </c>
      <c r="F145" s="715">
        <v>0</v>
      </c>
      <c r="G145" s="715">
        <v>0</v>
      </c>
      <c r="H145" s="715">
        <v>0</v>
      </c>
      <c r="I145" s="715">
        <f t="shared" si="14"/>
        <v>0</v>
      </c>
      <c r="J145" s="716">
        <v>0</v>
      </c>
      <c r="K145" s="716">
        <v>0</v>
      </c>
      <c r="L145" s="716">
        <v>0</v>
      </c>
      <c r="M145" s="15"/>
      <c r="N145" s="15"/>
    </row>
    <row r="146" spans="1:30" x14ac:dyDescent="0.25">
      <c r="A146" s="242">
        <v>132</v>
      </c>
      <c r="B146" s="242" t="s">
        <v>298</v>
      </c>
      <c r="C146" s="251" t="s">
        <v>299</v>
      </c>
      <c r="D146" s="715">
        <f t="shared" si="12"/>
        <v>0</v>
      </c>
      <c r="E146" s="715">
        <f t="shared" si="13"/>
        <v>0</v>
      </c>
      <c r="F146" s="715">
        <v>0</v>
      </c>
      <c r="G146" s="715">
        <v>0</v>
      </c>
      <c r="H146" s="715">
        <v>0</v>
      </c>
      <c r="I146" s="715">
        <f t="shared" si="14"/>
        <v>0</v>
      </c>
      <c r="J146" s="716">
        <v>0</v>
      </c>
      <c r="K146" s="716">
        <v>0</v>
      </c>
      <c r="L146" s="716">
        <v>0</v>
      </c>
      <c r="M146" s="15"/>
      <c r="N146" s="15"/>
    </row>
    <row r="147" spans="1:30" x14ac:dyDescent="0.25">
      <c r="A147" s="242">
        <v>133</v>
      </c>
      <c r="B147" s="252" t="s">
        <v>300</v>
      </c>
      <c r="C147" s="251" t="s">
        <v>301</v>
      </c>
      <c r="D147" s="715">
        <f t="shared" si="12"/>
        <v>0</v>
      </c>
      <c r="E147" s="715">
        <f t="shared" si="13"/>
        <v>0</v>
      </c>
      <c r="F147" s="715">
        <v>0</v>
      </c>
      <c r="G147" s="715">
        <v>0</v>
      </c>
      <c r="H147" s="715">
        <v>0</v>
      </c>
      <c r="I147" s="715">
        <f t="shared" si="14"/>
        <v>0</v>
      </c>
      <c r="J147" s="716">
        <v>0</v>
      </c>
      <c r="K147" s="716">
        <v>0</v>
      </c>
      <c r="L147" s="716">
        <v>0</v>
      </c>
      <c r="M147" s="15"/>
      <c r="N147" s="15"/>
    </row>
    <row r="148" spans="1:30" x14ac:dyDescent="0.25">
      <c r="A148" s="242">
        <v>134</v>
      </c>
      <c r="B148" s="252" t="s">
        <v>302</v>
      </c>
      <c r="C148" s="251" t="s">
        <v>303</v>
      </c>
      <c r="D148" s="715">
        <f t="shared" si="12"/>
        <v>0</v>
      </c>
      <c r="E148" s="715">
        <f t="shared" si="13"/>
        <v>0</v>
      </c>
      <c r="F148" s="715">
        <v>0</v>
      </c>
      <c r="G148" s="715">
        <v>0</v>
      </c>
      <c r="H148" s="715">
        <v>0</v>
      </c>
      <c r="I148" s="715">
        <f t="shared" si="14"/>
        <v>0</v>
      </c>
      <c r="J148" s="716">
        <v>0</v>
      </c>
      <c r="K148" s="716">
        <v>0</v>
      </c>
      <c r="L148" s="716">
        <v>0</v>
      </c>
      <c r="M148" s="15"/>
      <c r="N148" s="15"/>
    </row>
    <row r="149" spans="1:30" x14ac:dyDescent="0.25">
      <c r="A149" s="242">
        <v>135</v>
      </c>
      <c r="B149" s="252" t="s">
        <v>304</v>
      </c>
      <c r="C149" s="251" t="s">
        <v>305</v>
      </c>
      <c r="D149" s="715">
        <f t="shared" si="12"/>
        <v>0</v>
      </c>
      <c r="E149" s="715">
        <f t="shared" si="13"/>
        <v>0</v>
      </c>
      <c r="F149" s="715">
        <v>0</v>
      </c>
      <c r="G149" s="715">
        <v>0</v>
      </c>
      <c r="H149" s="715">
        <v>0</v>
      </c>
      <c r="I149" s="715">
        <f t="shared" si="14"/>
        <v>0</v>
      </c>
      <c r="J149" s="716">
        <v>0</v>
      </c>
      <c r="K149" s="716">
        <v>0</v>
      </c>
      <c r="L149" s="716">
        <v>0</v>
      </c>
      <c r="M149" s="15"/>
      <c r="N149" s="15"/>
    </row>
    <row r="150" spans="1:30" s="15" customFormat="1" x14ac:dyDescent="0.25">
      <c r="A150" s="714"/>
      <c r="B150" s="714"/>
      <c r="C150" s="2"/>
      <c r="D150" s="2"/>
      <c r="E150" s="2"/>
      <c r="F150" s="2"/>
      <c r="G150" s="2"/>
      <c r="H150" s="2"/>
      <c r="I150" s="2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</row>
    <row r="151" spans="1:30" s="15" customFormat="1" x14ac:dyDescent="0.25">
      <c r="A151" s="714"/>
      <c r="B151" s="714"/>
      <c r="C151" s="2"/>
      <c r="D151" s="2"/>
      <c r="E151" s="2"/>
      <c r="F151" s="2"/>
      <c r="G151" s="2"/>
      <c r="H151" s="2"/>
      <c r="I151" s="2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</row>
    <row r="152" spans="1:30" s="15" customFormat="1" x14ac:dyDescent="0.25">
      <c r="A152" s="714"/>
      <c r="B152" s="714"/>
      <c r="C152" s="2"/>
      <c r="D152" s="2"/>
      <c r="E152" s="2"/>
      <c r="F152" s="2"/>
      <c r="G152" s="2"/>
      <c r="H152" s="2"/>
      <c r="I152" s="2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</row>
  </sheetData>
  <mergeCells count="18">
    <mergeCell ref="J6:J7"/>
    <mergeCell ref="K6:K7"/>
    <mergeCell ref="L6:L7"/>
    <mergeCell ref="A8:C8"/>
    <mergeCell ref="A1:L3"/>
    <mergeCell ref="A4:A7"/>
    <mergeCell ref="B4:B7"/>
    <mergeCell ref="C4:C7"/>
    <mergeCell ref="D4:D7"/>
    <mergeCell ref="E4:L4"/>
    <mergeCell ref="E5:H5"/>
    <mergeCell ref="I5:L5"/>
    <mergeCell ref="E6:E7"/>
    <mergeCell ref="A11:C11"/>
    <mergeCell ref="B89:B92"/>
    <mergeCell ref="A89:A92"/>
    <mergeCell ref="H6:H7"/>
    <mergeCell ref="I6:I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7"/>
  <sheetViews>
    <sheetView topLeftCell="A2" zoomScale="98" zoomScaleNormal="98" workbookViewId="0">
      <pane xSplit="3" ySplit="8" topLeftCell="D10" activePane="bottomRight" state="frozen"/>
      <selection activeCell="A2" sqref="A2"/>
      <selection pane="topRight" activeCell="D2" sqref="D2"/>
      <selection pane="bottomLeft" activeCell="A14" sqref="A14"/>
      <selection pane="bottomRight" activeCell="D7" sqref="D7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8" ht="48" customHeight="1" x14ac:dyDescent="0.3">
      <c r="A2" s="1170" t="s">
        <v>555</v>
      </c>
      <c r="B2" s="1170"/>
      <c r="C2" s="1170"/>
      <c r="D2" s="1170"/>
      <c r="E2" s="1170"/>
      <c r="F2" s="1170"/>
    </row>
    <row r="3" spans="1:8" ht="12" customHeight="1" x14ac:dyDescent="0.25">
      <c r="A3" s="270"/>
      <c r="B3" s="270"/>
      <c r="C3" s="270"/>
      <c r="D3" s="270"/>
      <c r="E3" s="270"/>
      <c r="F3" s="270"/>
    </row>
    <row r="4" spans="1:8" s="10" customFormat="1" ht="12" customHeight="1" x14ac:dyDescent="0.25">
      <c r="A4" s="886" t="s">
        <v>0</v>
      </c>
      <c r="B4" s="886" t="s">
        <v>1</v>
      </c>
      <c r="C4" s="887" t="s">
        <v>2</v>
      </c>
      <c r="D4" s="1171" t="s">
        <v>547</v>
      </c>
      <c r="E4" s="1172" t="s">
        <v>548</v>
      </c>
      <c r="F4" s="1172"/>
      <c r="H4" s="5"/>
    </row>
    <row r="5" spans="1:8" ht="36" x14ac:dyDescent="0.25">
      <c r="A5" s="886"/>
      <c r="B5" s="886"/>
      <c r="C5" s="887"/>
      <c r="D5" s="1171"/>
      <c r="E5" s="268" t="s">
        <v>549</v>
      </c>
      <c r="F5" s="268" t="s">
        <v>550</v>
      </c>
    </row>
    <row r="6" spans="1:8" s="10" customFormat="1" x14ac:dyDescent="0.25">
      <c r="A6" s="1139" t="s">
        <v>13</v>
      </c>
      <c r="B6" s="1139"/>
      <c r="C6" s="1139"/>
      <c r="D6" s="269">
        <f>D9+D8+D7</f>
        <v>2071455</v>
      </c>
      <c r="E6" s="269">
        <f t="shared" ref="E6:F6" si="0">E9+E8+E7</f>
        <v>177233</v>
      </c>
      <c r="F6" s="269">
        <f t="shared" si="0"/>
        <v>26821</v>
      </c>
      <c r="H6" s="32"/>
    </row>
    <row r="7" spans="1:8" s="20" customFormat="1" x14ac:dyDescent="0.25">
      <c r="A7" s="16"/>
      <c r="B7" s="16"/>
      <c r="C7" s="17" t="s">
        <v>14</v>
      </c>
      <c r="D7" s="243">
        <v>10000</v>
      </c>
      <c r="E7" s="243"/>
      <c r="F7" s="243"/>
      <c r="H7" s="32"/>
    </row>
    <row r="8" spans="1:8" s="20" customFormat="1" x14ac:dyDescent="0.25">
      <c r="A8" s="16"/>
      <c r="B8" s="16"/>
      <c r="C8" s="17" t="s">
        <v>554</v>
      </c>
      <c r="D8" s="243"/>
      <c r="E8" s="243"/>
      <c r="F8" s="243"/>
      <c r="H8" s="32"/>
    </row>
    <row r="9" spans="1:8" s="10" customFormat="1" x14ac:dyDescent="0.25">
      <c r="A9" s="1139" t="s">
        <v>15</v>
      </c>
      <c r="B9" s="1139"/>
      <c r="C9" s="1139"/>
      <c r="D9" s="269">
        <f>SUM(D10:D147)-D90</f>
        <v>2061455</v>
      </c>
      <c r="E9" s="269">
        <f t="shared" ref="E9:F9" si="1">SUM(E10:E145)-E90</f>
        <v>177233</v>
      </c>
      <c r="F9" s="269">
        <f t="shared" si="1"/>
        <v>26821</v>
      </c>
      <c r="H9" s="32"/>
    </row>
    <row r="10" spans="1:8" s="27" customFormat="1" x14ac:dyDescent="0.25">
      <c r="A10" s="242">
        <v>1</v>
      </c>
      <c r="B10" s="49" t="s">
        <v>54</v>
      </c>
      <c r="C10" s="50" t="s">
        <v>55</v>
      </c>
      <c r="D10" s="243">
        <v>9021</v>
      </c>
      <c r="E10" s="243">
        <v>0</v>
      </c>
      <c r="F10" s="243">
        <v>0</v>
      </c>
      <c r="H10" s="32"/>
    </row>
    <row r="11" spans="1:8" s="27" customFormat="1" x14ac:dyDescent="0.25">
      <c r="A11" s="242">
        <v>2</v>
      </c>
      <c r="B11" s="52" t="s">
        <v>56</v>
      </c>
      <c r="C11" s="50" t="s">
        <v>57</v>
      </c>
      <c r="D11" s="243">
        <v>9084</v>
      </c>
      <c r="E11" s="243">
        <v>0</v>
      </c>
      <c r="F11" s="243">
        <v>0</v>
      </c>
      <c r="H11" s="32"/>
    </row>
    <row r="12" spans="1:8" s="245" customFormat="1" x14ac:dyDescent="0.25">
      <c r="A12" s="242">
        <v>3</v>
      </c>
      <c r="B12" s="264" t="s">
        <v>16</v>
      </c>
      <c r="C12" s="50" t="s">
        <v>17</v>
      </c>
      <c r="D12" s="243">
        <v>29285</v>
      </c>
      <c r="E12" s="243">
        <v>0</v>
      </c>
      <c r="F12" s="243">
        <v>0</v>
      </c>
      <c r="H12" s="32"/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243">
        <v>9498</v>
      </c>
      <c r="E13" s="243">
        <v>0</v>
      </c>
      <c r="F13" s="243">
        <v>0</v>
      </c>
      <c r="H13" s="32"/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243">
        <v>10855</v>
      </c>
      <c r="E14" s="243">
        <v>0</v>
      </c>
      <c r="F14" s="243">
        <v>0</v>
      </c>
      <c r="H14" s="32"/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243">
        <v>81986</v>
      </c>
      <c r="E15" s="243">
        <v>0</v>
      </c>
      <c r="F15" s="243">
        <v>0</v>
      </c>
      <c r="H15" s="32"/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243">
        <v>28539</v>
      </c>
      <c r="E16" s="243">
        <v>0</v>
      </c>
      <c r="F16" s="243">
        <v>0</v>
      </c>
      <c r="H16" s="32"/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243">
        <v>11433</v>
      </c>
      <c r="E17" s="243">
        <v>0</v>
      </c>
      <c r="F17" s="243">
        <v>0</v>
      </c>
      <c r="H17" s="32"/>
    </row>
    <row r="18" spans="1:8" s="27" customFormat="1" x14ac:dyDescent="0.25">
      <c r="A18" s="242">
        <v>9</v>
      </c>
      <c r="B18" s="264" t="s">
        <v>66</v>
      </c>
      <c r="C18" s="50" t="s">
        <v>67</v>
      </c>
      <c r="D18" s="243">
        <v>10091</v>
      </c>
      <c r="E18" s="243">
        <v>0</v>
      </c>
      <c r="F18" s="243">
        <v>0</v>
      </c>
      <c r="H18" s="32"/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243">
        <v>13813</v>
      </c>
      <c r="E19" s="243">
        <v>0</v>
      </c>
      <c r="F19" s="243">
        <v>0</v>
      </c>
      <c r="H19" s="32"/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243">
        <v>10285</v>
      </c>
      <c r="E20" s="243">
        <v>0</v>
      </c>
      <c r="F20" s="243">
        <v>0</v>
      </c>
      <c r="H20" s="32"/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243">
        <v>21260</v>
      </c>
      <c r="E21" s="243">
        <v>0</v>
      </c>
      <c r="F21" s="243">
        <v>0</v>
      </c>
      <c r="H21" s="32"/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v>0</v>
      </c>
      <c r="H22" s="32"/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243">
        <v>13652</v>
      </c>
      <c r="E23" s="243">
        <v>0</v>
      </c>
      <c r="F23" s="243">
        <v>0</v>
      </c>
      <c r="H23" s="32"/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243">
        <v>20803</v>
      </c>
      <c r="E24" s="243">
        <v>0</v>
      </c>
      <c r="F24" s="243">
        <v>0</v>
      </c>
      <c r="H24" s="32"/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243">
        <v>26425</v>
      </c>
      <c r="E25" s="243">
        <v>0</v>
      </c>
      <c r="F25" s="243">
        <v>0</v>
      </c>
      <c r="H25" s="32"/>
    </row>
    <row r="26" spans="1:8" s="245" customFormat="1" x14ac:dyDescent="0.25">
      <c r="A26" s="242">
        <v>17</v>
      </c>
      <c r="B26" s="264" t="s">
        <v>20</v>
      </c>
      <c r="C26" s="50" t="s">
        <v>21</v>
      </c>
      <c r="D26" s="243">
        <v>49248</v>
      </c>
      <c r="E26" s="243">
        <v>0</v>
      </c>
      <c r="F26" s="243">
        <v>0</v>
      </c>
      <c r="H26" s="32"/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243">
        <v>8624</v>
      </c>
      <c r="E27" s="243">
        <v>0</v>
      </c>
      <c r="F27" s="243">
        <v>0</v>
      </c>
      <c r="H27" s="32"/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243">
        <v>6614</v>
      </c>
      <c r="E28" s="243">
        <v>0</v>
      </c>
      <c r="F28" s="243">
        <v>0</v>
      </c>
      <c r="H28" s="32"/>
    </row>
    <row r="29" spans="1:8" x14ac:dyDescent="0.25">
      <c r="A29" s="242">
        <v>20</v>
      </c>
      <c r="B29" s="49" t="s">
        <v>86</v>
      </c>
      <c r="C29" s="50" t="s">
        <v>87</v>
      </c>
      <c r="D29" s="243">
        <v>34951</v>
      </c>
      <c r="E29" s="243">
        <v>0</v>
      </c>
      <c r="F29" s="243">
        <v>0</v>
      </c>
      <c r="H29" s="32"/>
    </row>
    <row r="30" spans="1:8" s="245" customFormat="1" x14ac:dyDescent="0.25">
      <c r="A30" s="242">
        <v>21</v>
      </c>
      <c r="B30" s="49" t="s">
        <v>22</v>
      </c>
      <c r="C30" s="50" t="s">
        <v>23</v>
      </c>
      <c r="D30" s="243">
        <v>30253</v>
      </c>
      <c r="E30" s="243">
        <v>0</v>
      </c>
      <c r="F30" s="243">
        <v>0</v>
      </c>
      <c r="H30" s="32"/>
    </row>
    <row r="31" spans="1:8" s="245" customFormat="1" x14ac:dyDescent="0.25">
      <c r="A31" s="242">
        <v>22</v>
      </c>
      <c r="B31" s="264" t="s">
        <v>24</v>
      </c>
      <c r="C31" s="50" t="s">
        <v>25</v>
      </c>
      <c r="D31" s="243">
        <v>6984</v>
      </c>
      <c r="E31" s="243">
        <v>0</v>
      </c>
      <c r="F31" s="243">
        <v>0</v>
      </c>
      <c r="H31" s="32"/>
    </row>
    <row r="32" spans="1:8" s="27" customFormat="1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v>0</v>
      </c>
      <c r="H32" s="32"/>
    </row>
    <row r="33" spans="1:8" s="27" customForma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v>0</v>
      </c>
      <c r="H33" s="32"/>
    </row>
    <row r="34" spans="1:8" s="27" customFormat="1" x14ac:dyDescent="0.25">
      <c r="A34" s="242">
        <v>25</v>
      </c>
      <c r="B34" s="49" t="s">
        <v>92</v>
      </c>
      <c r="C34" s="50" t="s">
        <v>93</v>
      </c>
      <c r="D34" s="243">
        <v>148761</v>
      </c>
      <c r="E34" s="243">
        <v>36279</v>
      </c>
      <c r="F34" s="243">
        <v>0</v>
      </c>
      <c r="H34" s="32"/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v>0</v>
      </c>
      <c r="H35" s="32"/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243">
        <v>11000</v>
      </c>
      <c r="E36" s="243">
        <v>0</v>
      </c>
      <c r="F36" s="243">
        <v>0</v>
      </c>
      <c r="H36" s="32"/>
    </row>
    <row r="37" spans="1:8" s="245" customFormat="1" x14ac:dyDescent="0.25">
      <c r="A37" s="242">
        <v>28</v>
      </c>
      <c r="B37" s="52" t="s">
        <v>26</v>
      </c>
      <c r="C37" s="50" t="s">
        <v>27</v>
      </c>
      <c r="D37" s="243">
        <v>40724</v>
      </c>
      <c r="E37" s="243">
        <v>0</v>
      </c>
      <c r="F37" s="243">
        <v>0</v>
      </c>
      <c r="H37" s="32"/>
    </row>
    <row r="38" spans="1:8" x14ac:dyDescent="0.25">
      <c r="A38" s="242">
        <v>29</v>
      </c>
      <c r="B38" s="49" t="s">
        <v>98</v>
      </c>
      <c r="C38" s="50" t="s">
        <v>99</v>
      </c>
      <c r="D38" s="243">
        <v>63646</v>
      </c>
      <c r="E38" s="243">
        <v>0</v>
      </c>
      <c r="F38" s="243">
        <v>0</v>
      </c>
      <c r="H38" s="32"/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243">
        <v>11776</v>
      </c>
      <c r="E39" s="243">
        <v>0</v>
      </c>
      <c r="F39" s="243">
        <v>0</v>
      </c>
      <c r="H39" s="32"/>
    </row>
    <row r="40" spans="1:8" s="27" customFormat="1" x14ac:dyDescent="0.25">
      <c r="A40" s="242">
        <v>31</v>
      </c>
      <c r="B40" s="264" t="s">
        <v>102</v>
      </c>
      <c r="C40" s="50" t="s">
        <v>103</v>
      </c>
      <c r="D40" s="243">
        <v>42260</v>
      </c>
      <c r="E40" s="243">
        <v>0</v>
      </c>
      <c r="F40" s="243">
        <v>0</v>
      </c>
      <c r="H40" s="32"/>
    </row>
    <row r="41" spans="1:8" s="27" customFormat="1" x14ac:dyDescent="0.25">
      <c r="A41" s="242">
        <v>32</v>
      </c>
      <c r="B41" s="52" t="s">
        <v>104</v>
      </c>
      <c r="C41" s="50" t="s">
        <v>105</v>
      </c>
      <c r="D41" s="243">
        <v>15636</v>
      </c>
      <c r="E41" s="243">
        <v>0</v>
      </c>
      <c r="F41" s="243">
        <v>0</v>
      </c>
      <c r="H41" s="32"/>
    </row>
    <row r="42" spans="1:8" x14ac:dyDescent="0.25">
      <c r="A42" s="242">
        <v>33</v>
      </c>
      <c r="B42" s="49" t="s">
        <v>106</v>
      </c>
      <c r="C42" s="50" t="s">
        <v>107</v>
      </c>
      <c r="D42" s="243">
        <v>41020</v>
      </c>
      <c r="E42" s="243">
        <v>0</v>
      </c>
      <c r="F42" s="243">
        <v>0</v>
      </c>
      <c r="H42" s="32"/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243">
        <v>13846</v>
      </c>
      <c r="E43" s="243">
        <v>0</v>
      </c>
      <c r="F43" s="243">
        <v>0</v>
      </c>
      <c r="H43" s="32"/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243">
        <v>8514</v>
      </c>
      <c r="E44" s="243">
        <v>0</v>
      </c>
      <c r="F44" s="243">
        <v>0</v>
      </c>
      <c r="H44" s="32"/>
    </row>
    <row r="45" spans="1:8" s="27" customFormat="1" x14ac:dyDescent="0.25">
      <c r="A45" s="242">
        <v>36</v>
      </c>
      <c r="B45" s="49" t="s">
        <v>112</v>
      </c>
      <c r="C45" s="50" t="s">
        <v>113</v>
      </c>
      <c r="D45" s="243">
        <v>15145</v>
      </c>
      <c r="E45" s="243">
        <v>0</v>
      </c>
      <c r="F45" s="243">
        <v>0</v>
      </c>
      <c r="H45" s="32"/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243">
        <v>6645</v>
      </c>
      <c r="E46" s="243">
        <v>0</v>
      </c>
      <c r="F46" s="243">
        <v>0</v>
      </c>
      <c r="H46" s="32"/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243">
        <v>5216</v>
      </c>
      <c r="E47" s="243">
        <v>0</v>
      </c>
      <c r="F47" s="243">
        <v>0</v>
      </c>
      <c r="H47" s="32"/>
    </row>
    <row r="48" spans="1:8" s="245" customFormat="1" x14ac:dyDescent="0.25">
      <c r="A48" s="242">
        <v>39</v>
      </c>
      <c r="B48" s="264" t="s">
        <v>28</v>
      </c>
      <c r="C48" s="50" t="s">
        <v>29</v>
      </c>
      <c r="D48" s="243">
        <v>55986</v>
      </c>
      <c r="E48" s="243">
        <v>0</v>
      </c>
      <c r="F48" s="243">
        <v>0</v>
      </c>
      <c r="H48" s="32"/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243">
        <v>12236</v>
      </c>
      <c r="E49" s="243">
        <v>0</v>
      </c>
      <c r="F49" s="243">
        <v>0</v>
      </c>
      <c r="H49" s="32"/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243">
        <v>43750</v>
      </c>
      <c r="E50" s="243">
        <v>0</v>
      </c>
      <c r="F50" s="243">
        <v>0</v>
      </c>
      <c r="H50" s="32"/>
    </row>
    <row r="51" spans="1:8" s="27" customFormat="1" x14ac:dyDescent="0.25">
      <c r="A51" s="242">
        <v>42</v>
      </c>
      <c r="B51" s="264" t="s">
        <v>122</v>
      </c>
      <c r="C51" s="50" t="s">
        <v>123</v>
      </c>
      <c r="D51" s="243">
        <v>9316</v>
      </c>
      <c r="E51" s="243">
        <v>0</v>
      </c>
      <c r="F51" s="243">
        <v>0</v>
      </c>
      <c r="H51" s="32"/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243">
        <v>12521</v>
      </c>
      <c r="E52" s="243">
        <v>0</v>
      </c>
      <c r="F52" s="243">
        <v>0</v>
      </c>
      <c r="H52" s="32"/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243">
        <v>15027</v>
      </c>
      <c r="E53" s="243">
        <v>0</v>
      </c>
      <c r="F53" s="243">
        <v>0</v>
      </c>
      <c r="H53" s="32"/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243">
        <v>18054</v>
      </c>
      <c r="E54" s="243">
        <v>0</v>
      </c>
      <c r="F54" s="243">
        <v>0</v>
      </c>
      <c r="H54" s="32"/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243">
        <v>6011</v>
      </c>
      <c r="E55" s="243">
        <v>0</v>
      </c>
      <c r="F55" s="243">
        <v>0</v>
      </c>
      <c r="H55" s="32"/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243">
        <v>11628</v>
      </c>
      <c r="E56" s="243">
        <v>0</v>
      </c>
      <c r="F56" s="243">
        <v>0</v>
      </c>
      <c r="H56" s="32"/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243">
        <v>18181</v>
      </c>
      <c r="E57" s="243">
        <v>0</v>
      </c>
      <c r="F57" s="243">
        <v>0</v>
      </c>
      <c r="H57" s="32"/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243">
        <v>65143</v>
      </c>
      <c r="E58" s="243">
        <v>0</v>
      </c>
      <c r="F58" s="243">
        <v>0</v>
      </c>
      <c r="H58" s="32"/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243">
        <v>13048</v>
      </c>
      <c r="E59" s="243">
        <v>0</v>
      </c>
      <c r="F59" s="243">
        <v>0</v>
      </c>
      <c r="H59" s="32"/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243">
        <v>9537</v>
      </c>
      <c r="E60" s="243">
        <v>0</v>
      </c>
      <c r="F60" s="243">
        <v>0</v>
      </c>
      <c r="H60" s="32"/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243">
        <v>10509</v>
      </c>
      <c r="E61" s="243">
        <v>0</v>
      </c>
      <c r="F61" s="243">
        <v>0</v>
      </c>
      <c r="H61" s="32"/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243">
        <v>400</v>
      </c>
      <c r="E62" s="243">
        <v>0</v>
      </c>
      <c r="F62" s="243">
        <v>0</v>
      </c>
      <c r="H62" s="32"/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v>0</v>
      </c>
      <c r="H63" s="32"/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243">
        <v>10269</v>
      </c>
      <c r="E64" s="243">
        <v>0</v>
      </c>
      <c r="F64" s="243">
        <v>0</v>
      </c>
      <c r="H64" s="32"/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243">
        <v>7878</v>
      </c>
      <c r="E65" s="243">
        <v>0</v>
      </c>
      <c r="F65" s="243">
        <v>0</v>
      </c>
      <c r="H65" s="32"/>
    </row>
    <row r="66" spans="1:8" s="27" customFormat="1" x14ac:dyDescent="0.25">
      <c r="A66" s="242">
        <v>57</v>
      </c>
      <c r="B66" s="49" t="s">
        <v>152</v>
      </c>
      <c r="C66" s="50" t="s">
        <v>153</v>
      </c>
      <c r="D66" s="243">
        <v>0</v>
      </c>
      <c r="E66" s="243">
        <v>0</v>
      </c>
      <c r="F66" s="243">
        <v>0</v>
      </c>
      <c r="H66" s="32"/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243">
        <v>31055</v>
      </c>
      <c r="E67" s="243">
        <v>16485</v>
      </c>
      <c r="F67" s="243">
        <v>0</v>
      </c>
      <c r="H67" s="32"/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v>0</v>
      </c>
      <c r="H68" s="32"/>
    </row>
    <row r="69" spans="1:8" s="27" customFormat="1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v>0</v>
      </c>
      <c r="H69" s="32"/>
    </row>
    <row r="70" spans="1:8" s="27" customFormat="1" x14ac:dyDescent="0.25">
      <c r="A70" s="242">
        <v>61</v>
      </c>
      <c r="B70" s="49" t="s">
        <v>160</v>
      </c>
      <c r="C70" s="50" t="s">
        <v>161</v>
      </c>
      <c r="D70" s="243">
        <v>9725</v>
      </c>
      <c r="E70" s="243">
        <v>0</v>
      </c>
      <c r="F70" s="243">
        <v>0</v>
      </c>
      <c r="H70" s="32"/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243">
        <v>28379</v>
      </c>
      <c r="E71" s="243">
        <v>0</v>
      </c>
      <c r="F71" s="243">
        <v>0</v>
      </c>
      <c r="H71" s="32"/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243">
        <v>16435</v>
      </c>
      <c r="E72" s="243">
        <v>0</v>
      </c>
      <c r="F72" s="243">
        <v>0</v>
      </c>
      <c r="H72" s="32"/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243">
        <v>37729</v>
      </c>
      <c r="E73" s="243">
        <v>0</v>
      </c>
      <c r="F73" s="243">
        <v>0</v>
      </c>
      <c r="H73" s="32"/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v>0</v>
      </c>
      <c r="H74" s="32"/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243">
        <v>23001</v>
      </c>
      <c r="E75" s="243">
        <v>0</v>
      </c>
      <c r="F75" s="243">
        <v>0</v>
      </c>
      <c r="H75" s="32"/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v>0</v>
      </c>
      <c r="H76" s="32"/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v>0</v>
      </c>
      <c r="H77" s="32"/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v>0</v>
      </c>
      <c r="H78" s="32"/>
    </row>
    <row r="79" spans="1:8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v>0</v>
      </c>
      <c r="H79" s="32"/>
    </row>
    <row r="80" spans="1:8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v>0</v>
      </c>
      <c r="H80" s="32"/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243">
        <v>46640</v>
      </c>
      <c r="E81" s="243">
        <v>12607</v>
      </c>
      <c r="F81" s="243">
        <v>0</v>
      </c>
      <c r="H81" s="32"/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243">
        <v>74493</v>
      </c>
      <c r="E82" s="243">
        <v>20608</v>
      </c>
      <c r="F82" s="243">
        <v>0</v>
      </c>
      <c r="H82" s="32"/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243">
        <v>73775</v>
      </c>
      <c r="E83" s="243">
        <v>25005</v>
      </c>
      <c r="F83" s="243">
        <v>19893</v>
      </c>
      <c r="H83" s="32"/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243">
        <v>28088</v>
      </c>
      <c r="E84" s="243">
        <v>0</v>
      </c>
      <c r="F84" s="243">
        <v>0</v>
      </c>
      <c r="H84" s="32"/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243">
        <v>48906</v>
      </c>
      <c r="E85" s="243">
        <v>0</v>
      </c>
      <c r="F85" s="243">
        <v>0</v>
      </c>
      <c r="H85" s="32"/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243">
        <v>54516</v>
      </c>
      <c r="E86" s="243">
        <v>15524</v>
      </c>
      <c r="F86" s="243">
        <v>0</v>
      </c>
      <c r="H86" s="32"/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243">
        <v>39354</v>
      </c>
      <c r="E87" s="243">
        <v>0</v>
      </c>
      <c r="F87" s="243">
        <v>0</v>
      </c>
      <c r="H87" s="32"/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v>0</v>
      </c>
      <c r="H88" s="32"/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v>0</v>
      </c>
      <c r="H89" s="32"/>
    </row>
    <row r="90" spans="1:8" s="27" customFormat="1" x14ac:dyDescent="0.25">
      <c r="A90" s="1140">
        <v>81</v>
      </c>
      <c r="B90" s="907" t="s">
        <v>199</v>
      </c>
      <c r="C90" s="57" t="s">
        <v>200</v>
      </c>
      <c r="D90" s="243">
        <f>D91+D93</f>
        <v>10095</v>
      </c>
      <c r="E90" s="243">
        <v>0</v>
      </c>
      <c r="F90" s="243">
        <f t="shared" ref="F90" si="2">F91+F92+F93</f>
        <v>6928</v>
      </c>
      <c r="H90" s="32"/>
    </row>
    <row r="91" spans="1:8" s="27" customFormat="1" ht="24" x14ac:dyDescent="0.25">
      <c r="A91" s="1141"/>
      <c r="B91" s="908"/>
      <c r="C91" s="50" t="s">
        <v>201</v>
      </c>
      <c r="D91" s="243">
        <v>3167</v>
      </c>
      <c r="E91" s="243">
        <v>0</v>
      </c>
      <c r="F91" s="243">
        <v>0</v>
      </c>
      <c r="H91" s="32"/>
    </row>
    <row r="92" spans="1:8" s="27" customFormat="1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v>0</v>
      </c>
      <c r="H92" s="32"/>
    </row>
    <row r="93" spans="1:8" s="27" customFormat="1" ht="24" x14ac:dyDescent="0.25">
      <c r="A93" s="1142"/>
      <c r="B93" s="909"/>
      <c r="C93" s="58" t="s">
        <v>203</v>
      </c>
      <c r="D93" s="243">
        <v>6928</v>
      </c>
      <c r="E93" s="243">
        <v>0</v>
      </c>
      <c r="F93" s="243">
        <v>6928</v>
      </c>
      <c r="H93" s="32"/>
    </row>
    <row r="94" spans="1:8" s="27" customFormat="1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v>0</v>
      </c>
      <c r="H94" s="32"/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243">
        <v>2630</v>
      </c>
      <c r="E95" s="243">
        <v>0</v>
      </c>
      <c r="F95" s="243">
        <v>0</v>
      </c>
      <c r="H95" s="32"/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243">
        <v>10660</v>
      </c>
      <c r="E96" s="243">
        <v>0</v>
      </c>
      <c r="F96" s="243">
        <v>0</v>
      </c>
      <c r="H96" s="32"/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243">
        <v>8128</v>
      </c>
      <c r="E97" s="243">
        <v>0</v>
      </c>
      <c r="F97" s="243">
        <v>0</v>
      </c>
      <c r="H97" s="32"/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243">
        <v>8608</v>
      </c>
      <c r="E98" s="243">
        <v>0</v>
      </c>
      <c r="F98" s="243">
        <v>0</v>
      </c>
      <c r="H98" s="32"/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243">
        <v>24579</v>
      </c>
      <c r="E99" s="243">
        <v>0</v>
      </c>
      <c r="F99" s="243">
        <v>0</v>
      </c>
      <c r="H99" s="32"/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243">
        <v>10053</v>
      </c>
      <c r="E100" s="243">
        <v>0</v>
      </c>
      <c r="F100" s="243">
        <v>0</v>
      </c>
      <c r="H100" s="32"/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243">
        <v>32172</v>
      </c>
      <c r="E101" s="243">
        <v>0</v>
      </c>
      <c r="F101" s="243">
        <v>0</v>
      </c>
      <c r="H101" s="32"/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243">
        <v>22947</v>
      </c>
      <c r="E102" s="243">
        <v>0</v>
      </c>
      <c r="F102" s="243">
        <v>0</v>
      </c>
      <c r="H102" s="32"/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243">
        <v>7799</v>
      </c>
      <c r="E103" s="243">
        <v>0</v>
      </c>
      <c r="F103" s="243">
        <v>0</v>
      </c>
      <c r="H103" s="32"/>
    </row>
    <row r="104" spans="1:8" s="245" customFormat="1" x14ac:dyDescent="0.25">
      <c r="A104" s="242">
        <v>92</v>
      </c>
      <c r="B104" s="49" t="s">
        <v>224</v>
      </c>
      <c r="C104" s="50" t="s">
        <v>225</v>
      </c>
      <c r="D104" s="243">
        <v>12281</v>
      </c>
      <c r="E104" s="243">
        <v>0</v>
      </c>
      <c r="F104" s="243">
        <v>0</v>
      </c>
      <c r="H104" s="32"/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243">
        <v>11687</v>
      </c>
      <c r="E105" s="243">
        <v>0</v>
      </c>
      <c r="F105" s="243">
        <v>0</v>
      </c>
      <c r="H105" s="32"/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243">
        <v>14436</v>
      </c>
      <c r="E106" s="243">
        <v>0</v>
      </c>
      <c r="F106" s="243">
        <v>0</v>
      </c>
      <c r="H106" s="32"/>
    </row>
    <row r="107" spans="1:8" s="27" customFormat="1" x14ac:dyDescent="0.25">
      <c r="A107" s="242">
        <v>95</v>
      </c>
      <c r="B107" s="264" t="s">
        <v>228</v>
      </c>
      <c r="C107" s="50" t="s">
        <v>229</v>
      </c>
      <c r="D107" s="243">
        <v>9001</v>
      </c>
      <c r="E107" s="243">
        <v>0</v>
      </c>
      <c r="F107" s="243">
        <v>0</v>
      </c>
      <c r="H107" s="32"/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243">
        <v>23389</v>
      </c>
      <c r="E108" s="243">
        <v>0</v>
      </c>
      <c r="F108" s="243">
        <v>0</v>
      </c>
      <c r="H108" s="32"/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v>0</v>
      </c>
      <c r="H109" s="32"/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v>0</v>
      </c>
      <c r="H110" s="32"/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v>0</v>
      </c>
      <c r="H111" s="32"/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v>0</v>
      </c>
      <c r="H112" s="32"/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v>0</v>
      </c>
      <c r="H113" s="32"/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v>0</v>
      </c>
      <c r="H114" s="32"/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v>0</v>
      </c>
      <c r="H115" s="32"/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0</v>
      </c>
      <c r="F116" s="243">
        <v>0</v>
      </c>
      <c r="H116" s="32"/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v>0</v>
      </c>
      <c r="H117" s="32"/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v>0</v>
      </c>
      <c r="H118" s="32"/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v>0</v>
      </c>
      <c r="H119" s="32"/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v>0</v>
      </c>
      <c r="H120" s="32"/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0</v>
      </c>
      <c r="F121" s="243">
        <v>0</v>
      </c>
      <c r="H121" s="32"/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v>0</v>
      </c>
      <c r="H122" s="32"/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v>0</v>
      </c>
      <c r="H123" s="32"/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v>0</v>
      </c>
      <c r="H124" s="32"/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v>0</v>
      </c>
      <c r="H125" s="32"/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v>0</v>
      </c>
      <c r="H126" s="32"/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0</v>
      </c>
      <c r="F127" s="243">
        <v>0</v>
      </c>
      <c r="H127" s="32"/>
    </row>
    <row r="128" spans="1:8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0</v>
      </c>
      <c r="F128" s="243">
        <v>0</v>
      </c>
      <c r="H128" s="32"/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243">
        <v>500</v>
      </c>
      <c r="E129" s="243">
        <v>0</v>
      </c>
      <c r="F129" s="243">
        <v>0</v>
      </c>
      <c r="H129" s="32"/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243">
        <v>30555</v>
      </c>
      <c r="E130" s="243">
        <v>26379</v>
      </c>
      <c r="F130" s="243">
        <v>0</v>
      </c>
      <c r="H130" s="32"/>
    </row>
    <row r="131" spans="1:8" s="27" customFormat="1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v>0</v>
      </c>
      <c r="H131" s="32"/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v>0</v>
      </c>
      <c r="H132" s="32"/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243">
        <v>0</v>
      </c>
      <c r="E133" s="243">
        <v>0</v>
      </c>
      <c r="F133" s="243">
        <v>0</v>
      </c>
      <c r="H133" s="32"/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v>0</v>
      </c>
      <c r="H134" s="32"/>
    </row>
    <row r="135" spans="1:8" s="27" customFormat="1" x14ac:dyDescent="0.25">
      <c r="A135" s="242">
        <v>123</v>
      </c>
      <c r="B135" s="264" t="s">
        <v>282</v>
      </c>
      <c r="C135" s="50" t="s">
        <v>783</v>
      </c>
      <c r="D135" s="243">
        <v>1000</v>
      </c>
      <c r="E135" s="243">
        <v>0</v>
      </c>
      <c r="F135" s="243">
        <v>0</v>
      </c>
      <c r="H135" s="32"/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243">
        <v>50317</v>
      </c>
      <c r="E136" s="243">
        <v>0</v>
      </c>
      <c r="F136" s="243">
        <v>0</v>
      </c>
      <c r="H136" s="32"/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243">
        <v>68135</v>
      </c>
      <c r="E137" s="243">
        <v>24346</v>
      </c>
      <c r="F137" s="243">
        <v>0</v>
      </c>
      <c r="H137" s="32"/>
    </row>
    <row r="138" spans="1:8" x14ac:dyDescent="0.25">
      <c r="A138" s="242">
        <v>126</v>
      </c>
      <c r="B138" s="264" t="s">
        <v>286</v>
      </c>
      <c r="C138" s="50" t="s">
        <v>287</v>
      </c>
      <c r="D138" s="243">
        <v>4000</v>
      </c>
      <c r="E138" s="243">
        <v>0</v>
      </c>
      <c r="F138" s="243">
        <v>0</v>
      </c>
      <c r="H138" s="32"/>
    </row>
    <row r="139" spans="1:8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v>0</v>
      </c>
      <c r="H139" s="32"/>
    </row>
    <row r="140" spans="1:8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v>0</v>
      </c>
      <c r="H140" s="32"/>
    </row>
    <row r="141" spans="1:8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v>0</v>
      </c>
      <c r="H141" s="32"/>
    </row>
    <row r="142" spans="1:8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v>0</v>
      </c>
      <c r="H142" s="32"/>
    </row>
    <row r="143" spans="1:8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v>0</v>
      </c>
      <c r="H143" s="32"/>
    </row>
    <row r="144" spans="1:8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v>0</v>
      </c>
      <c r="H144" s="32"/>
    </row>
    <row r="145" spans="1:57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v>0</v>
      </c>
      <c r="H145" s="32"/>
    </row>
    <row r="146" spans="1:57" s="32" customFormat="1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v>0</v>
      </c>
      <c r="G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v>0</v>
      </c>
      <c r="H147" s="32"/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110" zoomScaleNormal="110" workbookViewId="0">
      <pane xSplit="4" ySplit="7" topLeftCell="F8" activePane="bottomRight" state="frozen"/>
      <selection pane="topRight" activeCell="E1" sqref="E1"/>
      <selection pane="bottomLeft" activeCell="A8" sqref="A8"/>
      <selection pane="bottomRight" activeCell="C17" sqref="C17"/>
    </sheetView>
  </sheetViews>
  <sheetFormatPr defaultRowHeight="11.25" x14ac:dyDescent="0.2"/>
  <cols>
    <col min="1" max="1" width="3.7109375" style="396" customWidth="1"/>
    <col min="2" max="2" width="9.140625" style="396"/>
    <col min="3" max="3" width="27.7109375" style="396" customWidth="1"/>
    <col min="4" max="4" width="9.140625" style="396"/>
    <col min="5" max="6" width="12" style="396" customWidth="1"/>
    <col min="7" max="8" width="11.140625" style="411" customWidth="1"/>
    <col min="9" max="9" width="12" style="396" customWidth="1"/>
    <col min="10" max="10" width="11" style="396" customWidth="1"/>
    <col min="11" max="11" width="11.7109375" style="396" customWidth="1"/>
    <col min="12" max="13" width="11.42578125" style="396" customWidth="1"/>
    <col min="14" max="15" width="12.7109375" style="396" customWidth="1"/>
    <col min="16" max="16" width="12.28515625" style="396" customWidth="1"/>
    <col min="17" max="17" width="11.28515625" style="396" customWidth="1"/>
    <col min="18" max="18" width="8.28515625" style="396" customWidth="1"/>
    <col min="19" max="19" width="13.28515625" style="396" customWidth="1"/>
    <col min="20" max="20" width="11" style="396" customWidth="1"/>
    <col min="21" max="21" width="9.140625" style="395"/>
    <col min="22" max="16384" width="9.140625" style="396"/>
  </cols>
  <sheetData>
    <row r="1" spans="1:21" s="394" customFormat="1" ht="15.75" x14ac:dyDescent="0.25">
      <c r="A1" s="1173" t="s">
        <v>658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1173"/>
      <c r="S1" s="1173"/>
      <c r="T1" s="1173"/>
      <c r="U1" s="393"/>
    </row>
    <row r="3" spans="1:21" x14ac:dyDescent="0.2">
      <c r="A3" s="1174" t="s">
        <v>0</v>
      </c>
      <c r="B3" s="1175" t="s">
        <v>326</v>
      </c>
      <c r="C3" s="1178" t="s">
        <v>309</v>
      </c>
      <c r="D3" s="1181" t="s">
        <v>659</v>
      </c>
      <c r="E3" s="1184" t="s">
        <v>660</v>
      </c>
      <c r="F3" s="1185"/>
      <c r="G3" s="1185"/>
      <c r="H3" s="1185"/>
      <c r="I3" s="1185"/>
      <c r="J3" s="1185"/>
      <c r="K3" s="1186"/>
      <c r="L3" s="1187" t="s">
        <v>661</v>
      </c>
      <c r="M3" s="1187"/>
      <c r="N3" s="1187"/>
      <c r="O3" s="1187"/>
      <c r="P3" s="1187"/>
      <c r="Q3" s="1187"/>
      <c r="R3" s="1187"/>
      <c r="S3" s="1187"/>
      <c r="T3" s="1187"/>
    </row>
    <row r="4" spans="1:21" ht="16.5" customHeight="1" x14ac:dyDescent="0.2">
      <c r="A4" s="1174"/>
      <c r="B4" s="1176"/>
      <c r="C4" s="1179"/>
      <c r="D4" s="1182"/>
      <c r="E4" s="1188" t="s">
        <v>662</v>
      </c>
      <c r="F4" s="1189"/>
      <c r="G4" s="1192" t="s">
        <v>663</v>
      </c>
      <c r="H4" s="1192"/>
      <c r="I4" s="1192"/>
      <c r="J4" s="1192"/>
      <c r="K4" s="1192"/>
      <c r="L4" s="1193" t="s">
        <v>664</v>
      </c>
      <c r="M4" s="1193"/>
      <c r="N4" s="1193"/>
      <c r="O4" s="1193"/>
      <c r="P4" s="1194" t="s">
        <v>662</v>
      </c>
      <c r="Q4" s="1195"/>
      <c r="R4" s="1195"/>
      <c r="S4" s="1195"/>
      <c r="T4" s="1196"/>
    </row>
    <row r="5" spans="1:21" ht="20.25" customHeight="1" x14ac:dyDescent="0.2">
      <c r="A5" s="1174"/>
      <c r="B5" s="1176"/>
      <c r="C5" s="1179"/>
      <c r="D5" s="1182"/>
      <c r="E5" s="1190"/>
      <c r="F5" s="1191"/>
      <c r="G5" s="1192"/>
      <c r="H5" s="1192"/>
      <c r="I5" s="1192"/>
      <c r="J5" s="1192"/>
      <c r="K5" s="1192"/>
      <c r="L5" s="664" t="s">
        <v>665</v>
      </c>
      <c r="M5" s="1200" t="s">
        <v>663</v>
      </c>
      <c r="N5" s="1201"/>
      <c r="O5" s="1202"/>
      <c r="P5" s="1197"/>
      <c r="Q5" s="1198"/>
      <c r="R5" s="1198"/>
      <c r="S5" s="1198"/>
      <c r="T5" s="1199"/>
    </row>
    <row r="6" spans="1:21" ht="15" customHeight="1" x14ac:dyDescent="0.2">
      <c r="A6" s="1174"/>
      <c r="B6" s="1176"/>
      <c r="C6" s="1179"/>
      <c r="D6" s="1182"/>
      <c r="E6" s="1203" t="s">
        <v>666</v>
      </c>
      <c r="F6" s="1205" t="s">
        <v>667</v>
      </c>
      <c r="G6" s="1203" t="s">
        <v>668</v>
      </c>
      <c r="H6" s="1205" t="s">
        <v>667</v>
      </c>
      <c r="I6" s="1207" t="s">
        <v>666</v>
      </c>
      <c r="J6" s="1207" t="s">
        <v>669</v>
      </c>
      <c r="K6" s="1207"/>
      <c r="L6" s="1205" t="s">
        <v>666</v>
      </c>
      <c r="M6" s="1205" t="s">
        <v>667</v>
      </c>
      <c r="N6" s="1205" t="s">
        <v>670</v>
      </c>
      <c r="O6" s="1203" t="s">
        <v>668</v>
      </c>
      <c r="P6" s="1205" t="s">
        <v>667</v>
      </c>
      <c r="Q6" s="1205" t="s">
        <v>670</v>
      </c>
      <c r="R6" s="1205" t="s">
        <v>671</v>
      </c>
      <c r="S6" s="1207" t="s">
        <v>672</v>
      </c>
      <c r="T6" s="1203" t="s">
        <v>668</v>
      </c>
    </row>
    <row r="7" spans="1:21" ht="33.75" customHeight="1" x14ac:dyDescent="0.2">
      <c r="A7" s="1174"/>
      <c r="B7" s="1177"/>
      <c r="C7" s="1180"/>
      <c r="D7" s="1183"/>
      <c r="E7" s="1204"/>
      <c r="F7" s="1206"/>
      <c r="G7" s="1204"/>
      <c r="H7" s="1206"/>
      <c r="I7" s="1207"/>
      <c r="J7" s="665" t="s">
        <v>673</v>
      </c>
      <c r="K7" s="665" t="s">
        <v>674</v>
      </c>
      <c r="L7" s="1206"/>
      <c r="M7" s="1206"/>
      <c r="N7" s="1206"/>
      <c r="O7" s="1204"/>
      <c r="P7" s="1206"/>
      <c r="Q7" s="1206"/>
      <c r="R7" s="1206"/>
      <c r="S7" s="1207"/>
      <c r="T7" s="1204"/>
    </row>
    <row r="8" spans="1:21" ht="15" customHeight="1" x14ac:dyDescent="0.2">
      <c r="A8" s="397">
        <v>1</v>
      </c>
      <c r="B8" s="398" t="s">
        <v>266</v>
      </c>
      <c r="C8" s="399" t="s">
        <v>675</v>
      </c>
      <c r="D8" s="400">
        <f t="shared" ref="D8:D20" si="0">SUM(E8:T8)</f>
        <v>3292</v>
      </c>
      <c r="E8" s="664"/>
      <c r="F8" s="664"/>
      <c r="G8" s="401"/>
      <c r="H8" s="401"/>
      <c r="I8" s="664">
        <v>450</v>
      </c>
      <c r="J8" s="664">
        <v>100</v>
      </c>
      <c r="K8" s="664">
        <v>12</v>
      </c>
      <c r="L8" s="402">
        <v>630</v>
      </c>
      <c r="M8" s="402"/>
      <c r="N8" s="664">
        <v>970</v>
      </c>
      <c r="O8" s="664">
        <v>50</v>
      </c>
      <c r="P8" s="664"/>
      <c r="Q8" s="664"/>
      <c r="R8" s="664"/>
      <c r="S8" s="664"/>
      <c r="T8" s="664">
        <v>1080</v>
      </c>
    </row>
    <row r="9" spans="1:21" ht="15" customHeight="1" x14ac:dyDescent="0.2">
      <c r="A9" s="397">
        <v>2</v>
      </c>
      <c r="B9" s="403" t="s">
        <v>272</v>
      </c>
      <c r="C9" s="404" t="s">
        <v>273</v>
      </c>
      <c r="D9" s="400">
        <f t="shared" si="0"/>
        <v>2786</v>
      </c>
      <c r="E9" s="664"/>
      <c r="F9" s="664"/>
      <c r="G9" s="401">
        <v>40</v>
      </c>
      <c r="H9" s="401"/>
      <c r="I9" s="664">
        <v>10</v>
      </c>
      <c r="J9" s="664"/>
      <c r="K9" s="664"/>
      <c r="L9" s="402"/>
      <c r="M9" s="402"/>
      <c r="N9" s="664"/>
      <c r="O9" s="664"/>
      <c r="P9" s="664"/>
      <c r="Q9" s="664">
        <v>804</v>
      </c>
      <c r="R9" s="664">
        <v>288</v>
      </c>
      <c r="S9" s="664">
        <v>150</v>
      </c>
      <c r="T9" s="664">
        <v>1494</v>
      </c>
    </row>
    <row r="10" spans="1:21" ht="12" x14ac:dyDescent="0.2">
      <c r="A10" s="397">
        <v>3</v>
      </c>
      <c r="B10" s="403" t="s">
        <v>268</v>
      </c>
      <c r="C10" s="680" t="s">
        <v>269</v>
      </c>
      <c r="D10" s="400">
        <f t="shared" si="0"/>
        <v>6</v>
      </c>
      <c r="E10" s="664"/>
      <c r="F10" s="664"/>
      <c r="G10" s="401"/>
      <c r="H10" s="401"/>
      <c r="I10" s="664"/>
      <c r="J10" s="664">
        <v>6</v>
      </c>
      <c r="K10" s="664"/>
      <c r="L10" s="405"/>
      <c r="M10" s="405"/>
      <c r="N10" s="405"/>
      <c r="O10" s="405"/>
      <c r="P10" s="664"/>
      <c r="Q10" s="664"/>
      <c r="R10" s="664"/>
      <c r="S10" s="664"/>
      <c r="T10" s="664"/>
    </row>
    <row r="11" spans="1:21" x14ac:dyDescent="0.2">
      <c r="A11" s="397">
        <v>4</v>
      </c>
      <c r="B11" s="398" t="s">
        <v>270</v>
      </c>
      <c r="C11" s="404" t="s">
        <v>271</v>
      </c>
      <c r="D11" s="400">
        <f t="shared" si="0"/>
        <v>90</v>
      </c>
      <c r="E11" s="664"/>
      <c r="F11" s="664"/>
      <c r="G11" s="401"/>
      <c r="H11" s="401"/>
      <c r="I11" s="664"/>
      <c r="J11" s="664">
        <v>90</v>
      </c>
      <c r="K11" s="664"/>
      <c r="L11" s="405"/>
      <c r="M11" s="405"/>
      <c r="N11" s="405"/>
      <c r="O11" s="405"/>
      <c r="P11" s="664"/>
      <c r="Q11" s="664"/>
      <c r="R11" s="664"/>
      <c r="S11" s="664"/>
      <c r="T11" s="664"/>
    </row>
    <row r="12" spans="1:21" x14ac:dyDescent="0.2">
      <c r="A12" s="397">
        <v>5</v>
      </c>
      <c r="B12" s="406" t="s">
        <v>283</v>
      </c>
      <c r="C12" s="404" t="s">
        <v>284</v>
      </c>
      <c r="D12" s="400">
        <f t="shared" si="0"/>
        <v>32</v>
      </c>
      <c r="E12" s="664"/>
      <c r="F12" s="664"/>
      <c r="G12" s="401"/>
      <c r="H12" s="401"/>
      <c r="I12" s="664"/>
      <c r="J12" s="664">
        <v>30</v>
      </c>
      <c r="K12" s="664">
        <v>2</v>
      </c>
      <c r="L12" s="405"/>
      <c r="M12" s="405"/>
      <c r="N12" s="405"/>
      <c r="O12" s="405"/>
      <c r="P12" s="664"/>
      <c r="Q12" s="664"/>
      <c r="R12" s="664"/>
      <c r="S12" s="664"/>
      <c r="T12" s="664"/>
    </row>
    <row r="13" spans="1:21" ht="22.5" x14ac:dyDescent="0.2">
      <c r="A13" s="397">
        <v>6</v>
      </c>
      <c r="B13" s="407" t="s">
        <v>285</v>
      </c>
      <c r="C13" s="399" t="s">
        <v>737</v>
      </c>
      <c r="D13" s="400">
        <f t="shared" si="0"/>
        <v>30</v>
      </c>
      <c r="E13" s="664"/>
      <c r="F13" s="664"/>
      <c r="G13" s="401"/>
      <c r="H13" s="401"/>
      <c r="I13" s="664"/>
      <c r="J13" s="664">
        <v>30</v>
      </c>
      <c r="K13" s="664"/>
      <c r="L13" s="405"/>
      <c r="M13" s="405"/>
      <c r="N13" s="405"/>
      <c r="O13" s="405"/>
      <c r="P13" s="664"/>
      <c r="Q13" s="664"/>
      <c r="R13" s="664"/>
      <c r="S13" s="664"/>
      <c r="T13" s="664"/>
    </row>
    <row r="14" spans="1:21" x14ac:dyDescent="0.2">
      <c r="A14" s="397">
        <v>7</v>
      </c>
      <c r="B14" s="403" t="s">
        <v>194</v>
      </c>
      <c r="C14" s="404" t="s">
        <v>676</v>
      </c>
      <c r="D14" s="400">
        <f t="shared" si="0"/>
        <v>105</v>
      </c>
      <c r="E14" s="664"/>
      <c r="F14" s="664"/>
      <c r="G14" s="401"/>
      <c r="H14" s="401"/>
      <c r="I14" s="664"/>
      <c r="J14" s="664">
        <v>100</v>
      </c>
      <c r="K14" s="664">
        <v>5</v>
      </c>
      <c r="L14" s="405"/>
      <c r="M14" s="405"/>
      <c r="N14" s="405"/>
      <c r="O14" s="405"/>
      <c r="P14" s="664"/>
      <c r="Q14" s="664"/>
      <c r="R14" s="664"/>
      <c r="S14" s="664"/>
      <c r="T14" s="664"/>
    </row>
    <row r="15" spans="1:21" x14ac:dyDescent="0.2">
      <c r="A15" s="397">
        <v>8</v>
      </c>
      <c r="B15" s="398" t="s">
        <v>18</v>
      </c>
      <c r="C15" s="404" t="s">
        <v>677</v>
      </c>
      <c r="D15" s="400">
        <f t="shared" si="0"/>
        <v>30</v>
      </c>
      <c r="E15" s="664"/>
      <c r="F15" s="664"/>
      <c r="G15" s="401"/>
      <c r="H15" s="401"/>
      <c r="I15" s="664"/>
      <c r="J15" s="664">
        <v>30</v>
      </c>
      <c r="K15" s="664"/>
      <c r="L15" s="405"/>
      <c r="M15" s="405"/>
      <c r="N15" s="405"/>
      <c r="O15" s="405"/>
      <c r="P15" s="664"/>
      <c r="Q15" s="664"/>
      <c r="R15" s="664"/>
      <c r="S15" s="664"/>
      <c r="T15" s="664"/>
    </row>
    <row r="16" spans="1:21" ht="13.5" customHeight="1" x14ac:dyDescent="0.2">
      <c r="A16" s="397">
        <v>9</v>
      </c>
      <c r="B16" s="403" t="s">
        <v>92</v>
      </c>
      <c r="C16" s="399" t="s">
        <v>678</v>
      </c>
      <c r="D16" s="400">
        <f t="shared" si="0"/>
        <v>250</v>
      </c>
      <c r="E16" s="664"/>
      <c r="F16" s="664"/>
      <c r="G16" s="664"/>
      <c r="H16" s="664"/>
      <c r="I16" s="664">
        <v>150</v>
      </c>
      <c r="J16" s="664"/>
      <c r="K16" s="664"/>
      <c r="L16" s="405"/>
      <c r="M16" s="405"/>
      <c r="N16" s="405">
        <v>100</v>
      </c>
      <c r="O16" s="405"/>
      <c r="P16" s="664"/>
      <c r="Q16" s="664"/>
      <c r="R16" s="664"/>
      <c r="S16" s="664"/>
      <c r="T16" s="664"/>
    </row>
    <row r="17" spans="1:20" s="395" customFormat="1" ht="13.5" customHeight="1" x14ac:dyDescent="0.2">
      <c r="A17" s="397">
        <v>10</v>
      </c>
      <c r="B17" s="681" t="s">
        <v>32</v>
      </c>
      <c r="C17" s="680" t="s">
        <v>33</v>
      </c>
      <c r="D17" s="400">
        <f t="shared" si="0"/>
        <v>11</v>
      </c>
      <c r="E17" s="664"/>
      <c r="F17" s="664"/>
      <c r="G17" s="664"/>
      <c r="H17" s="664">
        <v>5</v>
      </c>
      <c r="I17" s="664"/>
      <c r="J17" s="664"/>
      <c r="K17" s="664"/>
      <c r="L17" s="405"/>
      <c r="M17" s="405">
        <v>6</v>
      </c>
      <c r="N17" s="405"/>
      <c r="O17" s="405"/>
      <c r="P17" s="664"/>
      <c r="Q17" s="664"/>
      <c r="R17" s="664"/>
      <c r="S17" s="664"/>
      <c r="T17" s="664"/>
    </row>
    <row r="18" spans="1:20" s="395" customFormat="1" ht="12" customHeight="1" x14ac:dyDescent="0.2">
      <c r="A18" s="397">
        <v>11</v>
      </c>
      <c r="B18" s="398" t="s">
        <v>244</v>
      </c>
      <c r="C18" s="399" t="s">
        <v>245</v>
      </c>
      <c r="D18" s="400">
        <f t="shared" si="0"/>
        <v>158068</v>
      </c>
      <c r="E18" s="664">
        <v>837</v>
      </c>
      <c r="F18" s="664"/>
      <c r="G18" s="664"/>
      <c r="H18" s="664"/>
      <c r="I18" s="664"/>
      <c r="J18" s="664"/>
      <c r="K18" s="664"/>
      <c r="L18" s="405"/>
      <c r="M18" s="405"/>
      <c r="N18" s="405"/>
      <c r="O18" s="405"/>
      <c r="P18" s="664"/>
      <c r="Q18" s="664">
        <v>122147</v>
      </c>
      <c r="R18" s="664">
        <v>26916</v>
      </c>
      <c r="S18" s="664">
        <v>7523</v>
      </c>
      <c r="T18" s="664">
        <v>645</v>
      </c>
    </row>
    <row r="19" spans="1:20" s="395" customFormat="1" x14ac:dyDescent="0.2">
      <c r="A19" s="397">
        <v>12</v>
      </c>
      <c r="B19" s="403" t="s">
        <v>232</v>
      </c>
      <c r="C19" s="404" t="s">
        <v>679</v>
      </c>
      <c r="D19" s="400">
        <f t="shared" si="0"/>
        <v>36268</v>
      </c>
      <c r="E19" s="664">
        <v>50</v>
      </c>
      <c r="F19" s="664"/>
      <c r="G19" s="664"/>
      <c r="H19" s="664"/>
      <c r="I19" s="664"/>
      <c r="J19" s="664"/>
      <c r="K19" s="664"/>
      <c r="L19" s="405"/>
      <c r="M19" s="405"/>
      <c r="N19" s="405"/>
      <c r="O19" s="405"/>
      <c r="P19" s="664"/>
      <c r="Q19" s="664">
        <v>28573</v>
      </c>
      <c r="R19" s="664">
        <v>7645</v>
      </c>
      <c r="S19" s="664"/>
      <c r="T19" s="664"/>
    </row>
    <row r="20" spans="1:20" s="395" customFormat="1" x14ac:dyDescent="0.2">
      <c r="A20" s="397">
        <v>13</v>
      </c>
      <c r="B20" s="398" t="s">
        <v>262</v>
      </c>
      <c r="C20" s="404" t="s">
        <v>263</v>
      </c>
      <c r="D20" s="400">
        <f t="shared" si="0"/>
        <v>41740</v>
      </c>
      <c r="E20" s="664">
        <v>120</v>
      </c>
      <c r="F20" s="664">
        <v>120</v>
      </c>
      <c r="G20" s="664"/>
      <c r="H20" s="664"/>
      <c r="I20" s="664"/>
      <c r="J20" s="664"/>
      <c r="K20" s="664"/>
      <c r="L20" s="405"/>
      <c r="M20" s="405"/>
      <c r="N20" s="405"/>
      <c r="O20" s="405"/>
      <c r="P20" s="664">
        <v>7379</v>
      </c>
      <c r="Q20" s="664">
        <f>25300+2496</f>
        <v>27796</v>
      </c>
      <c r="R20" s="664">
        <v>6325</v>
      </c>
      <c r="S20" s="664"/>
      <c r="T20" s="664"/>
    </row>
    <row r="21" spans="1:20" s="395" customFormat="1" x14ac:dyDescent="0.2">
      <c r="A21" s="397"/>
      <c r="B21" s="408"/>
      <c r="C21" s="409" t="s">
        <v>413</v>
      </c>
      <c r="D21" s="400">
        <f t="shared" ref="D21:T21" si="1">SUM(D8:D20)</f>
        <v>242708</v>
      </c>
      <c r="E21" s="400">
        <f t="shared" si="1"/>
        <v>1007</v>
      </c>
      <c r="F21" s="400">
        <f t="shared" si="1"/>
        <v>120</v>
      </c>
      <c r="G21" s="400">
        <f t="shared" si="1"/>
        <v>40</v>
      </c>
      <c r="H21" s="400">
        <f t="shared" si="1"/>
        <v>5</v>
      </c>
      <c r="I21" s="400">
        <f t="shared" si="1"/>
        <v>610</v>
      </c>
      <c r="J21" s="400">
        <f t="shared" si="1"/>
        <v>386</v>
      </c>
      <c r="K21" s="400">
        <f t="shared" si="1"/>
        <v>19</v>
      </c>
      <c r="L21" s="400">
        <f t="shared" si="1"/>
        <v>630</v>
      </c>
      <c r="M21" s="400"/>
      <c r="N21" s="400">
        <f t="shared" si="1"/>
        <v>1070</v>
      </c>
      <c r="O21" s="400">
        <f t="shared" si="1"/>
        <v>50</v>
      </c>
      <c r="P21" s="400">
        <f t="shared" si="1"/>
        <v>7379</v>
      </c>
      <c r="Q21" s="400">
        <f t="shared" si="1"/>
        <v>179320</v>
      </c>
      <c r="R21" s="400">
        <f t="shared" si="1"/>
        <v>41174</v>
      </c>
      <c r="S21" s="400">
        <f t="shared" si="1"/>
        <v>7673</v>
      </c>
      <c r="T21" s="400">
        <f t="shared" si="1"/>
        <v>3219</v>
      </c>
    </row>
    <row r="22" spans="1:20" s="395" customFormat="1" ht="22.5" x14ac:dyDescent="0.2">
      <c r="A22" s="396"/>
      <c r="B22" s="396"/>
      <c r="C22" s="399" t="s">
        <v>680</v>
      </c>
      <c r="D22" s="400">
        <f>SUM(E22:T22)</f>
        <v>5509</v>
      </c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5">
        <v>5509</v>
      </c>
      <c r="R22" s="400"/>
      <c r="S22" s="400"/>
      <c r="T22" s="400"/>
    </row>
    <row r="23" spans="1:20" s="395" customFormat="1" ht="21" x14ac:dyDescent="0.2">
      <c r="A23" s="396"/>
      <c r="B23" s="396"/>
      <c r="C23" s="410" t="s">
        <v>681</v>
      </c>
      <c r="D23" s="400">
        <f>D21+D22</f>
        <v>248217</v>
      </c>
      <c r="E23" s="400">
        <f t="shared" ref="E23:T23" si="2">E21+E22</f>
        <v>1007</v>
      </c>
      <c r="F23" s="400">
        <f t="shared" si="2"/>
        <v>120</v>
      </c>
      <c r="G23" s="400">
        <f t="shared" si="2"/>
        <v>40</v>
      </c>
      <c r="H23" s="400">
        <f t="shared" si="2"/>
        <v>5</v>
      </c>
      <c r="I23" s="400">
        <f t="shared" si="2"/>
        <v>610</v>
      </c>
      <c r="J23" s="400">
        <f t="shared" si="2"/>
        <v>386</v>
      </c>
      <c r="K23" s="400">
        <f t="shared" si="2"/>
        <v>19</v>
      </c>
      <c r="L23" s="400">
        <f t="shared" si="2"/>
        <v>630</v>
      </c>
      <c r="M23" s="400"/>
      <c r="N23" s="400">
        <f t="shared" si="2"/>
        <v>1070</v>
      </c>
      <c r="O23" s="400">
        <f t="shared" si="2"/>
        <v>50</v>
      </c>
      <c r="P23" s="400">
        <f t="shared" si="2"/>
        <v>7379</v>
      </c>
      <c r="Q23" s="400">
        <f t="shared" si="2"/>
        <v>184829</v>
      </c>
      <c r="R23" s="400">
        <f t="shared" si="2"/>
        <v>41174</v>
      </c>
      <c r="S23" s="400">
        <f t="shared" si="2"/>
        <v>7673</v>
      </c>
      <c r="T23" s="400">
        <f t="shared" si="2"/>
        <v>3219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448" customWidth="1"/>
    <col min="2" max="2" width="11.28515625" style="448" customWidth="1"/>
    <col min="3" max="3" width="51.85546875" style="462" customWidth="1"/>
    <col min="4" max="4" width="14.140625" style="448" customWidth="1"/>
    <col min="5" max="5" width="13.7109375" style="448" customWidth="1"/>
    <col min="6" max="16384" width="9.140625" style="448"/>
  </cols>
  <sheetData>
    <row r="1" spans="1:7" ht="39.75" customHeight="1" x14ac:dyDescent="0.25">
      <c r="A1" s="1208" t="s">
        <v>694</v>
      </c>
      <c r="B1" s="1209"/>
      <c r="C1" s="1209"/>
      <c r="D1" s="1209"/>
      <c r="E1" s="1209"/>
      <c r="F1" s="447"/>
      <c r="G1" s="447"/>
    </row>
    <row r="3" spans="1:7" ht="31.5" customHeight="1" x14ac:dyDescent="0.25">
      <c r="A3" s="449" t="s">
        <v>0</v>
      </c>
      <c r="B3" s="449" t="s">
        <v>1</v>
      </c>
      <c r="C3" s="449" t="s">
        <v>2</v>
      </c>
      <c r="D3" s="449" t="s">
        <v>695</v>
      </c>
      <c r="E3" s="449" t="s">
        <v>696</v>
      </c>
    </row>
    <row r="4" spans="1:7" ht="45" customHeight="1" x14ac:dyDescent="0.25">
      <c r="A4" s="1210" t="s">
        <v>697</v>
      </c>
      <c r="B4" s="1211"/>
      <c r="C4" s="1212"/>
      <c r="D4" s="450">
        <f>SUM(D5:D6)</f>
        <v>2717</v>
      </c>
      <c r="E4" s="451"/>
    </row>
    <row r="5" spans="1:7" ht="18.75" customHeight="1" x14ac:dyDescent="0.25">
      <c r="A5" s="452">
        <v>1</v>
      </c>
      <c r="B5" s="446" t="s">
        <v>258</v>
      </c>
      <c r="C5" s="453" t="s">
        <v>259</v>
      </c>
      <c r="D5" s="454">
        <v>1708</v>
      </c>
      <c r="E5" s="452"/>
    </row>
    <row r="6" spans="1:7" ht="18.75" customHeight="1" x14ac:dyDescent="0.25">
      <c r="A6" s="452">
        <v>2</v>
      </c>
      <c r="B6" s="455" t="s">
        <v>551</v>
      </c>
      <c r="C6" s="453" t="s">
        <v>552</v>
      </c>
      <c r="D6" s="454">
        <v>1009</v>
      </c>
      <c r="E6" s="452"/>
    </row>
    <row r="7" spans="1:7" ht="35.25" customHeight="1" x14ac:dyDescent="0.25">
      <c r="A7" s="1213" t="s">
        <v>698</v>
      </c>
      <c r="B7" s="1213"/>
      <c r="C7" s="1213"/>
      <c r="D7" s="452"/>
      <c r="E7" s="456">
        <f>SUM(E9:E10)</f>
        <v>363</v>
      </c>
    </row>
    <row r="8" spans="1:7" ht="20.25" customHeight="1" x14ac:dyDescent="0.25">
      <c r="A8" s="1214">
        <v>1</v>
      </c>
      <c r="B8" s="1215" t="s">
        <v>290</v>
      </c>
      <c r="C8" s="453" t="s">
        <v>291</v>
      </c>
      <c r="D8" s="456"/>
      <c r="E8" s="452"/>
    </row>
    <row r="9" spans="1:7" ht="20.25" customHeight="1" x14ac:dyDescent="0.25">
      <c r="A9" s="1214"/>
      <c r="B9" s="1216"/>
      <c r="C9" s="457" t="s">
        <v>699</v>
      </c>
      <c r="D9" s="452"/>
      <c r="E9" s="452">
        <v>57</v>
      </c>
    </row>
    <row r="10" spans="1:7" ht="20.25" customHeight="1" x14ac:dyDescent="0.25">
      <c r="A10" s="1214"/>
      <c r="B10" s="1217"/>
      <c r="C10" s="457" t="s">
        <v>700</v>
      </c>
      <c r="D10" s="452"/>
      <c r="E10" s="452">
        <v>306</v>
      </c>
    </row>
    <row r="11" spans="1:7" x14ac:dyDescent="0.2">
      <c r="A11" s="458"/>
      <c r="B11" s="459"/>
      <c r="C11" s="459"/>
      <c r="D11" s="460"/>
      <c r="E11" s="461"/>
    </row>
    <row r="12" spans="1:7" x14ac:dyDescent="0.25">
      <c r="D12" s="463"/>
      <c r="E12" s="463"/>
    </row>
    <row r="13" spans="1:7" x14ac:dyDescent="0.25">
      <c r="D13" s="463"/>
      <c r="E13" s="463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20" customWidth="1"/>
    <col min="2" max="2" width="9.140625" style="120"/>
    <col min="3" max="3" width="34.140625" style="120" customWidth="1"/>
    <col min="4" max="4" width="19.7109375" style="120" customWidth="1"/>
    <col min="5" max="5" width="16.42578125" style="120" customWidth="1"/>
    <col min="6" max="6" width="12.5703125" style="120" customWidth="1"/>
    <col min="7" max="7" width="11.28515625" style="120" customWidth="1"/>
    <col min="8" max="8" width="11.5703125" style="120" customWidth="1"/>
    <col min="9" max="9" width="12.28515625" style="120" customWidth="1"/>
    <col min="10" max="16384" width="9.140625" style="120"/>
  </cols>
  <sheetData>
    <row r="1" spans="1:9" ht="24.75" customHeight="1" x14ac:dyDescent="0.25">
      <c r="A1" s="1227" t="s">
        <v>701</v>
      </c>
      <c r="B1" s="1228"/>
      <c r="C1" s="1228"/>
      <c r="D1" s="1228"/>
      <c r="E1" s="1228"/>
      <c r="F1" s="1228"/>
      <c r="G1" s="1228"/>
      <c r="H1" s="1228"/>
      <c r="I1" s="1228"/>
    </row>
    <row r="2" spans="1:9" ht="15.75" thickBot="1" x14ac:dyDescent="0.3">
      <c r="A2" s="464"/>
      <c r="B2" s="464"/>
      <c r="C2" s="464"/>
      <c r="D2" s="465"/>
      <c r="E2" s="465"/>
      <c r="F2" s="466"/>
      <c r="G2" s="465"/>
      <c r="H2" s="465"/>
      <c r="I2" s="465"/>
    </row>
    <row r="3" spans="1:9" x14ac:dyDescent="0.25">
      <c r="A3" s="1229" t="s">
        <v>0</v>
      </c>
      <c r="B3" s="1232" t="s">
        <v>702</v>
      </c>
      <c r="C3" s="1235" t="s">
        <v>2</v>
      </c>
      <c r="D3" s="1238" t="s">
        <v>703</v>
      </c>
      <c r="E3" s="1239"/>
      <c r="F3" s="1242" t="s">
        <v>704</v>
      </c>
      <c r="G3" s="1243"/>
      <c r="H3" s="1245" t="s">
        <v>705</v>
      </c>
      <c r="I3" s="1243"/>
    </row>
    <row r="4" spans="1:9" x14ac:dyDescent="0.25">
      <c r="A4" s="1230"/>
      <c r="B4" s="1233"/>
      <c r="C4" s="1236"/>
      <c r="D4" s="1240"/>
      <c r="E4" s="1241"/>
      <c r="F4" s="1244"/>
      <c r="G4" s="1241"/>
      <c r="H4" s="1240"/>
      <c r="I4" s="1241"/>
    </row>
    <row r="5" spans="1:9" x14ac:dyDescent="0.25">
      <c r="A5" s="1230"/>
      <c r="B5" s="1233"/>
      <c r="C5" s="1236"/>
      <c r="D5" s="1246" t="s">
        <v>442</v>
      </c>
      <c r="E5" s="1248" t="s">
        <v>706</v>
      </c>
      <c r="F5" s="1250" t="s">
        <v>707</v>
      </c>
      <c r="G5" s="1252" t="s">
        <v>708</v>
      </c>
      <c r="H5" s="1254" t="s">
        <v>709</v>
      </c>
      <c r="I5" s="1252" t="s">
        <v>710</v>
      </c>
    </row>
    <row r="6" spans="1:9" ht="27" customHeight="1" thickBot="1" x14ac:dyDescent="0.3">
      <c r="A6" s="1231"/>
      <c r="B6" s="1234"/>
      <c r="C6" s="1237"/>
      <c r="D6" s="1247"/>
      <c r="E6" s="1249"/>
      <c r="F6" s="1251"/>
      <c r="G6" s="1253"/>
      <c r="H6" s="1255"/>
      <c r="I6" s="1253"/>
    </row>
    <row r="7" spans="1:9" x14ac:dyDescent="0.25">
      <c r="A7" s="1218" t="s">
        <v>44</v>
      </c>
      <c r="B7" s="1219"/>
      <c r="C7" s="1220"/>
      <c r="D7" s="467">
        <f t="shared" ref="D7:I7" si="0">SUM(D8:D145)</f>
        <v>301334</v>
      </c>
      <c r="E7" s="468">
        <f t="shared" si="0"/>
        <v>9338</v>
      </c>
      <c r="F7" s="469">
        <f t="shared" si="0"/>
        <v>746</v>
      </c>
      <c r="G7" s="470">
        <f t="shared" si="0"/>
        <v>11187</v>
      </c>
      <c r="H7" s="469">
        <f t="shared" si="0"/>
        <v>676</v>
      </c>
      <c r="I7" s="470">
        <f t="shared" si="0"/>
        <v>7440</v>
      </c>
    </row>
    <row r="8" spans="1:9" x14ac:dyDescent="0.25">
      <c r="A8" s="471">
        <v>1</v>
      </c>
      <c r="B8" s="472" t="s">
        <v>54</v>
      </c>
      <c r="C8" s="473" t="s">
        <v>55</v>
      </c>
      <c r="D8" s="474">
        <v>1628</v>
      </c>
      <c r="E8" s="475"/>
      <c r="F8" s="476"/>
      <c r="G8" s="477"/>
      <c r="H8" s="478"/>
      <c r="I8" s="477"/>
    </row>
    <row r="9" spans="1:9" x14ac:dyDescent="0.25">
      <c r="A9" s="471">
        <v>2</v>
      </c>
      <c r="B9" s="479" t="s">
        <v>56</v>
      </c>
      <c r="C9" s="480" t="s">
        <v>57</v>
      </c>
      <c r="D9" s="481">
        <v>2400</v>
      </c>
      <c r="E9" s="482"/>
      <c r="F9" s="476"/>
      <c r="G9" s="482"/>
      <c r="H9" s="478"/>
      <c r="I9" s="477"/>
    </row>
    <row r="10" spans="1:9" x14ac:dyDescent="0.25">
      <c r="A10" s="471">
        <v>3</v>
      </c>
      <c r="B10" s="483" t="s">
        <v>16</v>
      </c>
      <c r="C10" s="480" t="s">
        <v>17</v>
      </c>
      <c r="D10" s="481">
        <v>4717</v>
      </c>
      <c r="E10" s="482"/>
      <c r="F10" s="476"/>
      <c r="G10" s="482"/>
      <c r="H10" s="478"/>
      <c r="I10" s="477"/>
    </row>
    <row r="11" spans="1:9" x14ac:dyDescent="0.25">
      <c r="A11" s="471">
        <v>4</v>
      </c>
      <c r="B11" s="472" t="s">
        <v>58</v>
      </c>
      <c r="C11" s="480" t="s">
        <v>59</v>
      </c>
      <c r="D11" s="481">
        <v>1900</v>
      </c>
      <c r="E11" s="482"/>
      <c r="F11" s="476"/>
      <c r="G11" s="482"/>
      <c r="H11" s="478"/>
      <c r="I11" s="477"/>
    </row>
    <row r="12" spans="1:9" ht="12.75" customHeight="1" x14ac:dyDescent="0.25">
      <c r="A12" s="471">
        <v>5</v>
      </c>
      <c r="B12" s="472" t="s">
        <v>60</v>
      </c>
      <c r="C12" s="480" t="s">
        <v>61</v>
      </c>
      <c r="D12" s="481">
        <v>1530</v>
      </c>
      <c r="E12" s="482"/>
      <c r="F12" s="476"/>
      <c r="G12" s="482"/>
      <c r="H12" s="478"/>
      <c r="I12" s="477"/>
    </row>
    <row r="13" spans="1:9" x14ac:dyDescent="0.25">
      <c r="A13" s="471">
        <v>6</v>
      </c>
      <c r="B13" s="483" t="s">
        <v>18</v>
      </c>
      <c r="C13" s="480" t="s">
        <v>19</v>
      </c>
      <c r="D13" s="481">
        <v>10956</v>
      </c>
      <c r="E13" s="482">
        <v>81</v>
      </c>
      <c r="F13" s="476"/>
      <c r="G13" s="482"/>
      <c r="H13" s="478">
        <v>282</v>
      </c>
      <c r="I13" s="477">
        <v>3100</v>
      </c>
    </row>
    <row r="14" spans="1:9" x14ac:dyDescent="0.25">
      <c r="A14" s="471">
        <v>7</v>
      </c>
      <c r="B14" s="472" t="s">
        <v>62</v>
      </c>
      <c r="C14" s="480" t="s">
        <v>63</v>
      </c>
      <c r="D14" s="481">
        <v>4500</v>
      </c>
      <c r="E14" s="482"/>
      <c r="F14" s="476"/>
      <c r="G14" s="482"/>
      <c r="H14" s="478"/>
      <c r="I14" s="477"/>
    </row>
    <row r="15" spans="1:9" x14ac:dyDescent="0.25">
      <c r="A15" s="471">
        <v>8</v>
      </c>
      <c r="B15" s="483" t="s">
        <v>64</v>
      </c>
      <c r="C15" s="480" t="s">
        <v>65</v>
      </c>
      <c r="D15" s="481">
        <v>1926</v>
      </c>
      <c r="E15" s="482"/>
      <c r="F15" s="476"/>
      <c r="G15" s="482"/>
      <c r="H15" s="478"/>
      <c r="I15" s="477"/>
    </row>
    <row r="16" spans="1:9" x14ac:dyDescent="0.25">
      <c r="A16" s="471">
        <v>9</v>
      </c>
      <c r="B16" s="483" t="s">
        <v>66</v>
      </c>
      <c r="C16" s="480" t="s">
        <v>67</v>
      </c>
      <c r="D16" s="481">
        <v>2369</v>
      </c>
      <c r="E16" s="482"/>
      <c r="F16" s="476"/>
      <c r="G16" s="482"/>
      <c r="H16" s="478"/>
      <c r="I16" s="477"/>
    </row>
    <row r="17" spans="1:9" x14ac:dyDescent="0.25">
      <c r="A17" s="471">
        <v>10</v>
      </c>
      <c r="B17" s="483" t="s">
        <v>68</v>
      </c>
      <c r="C17" s="480" t="s">
        <v>69</v>
      </c>
      <c r="D17" s="481">
        <v>2344</v>
      </c>
      <c r="E17" s="482"/>
      <c r="F17" s="476"/>
      <c r="G17" s="482"/>
      <c r="H17" s="478"/>
      <c r="I17" s="477"/>
    </row>
    <row r="18" spans="1:9" x14ac:dyDescent="0.25">
      <c r="A18" s="471">
        <v>11</v>
      </c>
      <c r="B18" s="483" t="s">
        <v>70</v>
      </c>
      <c r="C18" s="480" t="s">
        <v>71</v>
      </c>
      <c r="D18" s="481">
        <v>1675</v>
      </c>
      <c r="E18" s="482"/>
      <c r="F18" s="476"/>
      <c r="G18" s="482"/>
      <c r="H18" s="478"/>
      <c r="I18" s="477"/>
    </row>
    <row r="19" spans="1:9" x14ac:dyDescent="0.25">
      <c r="A19" s="471">
        <v>12</v>
      </c>
      <c r="B19" s="483" t="s">
        <v>72</v>
      </c>
      <c r="C19" s="480" t="s">
        <v>73</v>
      </c>
      <c r="D19" s="481">
        <v>3183</v>
      </c>
      <c r="E19" s="482"/>
      <c r="F19" s="476"/>
      <c r="G19" s="482"/>
      <c r="H19" s="478"/>
      <c r="I19" s="477"/>
    </row>
    <row r="20" spans="1:9" ht="12.75" customHeight="1" x14ac:dyDescent="0.25">
      <c r="A20" s="471">
        <v>13</v>
      </c>
      <c r="B20" s="483" t="s">
        <v>74</v>
      </c>
      <c r="C20" s="480" t="s">
        <v>75</v>
      </c>
      <c r="D20" s="481"/>
      <c r="E20" s="482"/>
      <c r="F20" s="476"/>
      <c r="G20" s="482"/>
      <c r="H20" s="478"/>
      <c r="I20" s="477"/>
    </row>
    <row r="21" spans="1:9" x14ac:dyDescent="0.25">
      <c r="A21" s="471">
        <v>14</v>
      </c>
      <c r="B21" s="483" t="s">
        <v>76</v>
      </c>
      <c r="C21" s="480" t="s">
        <v>77</v>
      </c>
      <c r="D21" s="481">
        <v>2755</v>
      </c>
      <c r="E21" s="482"/>
      <c r="F21" s="476"/>
      <c r="G21" s="482"/>
      <c r="H21" s="478"/>
      <c r="I21" s="477"/>
    </row>
    <row r="22" spans="1:9" x14ac:dyDescent="0.25">
      <c r="A22" s="471">
        <v>15</v>
      </c>
      <c r="B22" s="483" t="s">
        <v>78</v>
      </c>
      <c r="C22" s="480" t="s">
        <v>79</v>
      </c>
      <c r="D22" s="481">
        <v>4455</v>
      </c>
      <c r="E22" s="482"/>
      <c r="F22" s="476"/>
      <c r="G22" s="482"/>
      <c r="H22" s="478"/>
      <c r="I22" s="477"/>
    </row>
    <row r="23" spans="1:9" x14ac:dyDescent="0.25">
      <c r="A23" s="471">
        <v>16</v>
      </c>
      <c r="B23" s="483" t="s">
        <v>80</v>
      </c>
      <c r="C23" s="480" t="s">
        <v>81</v>
      </c>
      <c r="D23" s="481">
        <v>3845</v>
      </c>
      <c r="E23" s="482"/>
      <c r="F23" s="476"/>
      <c r="G23" s="482"/>
      <c r="H23" s="478"/>
      <c r="I23" s="477"/>
    </row>
    <row r="24" spans="1:9" x14ac:dyDescent="0.25">
      <c r="A24" s="471">
        <v>17</v>
      </c>
      <c r="B24" s="483" t="s">
        <v>20</v>
      </c>
      <c r="C24" s="480" t="s">
        <v>21</v>
      </c>
      <c r="D24" s="481">
        <v>10114</v>
      </c>
      <c r="E24" s="482">
        <v>81</v>
      </c>
      <c r="F24" s="476"/>
      <c r="G24" s="482"/>
      <c r="H24" s="478">
        <v>113</v>
      </c>
      <c r="I24" s="477">
        <v>1240</v>
      </c>
    </row>
    <row r="25" spans="1:9" x14ac:dyDescent="0.25">
      <c r="A25" s="471">
        <v>18</v>
      </c>
      <c r="B25" s="472" t="s">
        <v>82</v>
      </c>
      <c r="C25" s="480" t="s">
        <v>83</v>
      </c>
      <c r="D25" s="481">
        <v>1051</v>
      </c>
      <c r="E25" s="482"/>
      <c r="F25" s="476"/>
      <c r="G25" s="482"/>
      <c r="H25" s="478"/>
      <c r="I25" s="477"/>
    </row>
    <row r="26" spans="1:9" x14ac:dyDescent="0.25">
      <c r="A26" s="471">
        <v>19</v>
      </c>
      <c r="B26" s="472" t="s">
        <v>84</v>
      </c>
      <c r="C26" s="480" t="s">
        <v>85</v>
      </c>
      <c r="D26" s="481">
        <v>1970</v>
      </c>
      <c r="E26" s="482"/>
      <c r="F26" s="476"/>
      <c r="G26" s="482"/>
      <c r="H26" s="478"/>
      <c r="I26" s="477"/>
    </row>
    <row r="27" spans="1:9" x14ac:dyDescent="0.25">
      <c r="A27" s="471">
        <v>20</v>
      </c>
      <c r="B27" s="472" t="s">
        <v>86</v>
      </c>
      <c r="C27" s="480" t="s">
        <v>87</v>
      </c>
      <c r="D27" s="481">
        <v>6944</v>
      </c>
      <c r="E27" s="482"/>
      <c r="F27" s="476"/>
      <c r="G27" s="482"/>
      <c r="H27" s="478">
        <v>28</v>
      </c>
      <c r="I27" s="477">
        <v>310</v>
      </c>
    </row>
    <row r="28" spans="1:9" x14ac:dyDescent="0.25">
      <c r="A28" s="471">
        <v>21</v>
      </c>
      <c r="B28" s="472" t="s">
        <v>22</v>
      </c>
      <c r="C28" s="480" t="s">
        <v>23</v>
      </c>
      <c r="D28" s="481">
        <v>4592</v>
      </c>
      <c r="E28" s="482">
        <v>81</v>
      </c>
      <c r="F28" s="476"/>
      <c r="G28" s="482"/>
      <c r="H28" s="478"/>
      <c r="I28" s="477"/>
    </row>
    <row r="29" spans="1:9" ht="13.5" customHeight="1" x14ac:dyDescent="0.25">
      <c r="A29" s="484">
        <v>22</v>
      </c>
      <c r="B29" s="483" t="s">
        <v>24</v>
      </c>
      <c r="C29" s="480" t="s">
        <v>25</v>
      </c>
      <c r="D29" s="481"/>
      <c r="E29" s="482"/>
      <c r="F29" s="476"/>
      <c r="G29" s="482"/>
      <c r="H29" s="478"/>
      <c r="I29" s="477"/>
    </row>
    <row r="30" spans="1:9" x14ac:dyDescent="0.25">
      <c r="A30" s="471">
        <v>23</v>
      </c>
      <c r="B30" s="483" t="s">
        <v>88</v>
      </c>
      <c r="C30" s="480" t="s">
        <v>89</v>
      </c>
      <c r="D30" s="481"/>
      <c r="E30" s="482"/>
      <c r="F30" s="476"/>
      <c r="G30" s="482"/>
      <c r="H30" s="478"/>
      <c r="I30" s="477"/>
    </row>
    <row r="31" spans="1:9" ht="25.5" x14ac:dyDescent="0.25">
      <c r="A31" s="471">
        <v>24</v>
      </c>
      <c r="B31" s="483" t="s">
        <v>90</v>
      </c>
      <c r="C31" s="480" t="s">
        <v>91</v>
      </c>
      <c r="D31" s="481"/>
      <c r="E31" s="482"/>
      <c r="F31" s="476"/>
      <c r="G31" s="482"/>
      <c r="H31" s="478"/>
      <c r="I31" s="477"/>
    </row>
    <row r="32" spans="1:9" x14ac:dyDescent="0.25">
      <c r="A32" s="471">
        <v>25</v>
      </c>
      <c r="B32" s="472" t="s">
        <v>92</v>
      </c>
      <c r="C32" s="480" t="s">
        <v>93</v>
      </c>
      <c r="D32" s="481">
        <v>6514</v>
      </c>
      <c r="E32" s="482"/>
      <c r="F32" s="476"/>
      <c r="G32" s="482"/>
      <c r="H32" s="478"/>
      <c r="I32" s="477"/>
    </row>
    <row r="33" spans="1:9" x14ac:dyDescent="0.25">
      <c r="A33" s="471">
        <v>26</v>
      </c>
      <c r="B33" s="483" t="s">
        <v>94</v>
      </c>
      <c r="C33" s="480" t="s">
        <v>95</v>
      </c>
      <c r="D33" s="481"/>
      <c r="E33" s="482"/>
      <c r="F33" s="476"/>
      <c r="G33" s="482"/>
      <c r="H33" s="478"/>
      <c r="I33" s="477"/>
    </row>
    <row r="34" spans="1:9" x14ac:dyDescent="0.25">
      <c r="A34" s="471">
        <v>27</v>
      </c>
      <c r="B34" s="479" t="s">
        <v>96</v>
      </c>
      <c r="C34" s="480" t="s">
        <v>97</v>
      </c>
      <c r="D34" s="481"/>
      <c r="E34" s="482"/>
      <c r="F34" s="476"/>
      <c r="G34" s="482"/>
      <c r="H34" s="478"/>
      <c r="I34" s="477"/>
    </row>
    <row r="35" spans="1:9" x14ac:dyDescent="0.25">
      <c r="A35" s="445">
        <v>28</v>
      </c>
      <c r="B35" s="479" t="s">
        <v>26</v>
      </c>
      <c r="C35" s="480" t="s">
        <v>27</v>
      </c>
      <c r="D35" s="481">
        <v>6325</v>
      </c>
      <c r="E35" s="482">
        <v>81</v>
      </c>
      <c r="F35" s="476"/>
      <c r="G35" s="482"/>
      <c r="H35" s="478"/>
      <c r="I35" s="477"/>
    </row>
    <row r="36" spans="1:9" x14ac:dyDescent="0.25">
      <c r="A36" s="445">
        <v>29</v>
      </c>
      <c r="B36" s="472" t="s">
        <v>98</v>
      </c>
      <c r="C36" s="480" t="s">
        <v>99</v>
      </c>
      <c r="D36" s="481"/>
      <c r="E36" s="482"/>
      <c r="F36" s="476"/>
      <c r="G36" s="482"/>
      <c r="H36" s="478"/>
      <c r="I36" s="477"/>
    </row>
    <row r="37" spans="1:9" x14ac:dyDescent="0.25">
      <c r="A37" s="445">
        <v>30</v>
      </c>
      <c r="B37" s="479" t="s">
        <v>100</v>
      </c>
      <c r="C37" s="480" t="s">
        <v>101</v>
      </c>
      <c r="D37" s="481">
        <v>2866</v>
      </c>
      <c r="E37" s="482"/>
      <c r="F37" s="476"/>
      <c r="G37" s="482"/>
      <c r="H37" s="478"/>
      <c r="I37" s="477"/>
    </row>
    <row r="38" spans="1:9" x14ac:dyDescent="0.25">
      <c r="A38" s="445">
        <v>31</v>
      </c>
      <c r="B38" s="483" t="s">
        <v>102</v>
      </c>
      <c r="C38" s="480" t="s">
        <v>103</v>
      </c>
      <c r="D38" s="481">
        <v>8011</v>
      </c>
      <c r="E38" s="482"/>
      <c r="F38" s="476"/>
      <c r="G38" s="482"/>
      <c r="H38" s="478"/>
      <c r="I38" s="477"/>
    </row>
    <row r="39" spans="1:9" x14ac:dyDescent="0.25">
      <c r="A39" s="445">
        <v>32</v>
      </c>
      <c r="B39" s="479" t="s">
        <v>104</v>
      </c>
      <c r="C39" s="480" t="s">
        <v>105</v>
      </c>
      <c r="D39" s="481">
        <v>2539</v>
      </c>
      <c r="E39" s="482"/>
      <c r="F39" s="476"/>
      <c r="G39" s="482"/>
      <c r="H39" s="478"/>
      <c r="I39" s="477"/>
    </row>
    <row r="40" spans="1:9" x14ac:dyDescent="0.25">
      <c r="A40" s="445">
        <v>33</v>
      </c>
      <c r="B40" s="472" t="s">
        <v>106</v>
      </c>
      <c r="C40" s="480" t="s">
        <v>107</v>
      </c>
      <c r="D40" s="481">
        <v>5969</v>
      </c>
      <c r="E40" s="482"/>
      <c r="F40" s="476"/>
      <c r="G40" s="482"/>
      <c r="H40" s="478"/>
      <c r="I40" s="477"/>
    </row>
    <row r="41" spans="1:9" x14ac:dyDescent="0.25">
      <c r="A41" s="445">
        <v>34</v>
      </c>
      <c r="B41" s="485" t="s">
        <v>108</v>
      </c>
      <c r="C41" s="439" t="s">
        <v>109</v>
      </c>
      <c r="D41" s="481">
        <v>2541</v>
      </c>
      <c r="E41" s="482"/>
      <c r="F41" s="476"/>
      <c r="G41" s="482"/>
      <c r="H41" s="478"/>
      <c r="I41" s="477"/>
    </row>
    <row r="42" spans="1:9" x14ac:dyDescent="0.25">
      <c r="A42" s="445">
        <v>35</v>
      </c>
      <c r="B42" s="472" t="s">
        <v>110</v>
      </c>
      <c r="C42" s="480" t="s">
        <v>111</v>
      </c>
      <c r="D42" s="481">
        <v>1291</v>
      </c>
      <c r="E42" s="482"/>
      <c r="F42" s="476"/>
      <c r="G42" s="482"/>
      <c r="H42" s="478"/>
      <c r="I42" s="477"/>
    </row>
    <row r="43" spans="1:9" x14ac:dyDescent="0.25">
      <c r="A43" s="445">
        <v>36</v>
      </c>
      <c r="B43" s="472" t="s">
        <v>112</v>
      </c>
      <c r="C43" s="480" t="s">
        <v>113</v>
      </c>
      <c r="D43" s="481">
        <v>2271</v>
      </c>
      <c r="E43" s="482"/>
      <c r="F43" s="476"/>
      <c r="G43" s="482"/>
      <c r="H43" s="478"/>
      <c r="I43" s="477"/>
    </row>
    <row r="44" spans="1:9" x14ac:dyDescent="0.25">
      <c r="A44" s="445">
        <v>37</v>
      </c>
      <c r="B44" s="483" t="s">
        <v>114</v>
      </c>
      <c r="C44" s="480" t="s">
        <v>115</v>
      </c>
      <c r="D44" s="481">
        <v>2065</v>
      </c>
      <c r="E44" s="482"/>
      <c r="F44" s="476"/>
      <c r="G44" s="482"/>
      <c r="H44" s="478"/>
      <c r="I44" s="477"/>
    </row>
    <row r="45" spans="1:9" x14ac:dyDescent="0.25">
      <c r="A45" s="445">
        <v>38</v>
      </c>
      <c r="B45" s="479" t="s">
        <v>116</v>
      </c>
      <c r="C45" s="480" t="s">
        <v>117</v>
      </c>
      <c r="D45" s="481"/>
      <c r="E45" s="482"/>
      <c r="F45" s="476"/>
      <c r="G45" s="482"/>
      <c r="H45" s="478"/>
      <c r="I45" s="477"/>
    </row>
    <row r="46" spans="1:9" x14ac:dyDescent="0.25">
      <c r="A46" s="445">
        <v>39</v>
      </c>
      <c r="B46" s="483" t="s">
        <v>28</v>
      </c>
      <c r="C46" s="480" t="s">
        <v>29</v>
      </c>
      <c r="D46" s="481">
        <v>8497</v>
      </c>
      <c r="E46" s="482">
        <v>81</v>
      </c>
      <c r="F46" s="476"/>
      <c r="G46" s="482"/>
      <c r="H46" s="478"/>
      <c r="I46" s="477"/>
    </row>
    <row r="47" spans="1:9" x14ac:dyDescent="0.25">
      <c r="A47" s="445">
        <v>40</v>
      </c>
      <c r="B47" s="472" t="s">
        <v>118</v>
      </c>
      <c r="C47" s="480" t="s">
        <v>119</v>
      </c>
      <c r="D47" s="481">
        <v>2701</v>
      </c>
      <c r="E47" s="482"/>
      <c r="F47" s="476"/>
      <c r="G47" s="482"/>
      <c r="H47" s="478"/>
      <c r="I47" s="477"/>
    </row>
    <row r="48" spans="1:9" x14ac:dyDescent="0.25">
      <c r="A48" s="445">
        <v>41</v>
      </c>
      <c r="B48" s="472" t="s">
        <v>120</v>
      </c>
      <c r="C48" s="480" t="s">
        <v>121</v>
      </c>
      <c r="D48" s="481">
        <v>7435</v>
      </c>
      <c r="E48" s="482"/>
      <c r="F48" s="476"/>
      <c r="G48" s="482"/>
      <c r="H48" s="478">
        <v>56</v>
      </c>
      <c r="I48" s="477">
        <v>620</v>
      </c>
    </row>
    <row r="49" spans="1:9" x14ac:dyDescent="0.25">
      <c r="A49" s="445">
        <v>42</v>
      </c>
      <c r="B49" s="483" t="s">
        <v>122</v>
      </c>
      <c r="C49" s="480" t="s">
        <v>123</v>
      </c>
      <c r="D49" s="481">
        <v>2316</v>
      </c>
      <c r="E49" s="482"/>
      <c r="F49" s="476"/>
      <c r="G49" s="482"/>
      <c r="H49" s="478"/>
      <c r="I49" s="477"/>
    </row>
    <row r="50" spans="1:9" x14ac:dyDescent="0.25">
      <c r="A50" s="445">
        <v>43</v>
      </c>
      <c r="B50" s="486" t="s">
        <v>124</v>
      </c>
      <c r="C50" s="371" t="s">
        <v>125</v>
      </c>
      <c r="D50" s="481">
        <v>2440</v>
      </c>
      <c r="E50" s="482"/>
      <c r="F50" s="476"/>
      <c r="G50" s="482"/>
      <c r="H50" s="478"/>
      <c r="I50" s="477"/>
    </row>
    <row r="51" spans="1:9" x14ac:dyDescent="0.25">
      <c r="A51" s="445">
        <v>87</v>
      </c>
      <c r="B51" s="483" t="s">
        <v>126</v>
      </c>
      <c r="C51" s="480" t="s">
        <v>127</v>
      </c>
      <c r="D51" s="481">
        <v>2536</v>
      </c>
      <c r="E51" s="482"/>
      <c r="F51" s="476"/>
      <c r="G51" s="482"/>
      <c r="H51" s="478"/>
      <c r="I51" s="477"/>
    </row>
    <row r="52" spans="1:9" x14ac:dyDescent="0.25">
      <c r="A52" s="445">
        <v>44</v>
      </c>
      <c r="B52" s="479" t="s">
        <v>128</v>
      </c>
      <c r="C52" s="480" t="s">
        <v>129</v>
      </c>
      <c r="D52" s="481">
        <v>2282</v>
      </c>
      <c r="E52" s="482"/>
      <c r="F52" s="476"/>
      <c r="G52" s="482"/>
      <c r="H52" s="478"/>
      <c r="I52" s="477"/>
    </row>
    <row r="53" spans="1:9" x14ac:dyDescent="0.25">
      <c r="A53" s="445">
        <v>45</v>
      </c>
      <c r="B53" s="483" t="s">
        <v>130</v>
      </c>
      <c r="C53" s="480" t="s">
        <v>131</v>
      </c>
      <c r="D53" s="481">
        <v>1260</v>
      </c>
      <c r="E53" s="482"/>
      <c r="F53" s="476"/>
      <c r="G53" s="482"/>
      <c r="H53" s="478"/>
      <c r="I53" s="477"/>
    </row>
    <row r="54" spans="1:9" x14ac:dyDescent="0.25">
      <c r="A54" s="445">
        <v>46</v>
      </c>
      <c r="B54" s="479" t="s">
        <v>132</v>
      </c>
      <c r="C54" s="480" t="s">
        <v>133</v>
      </c>
      <c r="D54" s="481">
        <v>2544</v>
      </c>
      <c r="E54" s="482"/>
      <c r="F54" s="476"/>
      <c r="G54" s="482"/>
      <c r="H54" s="478"/>
      <c r="I54" s="477"/>
    </row>
    <row r="55" spans="1:9" x14ac:dyDescent="0.25">
      <c r="A55" s="445">
        <v>47</v>
      </c>
      <c r="B55" s="483" t="s">
        <v>134</v>
      </c>
      <c r="C55" s="480" t="s">
        <v>135</v>
      </c>
      <c r="D55" s="481">
        <v>2799</v>
      </c>
      <c r="E55" s="482"/>
      <c r="F55" s="476"/>
      <c r="G55" s="482"/>
      <c r="H55" s="478"/>
      <c r="I55" s="477"/>
    </row>
    <row r="56" spans="1:9" x14ac:dyDescent="0.25">
      <c r="A56" s="445">
        <v>48</v>
      </c>
      <c r="B56" s="483" t="s">
        <v>136</v>
      </c>
      <c r="C56" s="480" t="s">
        <v>137</v>
      </c>
      <c r="D56" s="481">
        <v>10783</v>
      </c>
      <c r="E56" s="482"/>
      <c r="F56" s="476"/>
      <c r="G56" s="482"/>
      <c r="H56" s="478"/>
      <c r="I56" s="477"/>
    </row>
    <row r="57" spans="1:9" x14ac:dyDescent="0.25">
      <c r="A57" s="445">
        <v>49</v>
      </c>
      <c r="B57" s="370" t="s">
        <v>138</v>
      </c>
      <c r="C57" s="371" t="s">
        <v>139</v>
      </c>
      <c r="D57" s="481">
        <v>2076</v>
      </c>
      <c r="E57" s="482"/>
      <c r="F57" s="476"/>
      <c r="G57" s="482"/>
      <c r="H57" s="478"/>
      <c r="I57" s="477"/>
    </row>
    <row r="58" spans="1:9" x14ac:dyDescent="0.25">
      <c r="A58" s="445">
        <v>95</v>
      </c>
      <c r="B58" s="483" t="s">
        <v>140</v>
      </c>
      <c r="C58" s="480" t="s">
        <v>141</v>
      </c>
      <c r="D58" s="481">
        <v>2097</v>
      </c>
      <c r="E58" s="482"/>
      <c r="F58" s="476"/>
      <c r="G58" s="482"/>
      <c r="H58" s="478"/>
      <c r="I58" s="477"/>
    </row>
    <row r="59" spans="1:9" x14ac:dyDescent="0.25">
      <c r="A59" s="445">
        <v>50</v>
      </c>
      <c r="B59" s="486" t="s">
        <v>142</v>
      </c>
      <c r="C59" s="371" t="s">
        <v>143</v>
      </c>
      <c r="D59" s="481">
        <v>1853</v>
      </c>
      <c r="E59" s="482"/>
      <c r="F59" s="476"/>
      <c r="G59" s="482"/>
      <c r="H59" s="478"/>
      <c r="I59" s="477"/>
    </row>
    <row r="60" spans="1:9" x14ac:dyDescent="0.25">
      <c r="A60" s="445">
        <v>97</v>
      </c>
      <c r="B60" s="483" t="s">
        <v>144</v>
      </c>
      <c r="C60" s="480" t="s">
        <v>145</v>
      </c>
      <c r="D60" s="481"/>
      <c r="E60" s="482"/>
      <c r="F60" s="476"/>
      <c r="G60" s="482"/>
      <c r="H60" s="478"/>
      <c r="I60" s="477"/>
    </row>
    <row r="61" spans="1:9" ht="14.25" customHeight="1" x14ac:dyDescent="0.25">
      <c r="A61" s="445">
        <v>51</v>
      </c>
      <c r="B61" s="483" t="s">
        <v>146</v>
      </c>
      <c r="C61" s="480" t="s">
        <v>147</v>
      </c>
      <c r="D61" s="481"/>
      <c r="E61" s="482"/>
      <c r="F61" s="476"/>
      <c r="G61" s="482"/>
      <c r="H61" s="478"/>
      <c r="I61" s="477"/>
    </row>
    <row r="62" spans="1:9" ht="14.25" customHeight="1" x14ac:dyDescent="0.25">
      <c r="A62" s="445">
        <v>52</v>
      </c>
      <c r="B62" s="483" t="s">
        <v>148</v>
      </c>
      <c r="C62" s="480" t="s">
        <v>149</v>
      </c>
      <c r="D62" s="481"/>
      <c r="E62" s="482"/>
      <c r="F62" s="476"/>
      <c r="G62" s="482"/>
      <c r="H62" s="478"/>
      <c r="I62" s="477"/>
    </row>
    <row r="63" spans="1:9" ht="14.25" customHeight="1" x14ac:dyDescent="0.25">
      <c r="A63" s="445">
        <v>53</v>
      </c>
      <c r="B63" s="479" t="s">
        <v>150</v>
      </c>
      <c r="C63" s="480" t="s">
        <v>151</v>
      </c>
      <c r="D63" s="481"/>
      <c r="E63" s="482"/>
      <c r="F63" s="476"/>
      <c r="G63" s="482"/>
      <c r="H63" s="478"/>
      <c r="I63" s="477"/>
    </row>
    <row r="64" spans="1:9" ht="14.25" customHeight="1" x14ac:dyDescent="0.25">
      <c r="A64" s="445">
        <v>54</v>
      </c>
      <c r="B64" s="472" t="s">
        <v>152</v>
      </c>
      <c r="C64" s="480" t="s">
        <v>153</v>
      </c>
      <c r="D64" s="481"/>
      <c r="E64" s="482"/>
      <c r="F64" s="476"/>
      <c r="G64" s="482"/>
      <c r="H64" s="478"/>
      <c r="I64" s="477"/>
    </row>
    <row r="65" spans="1:9" ht="14.25" customHeight="1" x14ac:dyDescent="0.25">
      <c r="A65" s="445">
        <v>55</v>
      </c>
      <c r="B65" s="479" t="s">
        <v>154</v>
      </c>
      <c r="C65" s="480" t="s">
        <v>155</v>
      </c>
      <c r="D65" s="481"/>
      <c r="E65" s="482"/>
      <c r="F65" s="476"/>
      <c r="G65" s="482"/>
      <c r="H65" s="478"/>
      <c r="I65" s="477"/>
    </row>
    <row r="66" spans="1:9" ht="14.25" customHeight="1" x14ac:dyDescent="0.25">
      <c r="A66" s="445">
        <v>56</v>
      </c>
      <c r="B66" s="483" t="s">
        <v>156</v>
      </c>
      <c r="C66" s="480" t="s">
        <v>157</v>
      </c>
      <c r="D66" s="481"/>
      <c r="E66" s="482"/>
      <c r="F66" s="476"/>
      <c r="G66" s="482"/>
      <c r="H66" s="478"/>
      <c r="I66" s="477"/>
    </row>
    <row r="67" spans="1:9" ht="27.75" customHeight="1" x14ac:dyDescent="0.25">
      <c r="A67" s="445">
        <v>57</v>
      </c>
      <c r="B67" s="472" t="s">
        <v>158</v>
      </c>
      <c r="C67" s="480" t="s">
        <v>159</v>
      </c>
      <c r="D67" s="481"/>
      <c r="E67" s="482"/>
      <c r="F67" s="476"/>
      <c r="G67" s="482"/>
      <c r="H67" s="478"/>
      <c r="I67" s="477"/>
    </row>
    <row r="68" spans="1:9" ht="27.75" customHeight="1" x14ac:dyDescent="0.25">
      <c r="A68" s="445">
        <v>58</v>
      </c>
      <c r="B68" s="472" t="s">
        <v>160</v>
      </c>
      <c r="C68" s="480" t="s">
        <v>161</v>
      </c>
      <c r="D68" s="481"/>
      <c r="E68" s="482"/>
      <c r="F68" s="476"/>
      <c r="G68" s="482"/>
      <c r="H68" s="478"/>
      <c r="I68" s="477"/>
    </row>
    <row r="69" spans="1:9" ht="15.75" customHeight="1" x14ac:dyDescent="0.25">
      <c r="A69" s="445">
        <v>59</v>
      </c>
      <c r="B69" s="479" t="s">
        <v>162</v>
      </c>
      <c r="C69" s="480" t="s">
        <v>163</v>
      </c>
      <c r="D69" s="481"/>
      <c r="E69" s="482"/>
      <c r="F69" s="476"/>
      <c r="G69" s="482"/>
      <c r="H69" s="478"/>
      <c r="I69" s="477"/>
    </row>
    <row r="70" spans="1:9" ht="15.75" customHeight="1" x14ac:dyDescent="0.25">
      <c r="A70" s="445">
        <v>60</v>
      </c>
      <c r="B70" s="479" t="s">
        <v>164</v>
      </c>
      <c r="C70" s="480" t="s">
        <v>165</v>
      </c>
      <c r="D70" s="481"/>
      <c r="E70" s="482"/>
      <c r="F70" s="476"/>
      <c r="G70" s="482"/>
      <c r="H70" s="478"/>
      <c r="I70" s="477"/>
    </row>
    <row r="71" spans="1:9" ht="15.75" customHeight="1" x14ac:dyDescent="0.25">
      <c r="A71" s="445">
        <v>61</v>
      </c>
      <c r="B71" s="479" t="s">
        <v>166</v>
      </c>
      <c r="C71" s="480" t="s">
        <v>167</v>
      </c>
      <c r="D71" s="481"/>
      <c r="E71" s="482"/>
      <c r="F71" s="476"/>
      <c r="G71" s="482"/>
      <c r="H71" s="478"/>
      <c r="I71" s="477"/>
    </row>
    <row r="72" spans="1:9" ht="25.5" x14ac:dyDescent="0.25">
      <c r="A72" s="445">
        <v>62</v>
      </c>
      <c r="B72" s="479" t="s">
        <v>168</v>
      </c>
      <c r="C72" s="480" t="s">
        <v>169</v>
      </c>
      <c r="D72" s="481"/>
      <c r="E72" s="482"/>
      <c r="F72" s="476"/>
      <c r="G72" s="482"/>
      <c r="H72" s="478"/>
      <c r="I72" s="477"/>
    </row>
    <row r="73" spans="1:9" ht="25.5" x14ac:dyDescent="0.25">
      <c r="A73" s="445">
        <v>63</v>
      </c>
      <c r="B73" s="472" t="s">
        <v>170</v>
      </c>
      <c r="C73" s="480" t="s">
        <v>171</v>
      </c>
      <c r="D73" s="481"/>
      <c r="E73" s="482"/>
      <c r="F73" s="476"/>
      <c r="G73" s="482"/>
      <c r="H73" s="478"/>
      <c r="I73" s="477"/>
    </row>
    <row r="74" spans="1:9" ht="25.5" x14ac:dyDescent="0.25">
      <c r="A74" s="445">
        <v>64</v>
      </c>
      <c r="B74" s="479" t="s">
        <v>172</v>
      </c>
      <c r="C74" s="480" t="s">
        <v>173</v>
      </c>
      <c r="D74" s="481"/>
      <c r="E74" s="482"/>
      <c r="F74" s="476"/>
      <c r="G74" s="482"/>
      <c r="H74" s="478"/>
      <c r="I74" s="477"/>
    </row>
    <row r="75" spans="1:9" ht="25.5" x14ac:dyDescent="0.25">
      <c r="A75" s="445">
        <v>65</v>
      </c>
      <c r="B75" s="479" t="s">
        <v>174</v>
      </c>
      <c r="C75" s="480" t="s">
        <v>175</v>
      </c>
      <c r="D75" s="481"/>
      <c r="E75" s="482"/>
      <c r="F75" s="476"/>
      <c r="G75" s="482"/>
      <c r="H75" s="478"/>
      <c r="I75" s="477"/>
    </row>
    <row r="76" spans="1:9" ht="25.5" x14ac:dyDescent="0.25">
      <c r="A76" s="445">
        <v>66</v>
      </c>
      <c r="B76" s="472" t="s">
        <v>176</v>
      </c>
      <c r="C76" s="480" t="s">
        <v>177</v>
      </c>
      <c r="D76" s="481"/>
      <c r="E76" s="482"/>
      <c r="F76" s="476"/>
      <c r="G76" s="482"/>
      <c r="H76" s="478"/>
      <c r="I76" s="477"/>
    </row>
    <row r="77" spans="1:9" ht="25.5" x14ac:dyDescent="0.25">
      <c r="A77" s="445">
        <v>67</v>
      </c>
      <c r="B77" s="472" t="s">
        <v>178</v>
      </c>
      <c r="C77" s="480" t="s">
        <v>179</v>
      </c>
      <c r="D77" s="481"/>
      <c r="E77" s="482"/>
      <c r="F77" s="476"/>
      <c r="G77" s="482"/>
      <c r="H77" s="478"/>
      <c r="I77" s="477"/>
    </row>
    <row r="78" spans="1:9" ht="25.5" x14ac:dyDescent="0.25">
      <c r="A78" s="445">
        <v>68</v>
      </c>
      <c r="B78" s="472" t="s">
        <v>180</v>
      </c>
      <c r="C78" s="480" t="s">
        <v>181</v>
      </c>
      <c r="D78" s="481"/>
      <c r="E78" s="482"/>
      <c r="F78" s="476"/>
      <c r="G78" s="482"/>
      <c r="H78" s="478"/>
      <c r="I78" s="477"/>
    </row>
    <row r="79" spans="1:9" ht="14.25" customHeight="1" x14ac:dyDescent="0.25">
      <c r="A79" s="445">
        <v>69</v>
      </c>
      <c r="B79" s="483" t="s">
        <v>182</v>
      </c>
      <c r="C79" s="480" t="s">
        <v>183</v>
      </c>
      <c r="D79" s="481"/>
      <c r="E79" s="482"/>
      <c r="F79" s="476"/>
      <c r="G79" s="482"/>
      <c r="H79" s="478"/>
      <c r="I79" s="477"/>
    </row>
    <row r="80" spans="1:9" x14ac:dyDescent="0.25">
      <c r="A80" s="445">
        <v>70</v>
      </c>
      <c r="B80" s="472" t="s">
        <v>184</v>
      </c>
      <c r="C80" s="480" t="s">
        <v>185</v>
      </c>
      <c r="D80" s="481"/>
      <c r="E80" s="482"/>
      <c r="F80" s="476"/>
      <c r="G80" s="482"/>
      <c r="H80" s="478"/>
      <c r="I80" s="477"/>
    </row>
    <row r="81" spans="1:9" x14ac:dyDescent="0.25">
      <c r="A81" s="445">
        <v>71</v>
      </c>
      <c r="B81" s="483" t="s">
        <v>186</v>
      </c>
      <c r="C81" s="480" t="s">
        <v>187</v>
      </c>
      <c r="D81" s="481"/>
      <c r="E81" s="482"/>
      <c r="F81" s="476"/>
      <c r="G81" s="482"/>
      <c r="H81" s="478"/>
      <c r="I81" s="477"/>
    </row>
    <row r="82" spans="1:9" x14ac:dyDescent="0.25">
      <c r="A82" s="445">
        <v>72</v>
      </c>
      <c r="B82" s="472" t="s">
        <v>188</v>
      </c>
      <c r="C82" s="480" t="s">
        <v>461</v>
      </c>
      <c r="D82" s="481"/>
      <c r="E82" s="482"/>
      <c r="F82" s="476"/>
      <c r="G82" s="482"/>
      <c r="H82" s="478"/>
      <c r="I82" s="477"/>
    </row>
    <row r="83" spans="1:9" x14ac:dyDescent="0.25">
      <c r="A83" s="445">
        <v>73</v>
      </c>
      <c r="B83" s="472" t="s">
        <v>190</v>
      </c>
      <c r="C83" s="480" t="s">
        <v>191</v>
      </c>
      <c r="D83" s="481"/>
      <c r="E83" s="482"/>
      <c r="F83" s="476"/>
      <c r="G83" s="482"/>
      <c r="H83" s="478"/>
      <c r="I83" s="477"/>
    </row>
    <row r="84" spans="1:9" x14ac:dyDescent="0.25">
      <c r="A84" s="445">
        <v>74</v>
      </c>
      <c r="B84" s="472" t="s">
        <v>192</v>
      </c>
      <c r="C84" s="480" t="s">
        <v>193</v>
      </c>
      <c r="D84" s="481"/>
      <c r="E84" s="482"/>
      <c r="F84" s="476"/>
      <c r="G84" s="482"/>
      <c r="H84" s="478"/>
      <c r="I84" s="477"/>
    </row>
    <row r="85" spans="1:9" x14ac:dyDescent="0.25">
      <c r="A85" s="445">
        <v>75</v>
      </c>
      <c r="B85" s="472" t="s">
        <v>194</v>
      </c>
      <c r="C85" s="480" t="s">
        <v>195</v>
      </c>
      <c r="D85" s="481"/>
      <c r="E85" s="482"/>
      <c r="F85" s="476"/>
      <c r="G85" s="482"/>
      <c r="H85" s="478"/>
      <c r="I85" s="477"/>
    </row>
    <row r="86" spans="1:9" x14ac:dyDescent="0.25">
      <c r="A86" s="445">
        <v>76</v>
      </c>
      <c r="B86" s="472" t="s">
        <v>196</v>
      </c>
      <c r="C86" s="480" t="s">
        <v>197</v>
      </c>
      <c r="D86" s="481"/>
      <c r="E86" s="482"/>
      <c r="F86" s="476"/>
      <c r="G86" s="482"/>
      <c r="H86" s="478"/>
      <c r="I86" s="477"/>
    </row>
    <row r="87" spans="1:9" x14ac:dyDescent="0.25">
      <c r="A87" s="445">
        <v>77</v>
      </c>
      <c r="B87" s="479" t="s">
        <v>30</v>
      </c>
      <c r="C87" s="480" t="s">
        <v>198</v>
      </c>
      <c r="D87" s="481"/>
      <c r="E87" s="482"/>
      <c r="F87" s="476"/>
      <c r="G87" s="482"/>
      <c r="H87" s="478"/>
      <c r="I87" s="477"/>
    </row>
    <row r="88" spans="1:9" ht="25.5" x14ac:dyDescent="0.25">
      <c r="A88" s="1221">
        <v>78</v>
      </c>
      <c r="B88" s="1224" t="s">
        <v>199</v>
      </c>
      <c r="C88" s="487" t="s">
        <v>200</v>
      </c>
      <c r="D88" s="481"/>
      <c r="E88" s="482"/>
      <c r="F88" s="476"/>
      <c r="G88" s="482"/>
      <c r="H88" s="478"/>
      <c r="I88" s="477"/>
    </row>
    <row r="89" spans="1:9" ht="38.25" x14ac:dyDescent="0.25">
      <c r="A89" s="1222"/>
      <c r="B89" s="1225"/>
      <c r="C89" s="480" t="s">
        <v>201</v>
      </c>
      <c r="D89" s="481"/>
      <c r="E89" s="482"/>
      <c r="F89" s="476"/>
      <c r="G89" s="482"/>
      <c r="H89" s="478"/>
      <c r="I89" s="477"/>
    </row>
    <row r="90" spans="1:9" ht="25.5" x14ac:dyDescent="0.25">
      <c r="A90" s="1222"/>
      <c r="B90" s="1225"/>
      <c r="C90" s="480" t="s">
        <v>202</v>
      </c>
      <c r="D90" s="481"/>
      <c r="E90" s="482"/>
      <c r="F90" s="476"/>
      <c r="G90" s="482"/>
      <c r="H90" s="478"/>
      <c r="I90" s="477"/>
    </row>
    <row r="91" spans="1:9" ht="38.25" x14ac:dyDescent="0.25">
      <c r="A91" s="1223"/>
      <c r="B91" s="1226"/>
      <c r="C91" s="488" t="s">
        <v>203</v>
      </c>
      <c r="D91" s="481"/>
      <c r="E91" s="482"/>
      <c r="F91" s="476"/>
      <c r="G91" s="482"/>
      <c r="H91" s="478"/>
      <c r="I91" s="477"/>
    </row>
    <row r="92" spans="1:9" ht="25.5" x14ac:dyDescent="0.25">
      <c r="A92" s="489">
        <v>79</v>
      </c>
      <c r="B92" s="479" t="s">
        <v>204</v>
      </c>
      <c r="C92" s="480" t="s">
        <v>205</v>
      </c>
      <c r="D92" s="481"/>
      <c r="E92" s="482"/>
      <c r="F92" s="476"/>
      <c r="G92" s="482"/>
      <c r="H92" s="478"/>
      <c r="I92" s="477"/>
    </row>
    <row r="93" spans="1:9" x14ac:dyDescent="0.25">
      <c r="A93" s="445">
        <v>80</v>
      </c>
      <c r="B93" s="479" t="s">
        <v>206</v>
      </c>
      <c r="C93" s="480" t="s">
        <v>207</v>
      </c>
      <c r="D93" s="481"/>
      <c r="E93" s="482"/>
      <c r="F93" s="476"/>
      <c r="G93" s="482"/>
      <c r="H93" s="478"/>
      <c r="I93" s="477"/>
    </row>
    <row r="94" spans="1:9" ht="14.25" customHeight="1" x14ac:dyDescent="0.25">
      <c r="A94" s="445">
        <v>81</v>
      </c>
      <c r="B94" s="483" t="s">
        <v>208</v>
      </c>
      <c r="C94" s="480" t="s">
        <v>209</v>
      </c>
      <c r="D94" s="481"/>
      <c r="E94" s="482"/>
      <c r="F94" s="476"/>
      <c r="G94" s="482"/>
      <c r="H94" s="478"/>
      <c r="I94" s="477"/>
    </row>
    <row r="95" spans="1:9" x14ac:dyDescent="0.25">
      <c r="A95" s="445">
        <v>82</v>
      </c>
      <c r="B95" s="479" t="s">
        <v>210</v>
      </c>
      <c r="C95" s="480" t="s">
        <v>211</v>
      </c>
      <c r="D95" s="481">
        <v>1653</v>
      </c>
      <c r="E95" s="482"/>
      <c r="F95" s="476"/>
      <c r="G95" s="482"/>
      <c r="H95" s="478"/>
      <c r="I95" s="477"/>
    </row>
    <row r="96" spans="1:9" x14ac:dyDescent="0.25">
      <c r="A96" s="445">
        <v>83</v>
      </c>
      <c r="B96" s="483" t="s">
        <v>212</v>
      </c>
      <c r="C96" s="480" t="s">
        <v>213</v>
      </c>
      <c r="D96" s="481">
        <v>2130</v>
      </c>
      <c r="E96" s="482"/>
      <c r="F96" s="476"/>
      <c r="G96" s="482"/>
      <c r="H96" s="478"/>
      <c r="I96" s="477"/>
    </row>
    <row r="97" spans="1:9" x14ac:dyDescent="0.25">
      <c r="A97" s="445">
        <v>84</v>
      </c>
      <c r="B97" s="483" t="s">
        <v>214</v>
      </c>
      <c r="C97" s="480" t="s">
        <v>215</v>
      </c>
      <c r="D97" s="481">
        <v>3711</v>
      </c>
      <c r="E97" s="482"/>
      <c r="F97" s="476"/>
      <c r="G97" s="482"/>
      <c r="H97" s="478"/>
      <c r="I97" s="477"/>
    </row>
    <row r="98" spans="1:9" x14ac:dyDescent="0.25">
      <c r="A98" s="445">
        <v>85</v>
      </c>
      <c r="B98" s="479" t="s">
        <v>216</v>
      </c>
      <c r="C98" s="480" t="s">
        <v>217</v>
      </c>
      <c r="D98" s="481">
        <v>1644</v>
      </c>
      <c r="E98" s="482"/>
      <c r="F98" s="476"/>
      <c r="G98" s="482"/>
      <c r="H98" s="478"/>
      <c r="I98" s="477"/>
    </row>
    <row r="99" spans="1:9" x14ac:dyDescent="0.25">
      <c r="A99" s="445">
        <v>86</v>
      </c>
      <c r="B99" s="472" t="s">
        <v>218</v>
      </c>
      <c r="C99" s="480" t="s">
        <v>219</v>
      </c>
      <c r="D99" s="481">
        <v>5035</v>
      </c>
      <c r="E99" s="482"/>
      <c r="F99" s="476"/>
      <c r="G99" s="482"/>
      <c r="H99" s="478"/>
      <c r="I99" s="477"/>
    </row>
    <row r="100" spans="1:9" x14ac:dyDescent="0.25">
      <c r="A100" s="445">
        <v>88</v>
      </c>
      <c r="B100" s="472" t="s">
        <v>220</v>
      </c>
      <c r="C100" s="480" t="s">
        <v>221</v>
      </c>
      <c r="D100" s="481">
        <v>3611</v>
      </c>
      <c r="E100" s="482"/>
      <c r="F100" s="476"/>
      <c r="G100" s="482"/>
      <c r="H100" s="478"/>
      <c r="I100" s="477"/>
    </row>
    <row r="101" spans="1:9" x14ac:dyDescent="0.25">
      <c r="A101" s="445">
        <v>89</v>
      </c>
      <c r="B101" s="483" t="s">
        <v>222</v>
      </c>
      <c r="C101" s="480" t="s">
        <v>223</v>
      </c>
      <c r="D101" s="481">
        <v>1651</v>
      </c>
      <c r="E101" s="482"/>
      <c r="F101" s="476"/>
      <c r="G101" s="482"/>
      <c r="H101" s="478"/>
      <c r="I101" s="477"/>
    </row>
    <row r="102" spans="1:9" x14ac:dyDescent="0.25">
      <c r="A102" s="445">
        <v>90</v>
      </c>
      <c r="B102" s="472" t="s">
        <v>224</v>
      </c>
      <c r="C102" s="480" t="s">
        <v>225</v>
      </c>
      <c r="D102" s="481">
        <v>2232</v>
      </c>
      <c r="E102" s="482"/>
      <c r="F102" s="476"/>
      <c r="G102" s="482"/>
      <c r="H102" s="478"/>
      <c r="I102" s="477"/>
    </row>
    <row r="103" spans="1:9" x14ac:dyDescent="0.25">
      <c r="A103" s="445">
        <v>91</v>
      </c>
      <c r="B103" s="472" t="s">
        <v>226</v>
      </c>
      <c r="C103" s="480" t="s">
        <v>227</v>
      </c>
      <c r="D103" s="481">
        <v>1702</v>
      </c>
      <c r="E103" s="482"/>
      <c r="F103" s="476"/>
      <c r="G103" s="482"/>
      <c r="H103" s="478"/>
      <c r="I103" s="477"/>
    </row>
    <row r="104" spans="1:9" x14ac:dyDescent="0.25">
      <c r="A104" s="445">
        <v>92</v>
      </c>
      <c r="B104" s="479" t="s">
        <v>32</v>
      </c>
      <c r="C104" s="480" t="s">
        <v>33</v>
      </c>
      <c r="D104" s="481">
        <v>2656</v>
      </c>
      <c r="E104" s="482">
        <v>81</v>
      </c>
      <c r="F104" s="476"/>
      <c r="G104" s="482"/>
      <c r="H104" s="478"/>
      <c r="I104" s="477"/>
    </row>
    <row r="105" spans="1:9" x14ac:dyDescent="0.25">
      <c r="A105" s="445">
        <v>93</v>
      </c>
      <c r="B105" s="483" t="s">
        <v>228</v>
      </c>
      <c r="C105" s="480" t="s">
        <v>229</v>
      </c>
      <c r="D105" s="481">
        <v>4619</v>
      </c>
      <c r="E105" s="482"/>
      <c r="F105" s="476"/>
      <c r="G105" s="482"/>
      <c r="H105" s="478"/>
      <c r="I105" s="477"/>
    </row>
    <row r="106" spans="1:9" x14ac:dyDescent="0.25">
      <c r="A106" s="445">
        <v>94</v>
      </c>
      <c r="B106" s="472" t="s">
        <v>230</v>
      </c>
      <c r="C106" s="480" t="s">
        <v>231</v>
      </c>
      <c r="D106" s="481">
        <v>4678</v>
      </c>
      <c r="E106" s="482"/>
      <c r="F106" s="476"/>
      <c r="G106" s="482"/>
      <c r="H106" s="478"/>
      <c r="I106" s="477"/>
    </row>
    <row r="107" spans="1:9" x14ac:dyDescent="0.25">
      <c r="A107" s="445">
        <v>96</v>
      </c>
      <c r="B107" s="472" t="s">
        <v>232</v>
      </c>
      <c r="C107" s="480" t="s">
        <v>233</v>
      </c>
      <c r="D107" s="481"/>
      <c r="E107" s="482"/>
      <c r="F107" s="476"/>
      <c r="G107" s="482"/>
      <c r="H107" s="478"/>
      <c r="I107" s="477"/>
    </row>
    <row r="108" spans="1:9" x14ac:dyDescent="0.25">
      <c r="A108" s="445">
        <v>98</v>
      </c>
      <c r="B108" s="472" t="s">
        <v>234</v>
      </c>
      <c r="C108" s="480" t="s">
        <v>235</v>
      </c>
      <c r="D108" s="481"/>
      <c r="E108" s="482"/>
      <c r="F108" s="476"/>
      <c r="G108" s="482"/>
      <c r="H108" s="478"/>
      <c r="I108" s="477"/>
    </row>
    <row r="109" spans="1:9" x14ac:dyDescent="0.25">
      <c r="A109" s="445">
        <v>99</v>
      </c>
      <c r="B109" s="483" t="s">
        <v>236</v>
      </c>
      <c r="C109" s="480" t="s">
        <v>237</v>
      </c>
      <c r="D109" s="481"/>
      <c r="E109" s="482"/>
      <c r="F109" s="476"/>
      <c r="G109" s="482"/>
      <c r="H109" s="478"/>
      <c r="I109" s="477"/>
    </row>
    <row r="110" spans="1:9" x14ac:dyDescent="0.25">
      <c r="A110" s="445">
        <v>100</v>
      </c>
      <c r="B110" s="483" t="s">
        <v>238</v>
      </c>
      <c r="C110" s="480" t="s">
        <v>239</v>
      </c>
      <c r="D110" s="481"/>
      <c r="E110" s="482"/>
      <c r="F110" s="476"/>
      <c r="G110" s="482"/>
      <c r="H110" s="478"/>
      <c r="I110" s="477"/>
    </row>
    <row r="111" spans="1:9" ht="25.5" x14ac:dyDescent="0.25">
      <c r="A111" s="445">
        <v>101</v>
      </c>
      <c r="B111" s="483" t="s">
        <v>240</v>
      </c>
      <c r="C111" s="480" t="s">
        <v>241</v>
      </c>
      <c r="D111" s="481"/>
      <c r="E111" s="482"/>
      <c r="F111" s="476"/>
      <c r="G111" s="482"/>
      <c r="H111" s="478"/>
      <c r="I111" s="477"/>
    </row>
    <row r="112" spans="1:9" x14ac:dyDescent="0.25">
      <c r="A112" s="445">
        <v>102</v>
      </c>
      <c r="B112" s="483" t="s">
        <v>242</v>
      </c>
      <c r="C112" s="480" t="s">
        <v>243</v>
      </c>
      <c r="D112" s="481"/>
      <c r="E112" s="482"/>
      <c r="F112" s="476"/>
      <c r="G112" s="482"/>
      <c r="H112" s="478"/>
      <c r="I112" s="477"/>
    </row>
    <row r="113" spans="1:9" x14ac:dyDescent="0.25">
      <c r="A113" s="445">
        <v>103</v>
      </c>
      <c r="B113" s="483" t="s">
        <v>244</v>
      </c>
      <c r="C113" s="480" t="s">
        <v>245</v>
      </c>
      <c r="D113" s="481"/>
      <c r="E113" s="482"/>
      <c r="F113" s="476"/>
      <c r="G113" s="482"/>
      <c r="H113" s="478"/>
      <c r="I113" s="477"/>
    </row>
    <row r="114" spans="1:9" x14ac:dyDescent="0.25">
      <c r="A114" s="445">
        <v>104</v>
      </c>
      <c r="B114" s="490" t="s">
        <v>246</v>
      </c>
      <c r="C114" s="439" t="s">
        <v>247</v>
      </c>
      <c r="D114" s="481"/>
      <c r="E114" s="482"/>
      <c r="F114" s="476"/>
      <c r="G114" s="482"/>
      <c r="H114" s="478"/>
      <c r="I114" s="477"/>
    </row>
    <row r="115" spans="1:9" x14ac:dyDescent="0.25">
      <c r="A115" s="445">
        <v>105</v>
      </c>
      <c r="B115" s="479" t="s">
        <v>248</v>
      </c>
      <c r="C115" s="480" t="s">
        <v>249</v>
      </c>
      <c r="D115" s="481"/>
      <c r="E115" s="482"/>
      <c r="F115" s="476"/>
      <c r="G115" s="482"/>
      <c r="H115" s="478"/>
      <c r="I115" s="477"/>
    </row>
    <row r="116" spans="1:9" x14ac:dyDescent="0.25">
      <c r="A116" s="445">
        <v>106</v>
      </c>
      <c r="B116" s="483" t="s">
        <v>250</v>
      </c>
      <c r="C116" s="480" t="s">
        <v>251</v>
      </c>
      <c r="D116" s="481"/>
      <c r="E116" s="482"/>
      <c r="F116" s="476"/>
      <c r="G116" s="482"/>
      <c r="H116" s="478"/>
      <c r="I116" s="477"/>
    </row>
    <row r="117" spans="1:9" x14ac:dyDescent="0.25">
      <c r="A117" s="445">
        <v>107</v>
      </c>
      <c r="B117" s="472" t="s">
        <v>252</v>
      </c>
      <c r="C117" s="491" t="s">
        <v>253</v>
      </c>
      <c r="D117" s="492"/>
      <c r="E117" s="482"/>
      <c r="F117" s="476"/>
      <c r="G117" s="482"/>
      <c r="H117" s="478"/>
      <c r="I117" s="477"/>
    </row>
    <row r="118" spans="1:9" x14ac:dyDescent="0.25">
      <c r="A118" s="445">
        <v>108</v>
      </c>
      <c r="B118" s="483" t="s">
        <v>254</v>
      </c>
      <c r="C118" s="493" t="s">
        <v>255</v>
      </c>
      <c r="D118" s="492"/>
      <c r="E118" s="482"/>
      <c r="F118" s="476"/>
      <c r="G118" s="482"/>
      <c r="H118" s="478"/>
      <c r="I118" s="477"/>
    </row>
    <row r="119" spans="1:9" x14ac:dyDescent="0.25">
      <c r="A119" s="445">
        <v>109</v>
      </c>
      <c r="B119" s="479" t="s">
        <v>256</v>
      </c>
      <c r="C119" s="493" t="s">
        <v>257</v>
      </c>
      <c r="D119" s="492"/>
      <c r="E119" s="482"/>
      <c r="F119" s="476"/>
      <c r="G119" s="482"/>
      <c r="H119" s="478"/>
      <c r="I119" s="477"/>
    </row>
    <row r="120" spans="1:9" x14ac:dyDescent="0.25">
      <c r="A120" s="445">
        <v>110</v>
      </c>
      <c r="B120" s="494" t="s">
        <v>258</v>
      </c>
      <c r="C120" s="493" t="s">
        <v>259</v>
      </c>
      <c r="D120" s="492"/>
      <c r="E120" s="482"/>
      <c r="F120" s="476"/>
      <c r="G120" s="482"/>
      <c r="H120" s="478"/>
      <c r="I120" s="477"/>
    </row>
    <row r="121" spans="1:9" x14ac:dyDescent="0.25">
      <c r="A121" s="445">
        <v>111</v>
      </c>
      <c r="B121" s="483" t="s">
        <v>551</v>
      </c>
      <c r="C121" s="495" t="s">
        <v>552</v>
      </c>
      <c r="D121" s="492"/>
      <c r="E121" s="482"/>
      <c r="F121" s="476"/>
      <c r="G121" s="482"/>
      <c r="H121" s="478"/>
      <c r="I121" s="477"/>
    </row>
    <row r="122" spans="1:9" x14ac:dyDescent="0.25">
      <c r="A122" s="445">
        <v>112</v>
      </c>
      <c r="B122" s="479" t="s">
        <v>260</v>
      </c>
      <c r="C122" s="493" t="s">
        <v>261</v>
      </c>
      <c r="D122" s="492"/>
      <c r="E122" s="482"/>
      <c r="F122" s="476"/>
      <c r="G122" s="482"/>
      <c r="H122" s="478"/>
      <c r="I122" s="477"/>
    </row>
    <row r="123" spans="1:9" x14ac:dyDescent="0.25">
      <c r="A123" s="445">
        <v>113</v>
      </c>
      <c r="B123" s="483" t="s">
        <v>262</v>
      </c>
      <c r="C123" s="493" t="s">
        <v>263</v>
      </c>
      <c r="D123" s="492"/>
      <c r="E123" s="482"/>
      <c r="F123" s="476"/>
      <c r="G123" s="482"/>
      <c r="H123" s="478"/>
      <c r="I123" s="477"/>
    </row>
    <row r="124" spans="1:9" ht="25.5" x14ac:dyDescent="0.25">
      <c r="A124" s="445">
        <v>114</v>
      </c>
      <c r="B124" s="483" t="s">
        <v>264</v>
      </c>
      <c r="C124" s="496" t="s">
        <v>265</v>
      </c>
      <c r="D124" s="492"/>
      <c r="E124" s="482"/>
      <c r="F124" s="476"/>
      <c r="G124" s="482"/>
      <c r="H124" s="478"/>
      <c r="I124" s="477"/>
    </row>
    <row r="125" spans="1:9" x14ac:dyDescent="0.25">
      <c r="A125" s="445">
        <v>115</v>
      </c>
      <c r="B125" s="483" t="s">
        <v>266</v>
      </c>
      <c r="C125" s="480" t="s">
        <v>267</v>
      </c>
      <c r="D125" s="481"/>
      <c r="E125" s="482"/>
      <c r="F125" s="476"/>
      <c r="G125" s="482"/>
      <c r="H125" s="478"/>
      <c r="I125" s="477"/>
    </row>
    <row r="126" spans="1:9" x14ac:dyDescent="0.25">
      <c r="A126" s="445">
        <v>116</v>
      </c>
      <c r="B126" s="483" t="s">
        <v>268</v>
      </c>
      <c r="C126" s="480" t="s">
        <v>269</v>
      </c>
      <c r="D126" s="481"/>
      <c r="E126" s="482"/>
      <c r="F126" s="476"/>
      <c r="G126" s="482"/>
      <c r="H126" s="478"/>
      <c r="I126" s="477"/>
    </row>
    <row r="127" spans="1:9" x14ac:dyDescent="0.25">
      <c r="A127" s="445">
        <v>117</v>
      </c>
      <c r="B127" s="483" t="s">
        <v>270</v>
      </c>
      <c r="C127" s="480" t="s">
        <v>271</v>
      </c>
      <c r="D127" s="481"/>
      <c r="E127" s="482"/>
      <c r="F127" s="476"/>
      <c r="G127" s="482"/>
      <c r="H127" s="478"/>
      <c r="I127" s="477"/>
    </row>
    <row r="128" spans="1:9" x14ac:dyDescent="0.25">
      <c r="A128" s="445">
        <v>118</v>
      </c>
      <c r="B128" s="472" t="s">
        <v>272</v>
      </c>
      <c r="C128" s="480" t="s">
        <v>273</v>
      </c>
      <c r="D128" s="481"/>
      <c r="E128" s="482"/>
      <c r="F128" s="476"/>
      <c r="G128" s="482"/>
      <c r="H128" s="478"/>
      <c r="I128" s="477"/>
    </row>
    <row r="129" spans="1:9" x14ac:dyDescent="0.25">
      <c r="A129" s="445">
        <v>119</v>
      </c>
      <c r="B129" s="472" t="s">
        <v>274</v>
      </c>
      <c r="C129" s="480" t="s">
        <v>275</v>
      </c>
      <c r="D129" s="481">
        <v>93850</v>
      </c>
      <c r="E129" s="482">
        <v>8852</v>
      </c>
      <c r="F129" s="481">
        <v>746</v>
      </c>
      <c r="G129" s="482">
        <v>11187</v>
      </c>
      <c r="H129" s="478">
        <v>197</v>
      </c>
      <c r="I129" s="477">
        <v>2170</v>
      </c>
    </row>
    <row r="130" spans="1:9" x14ac:dyDescent="0.25">
      <c r="A130" s="445">
        <v>120</v>
      </c>
      <c r="B130" s="472" t="s">
        <v>276</v>
      </c>
      <c r="C130" s="480" t="s">
        <v>277</v>
      </c>
      <c r="D130" s="481"/>
      <c r="E130" s="482"/>
      <c r="F130" s="476"/>
      <c r="G130" s="482"/>
      <c r="H130" s="478"/>
      <c r="I130" s="477"/>
    </row>
    <row r="131" spans="1:9" x14ac:dyDescent="0.25">
      <c r="A131" s="445">
        <v>121</v>
      </c>
      <c r="B131" s="483" t="s">
        <v>278</v>
      </c>
      <c r="C131" s="480" t="s">
        <v>279</v>
      </c>
      <c r="D131" s="481"/>
      <c r="E131" s="482"/>
      <c r="F131" s="476"/>
      <c r="G131" s="482"/>
      <c r="H131" s="478"/>
      <c r="I131" s="477"/>
    </row>
    <row r="132" spans="1:9" x14ac:dyDescent="0.25">
      <c r="A132" s="445">
        <v>122</v>
      </c>
      <c r="B132" s="483" t="s">
        <v>280</v>
      </c>
      <c r="C132" s="480" t="s">
        <v>281</v>
      </c>
      <c r="D132" s="481"/>
      <c r="E132" s="482"/>
      <c r="F132" s="476"/>
      <c r="G132" s="482"/>
      <c r="H132" s="478"/>
      <c r="I132" s="477"/>
    </row>
    <row r="133" spans="1:9" x14ac:dyDescent="0.25">
      <c r="A133" s="445">
        <v>123</v>
      </c>
      <c r="B133" s="483" t="s">
        <v>282</v>
      </c>
      <c r="C133" s="480" t="s">
        <v>783</v>
      </c>
      <c r="D133" s="481"/>
      <c r="E133" s="482"/>
      <c r="F133" s="476"/>
      <c r="G133" s="482"/>
      <c r="H133" s="478"/>
      <c r="I133" s="477"/>
    </row>
    <row r="134" spans="1:9" x14ac:dyDescent="0.25">
      <c r="A134" s="445">
        <v>124</v>
      </c>
      <c r="B134" s="472" t="s">
        <v>283</v>
      </c>
      <c r="C134" s="480" t="s">
        <v>284</v>
      </c>
      <c r="D134" s="481"/>
      <c r="E134" s="482"/>
      <c r="F134" s="476"/>
      <c r="G134" s="482"/>
      <c r="H134" s="478"/>
      <c r="I134" s="477"/>
    </row>
    <row r="135" spans="1:9" ht="23.25" customHeight="1" x14ac:dyDescent="0.25">
      <c r="A135" s="445">
        <v>125</v>
      </c>
      <c r="B135" s="479" t="s">
        <v>285</v>
      </c>
      <c r="C135" s="480" t="s">
        <v>737</v>
      </c>
      <c r="D135" s="481">
        <v>5297</v>
      </c>
      <c r="E135" s="482"/>
      <c r="F135" s="476"/>
      <c r="G135" s="482"/>
      <c r="H135" s="478"/>
      <c r="I135" s="477"/>
    </row>
    <row r="136" spans="1:9" x14ac:dyDescent="0.25">
      <c r="A136" s="445">
        <v>126</v>
      </c>
      <c r="B136" s="483" t="s">
        <v>286</v>
      </c>
      <c r="C136" s="480" t="s">
        <v>287</v>
      </c>
      <c r="D136" s="481"/>
      <c r="E136" s="482"/>
      <c r="F136" s="481"/>
      <c r="G136" s="482"/>
      <c r="H136" s="478"/>
      <c r="I136" s="477"/>
    </row>
    <row r="137" spans="1:9" x14ac:dyDescent="0.25">
      <c r="A137" s="445">
        <v>127</v>
      </c>
      <c r="B137" s="472" t="s">
        <v>288</v>
      </c>
      <c r="C137" s="480" t="s">
        <v>289</v>
      </c>
      <c r="D137" s="481"/>
      <c r="E137" s="482"/>
      <c r="F137" s="476"/>
      <c r="G137" s="482"/>
      <c r="H137" s="478"/>
      <c r="I137" s="477"/>
    </row>
    <row r="138" spans="1:9" x14ac:dyDescent="0.25">
      <c r="A138" s="445">
        <v>128</v>
      </c>
      <c r="B138" s="483" t="s">
        <v>290</v>
      </c>
      <c r="C138" s="480" t="s">
        <v>291</v>
      </c>
      <c r="D138" s="481"/>
      <c r="E138" s="482"/>
      <c r="F138" s="476"/>
      <c r="G138" s="482"/>
      <c r="H138" s="478"/>
      <c r="I138" s="477"/>
    </row>
    <row r="139" spans="1:9" x14ac:dyDescent="0.25">
      <c r="A139" s="445">
        <v>129</v>
      </c>
      <c r="B139" s="497" t="s">
        <v>292</v>
      </c>
      <c r="C139" s="498" t="s">
        <v>293</v>
      </c>
      <c r="D139" s="481"/>
      <c r="E139" s="482"/>
      <c r="F139" s="476"/>
      <c r="G139" s="482"/>
      <c r="H139" s="478"/>
      <c r="I139" s="477"/>
    </row>
    <row r="140" spans="1:9" x14ac:dyDescent="0.25">
      <c r="A140" s="445">
        <v>130</v>
      </c>
      <c r="B140" s="499" t="s">
        <v>294</v>
      </c>
      <c r="C140" s="498" t="s">
        <v>295</v>
      </c>
      <c r="D140" s="481"/>
      <c r="E140" s="482"/>
      <c r="F140" s="476"/>
      <c r="G140" s="482"/>
      <c r="H140" s="478"/>
      <c r="I140" s="477"/>
    </row>
    <row r="141" spans="1:9" x14ac:dyDescent="0.25">
      <c r="A141" s="445">
        <v>131</v>
      </c>
      <c r="B141" s="500" t="s">
        <v>296</v>
      </c>
      <c r="C141" s="501" t="s">
        <v>462</v>
      </c>
      <c r="D141" s="481"/>
      <c r="E141" s="482"/>
      <c r="F141" s="476"/>
      <c r="G141" s="482"/>
      <c r="H141" s="478"/>
      <c r="I141" s="477"/>
    </row>
    <row r="142" spans="1:9" x14ac:dyDescent="0.25">
      <c r="A142" s="445">
        <v>132</v>
      </c>
      <c r="B142" s="502" t="s">
        <v>298</v>
      </c>
      <c r="C142" s="503" t="s">
        <v>299</v>
      </c>
      <c r="D142" s="492"/>
      <c r="E142" s="482"/>
      <c r="F142" s="476"/>
      <c r="G142" s="482"/>
      <c r="H142" s="478"/>
      <c r="I142" s="477"/>
    </row>
    <row r="143" spans="1:9" x14ac:dyDescent="0.25">
      <c r="A143" s="445">
        <v>133</v>
      </c>
      <c r="B143" s="438" t="s">
        <v>300</v>
      </c>
      <c r="C143" s="503" t="s">
        <v>301</v>
      </c>
      <c r="D143" s="492"/>
      <c r="E143" s="482"/>
      <c r="F143" s="476"/>
      <c r="G143" s="482"/>
      <c r="H143" s="478"/>
      <c r="I143" s="477"/>
    </row>
    <row r="144" spans="1:9" x14ac:dyDescent="0.25">
      <c r="A144" s="445">
        <v>134</v>
      </c>
      <c r="B144" s="438" t="s">
        <v>302</v>
      </c>
      <c r="C144" s="503" t="s">
        <v>303</v>
      </c>
      <c r="D144" s="492"/>
      <c r="E144" s="477"/>
      <c r="F144" s="504"/>
      <c r="G144" s="482"/>
      <c r="H144" s="478"/>
      <c r="I144" s="477"/>
    </row>
    <row r="145" spans="1:9" ht="15.75" thickBot="1" x14ac:dyDescent="0.3">
      <c r="A145" s="426">
        <v>135</v>
      </c>
      <c r="B145" s="505" t="s">
        <v>304</v>
      </c>
      <c r="C145" s="506" t="s">
        <v>305</v>
      </c>
      <c r="D145" s="507"/>
      <c r="E145" s="508"/>
      <c r="F145" s="509"/>
      <c r="G145" s="508"/>
      <c r="H145" s="510"/>
      <c r="I145" s="5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zoomScale="90" zoomScaleNormal="90" workbookViewId="0">
      <pane xSplit="3" ySplit="6" topLeftCell="D115" activePane="bottomRight" state="frozen"/>
      <selection pane="topRight" activeCell="D1" sqref="D1"/>
      <selection pane="bottomLeft" activeCell="A7" sqref="A7"/>
      <selection pane="bottomRight" activeCell="J35" sqref="J35"/>
    </sheetView>
  </sheetViews>
  <sheetFormatPr defaultRowHeight="12.75" x14ac:dyDescent="0.25"/>
  <cols>
    <col min="1" max="1" width="6.7109375" style="511" customWidth="1"/>
    <col min="2" max="2" width="10" style="511" customWidth="1"/>
    <col min="3" max="3" width="36.5703125" style="512" customWidth="1"/>
    <col min="4" max="4" width="19.5703125" style="513" customWidth="1"/>
    <col min="5" max="5" width="12" style="513" customWidth="1"/>
    <col min="6" max="6" width="11.5703125" style="513" customWidth="1"/>
    <col min="7" max="7" width="12.85546875" style="513" customWidth="1"/>
    <col min="8" max="8" width="14.7109375" style="514" customWidth="1"/>
    <col min="9" max="9" width="16.85546875" style="513" customWidth="1"/>
    <col min="10" max="16384" width="9.140625" style="511"/>
  </cols>
  <sheetData>
    <row r="1" spans="1:9" s="590" customFormat="1" ht="22.5" customHeight="1" x14ac:dyDescent="0.25">
      <c r="A1" s="1227" t="s">
        <v>711</v>
      </c>
      <c r="B1" s="1263"/>
      <c r="C1" s="1263"/>
      <c r="D1" s="1264"/>
      <c r="E1" s="1264"/>
      <c r="F1" s="1264"/>
      <c r="G1" s="1264"/>
      <c r="H1" s="1264"/>
      <c r="I1" s="1264"/>
    </row>
    <row r="2" spans="1:9" ht="13.5" thickBot="1" x14ac:dyDescent="0.3"/>
    <row r="3" spans="1:9" s="591" customFormat="1" ht="36.75" customHeight="1" x14ac:dyDescent="0.25">
      <c r="A3" s="1265" t="s">
        <v>0</v>
      </c>
      <c r="B3" s="1268" t="s">
        <v>702</v>
      </c>
      <c r="C3" s="1271" t="s">
        <v>2</v>
      </c>
      <c r="D3" s="1274" t="s">
        <v>712</v>
      </c>
      <c r="E3" s="1275"/>
      <c r="F3" s="1275"/>
      <c r="G3" s="1276"/>
      <c r="H3" s="1277"/>
      <c r="I3" s="779" t="s">
        <v>713</v>
      </c>
    </row>
    <row r="4" spans="1:9" s="591" customFormat="1" ht="27.75" customHeight="1" x14ac:dyDescent="0.25">
      <c r="A4" s="1266"/>
      <c r="B4" s="1269"/>
      <c r="C4" s="1272"/>
      <c r="D4" s="1278" t="s">
        <v>714</v>
      </c>
      <c r="E4" s="1280" t="s">
        <v>715</v>
      </c>
      <c r="F4" s="1281"/>
      <c r="G4" s="1282"/>
      <c r="H4" s="1283" t="s">
        <v>716</v>
      </c>
      <c r="I4" s="1256" t="s">
        <v>708</v>
      </c>
    </row>
    <row r="5" spans="1:9" s="592" customFormat="1" ht="51" customHeight="1" thickBot="1" x14ac:dyDescent="0.3">
      <c r="A5" s="1267"/>
      <c r="B5" s="1270"/>
      <c r="C5" s="1273"/>
      <c r="D5" s="1279"/>
      <c r="E5" s="515" t="s">
        <v>426</v>
      </c>
      <c r="F5" s="515" t="s">
        <v>427</v>
      </c>
      <c r="G5" s="515" t="s">
        <v>46</v>
      </c>
      <c r="H5" s="1284"/>
      <c r="I5" s="1257"/>
    </row>
    <row r="6" spans="1:9" s="594" customFormat="1" ht="15" customHeight="1" x14ac:dyDescent="0.25">
      <c r="A6" s="1218" t="s">
        <v>44</v>
      </c>
      <c r="B6" s="1219"/>
      <c r="C6" s="1258"/>
      <c r="D6" s="545">
        <f>SUM(D7:D144)-D91</f>
        <v>147342</v>
      </c>
      <c r="E6" s="593">
        <f t="shared" ref="E6:F6" si="0">SUM(E7:E144)-E91</f>
        <v>18441</v>
      </c>
      <c r="F6" s="593">
        <f t="shared" si="0"/>
        <v>4282</v>
      </c>
      <c r="G6" s="593">
        <f>SUM(G7:G144)-G91</f>
        <v>22723</v>
      </c>
      <c r="H6" s="546">
        <f>SUM(H7:H144)-H91</f>
        <v>170065</v>
      </c>
      <c r="I6" s="780">
        <f>SUM(I7:I144)-I91</f>
        <v>302940</v>
      </c>
    </row>
    <row r="7" spans="1:9" x14ac:dyDescent="0.25">
      <c r="A7" s="785">
        <v>1</v>
      </c>
      <c r="B7" s="519" t="s">
        <v>54</v>
      </c>
      <c r="C7" s="520" t="s">
        <v>55</v>
      </c>
      <c r="D7" s="596"/>
      <c r="E7" s="781"/>
      <c r="F7" s="781"/>
      <c r="G7" s="522"/>
      <c r="H7" s="578"/>
      <c r="I7" s="782">
        <v>3300</v>
      </c>
    </row>
    <row r="8" spans="1:9" x14ac:dyDescent="0.25">
      <c r="A8" s="785">
        <v>2</v>
      </c>
      <c r="B8" s="500" t="s">
        <v>56</v>
      </c>
      <c r="C8" s="520" t="s">
        <v>57</v>
      </c>
      <c r="D8" s="521">
        <v>1544</v>
      </c>
      <c r="E8" s="531">
        <v>158</v>
      </c>
      <c r="F8" s="531"/>
      <c r="G8" s="522">
        <f>E8+F8</f>
        <v>158</v>
      </c>
      <c r="H8" s="578">
        <f>D8+G8</f>
        <v>1702</v>
      </c>
      <c r="I8" s="782">
        <v>3300</v>
      </c>
    </row>
    <row r="9" spans="1:9" x14ac:dyDescent="0.25">
      <c r="A9" s="785">
        <v>3</v>
      </c>
      <c r="B9" s="733" t="s">
        <v>16</v>
      </c>
      <c r="C9" s="520" t="s">
        <v>17</v>
      </c>
      <c r="D9" s="521">
        <v>3547</v>
      </c>
      <c r="E9" s="531">
        <v>315</v>
      </c>
      <c r="F9" s="531">
        <v>153</v>
      </c>
      <c r="G9" s="522">
        <f t="shared" ref="G9:G69" si="1">E9+F9</f>
        <v>468</v>
      </c>
      <c r="H9" s="578">
        <f>D9+G9</f>
        <v>4015</v>
      </c>
      <c r="I9" s="782">
        <f>5280-1100</f>
        <v>4180</v>
      </c>
    </row>
    <row r="10" spans="1:9" x14ac:dyDescent="0.25">
      <c r="A10" s="785">
        <v>4</v>
      </c>
      <c r="B10" s="519" t="s">
        <v>58</v>
      </c>
      <c r="C10" s="520" t="s">
        <v>59</v>
      </c>
      <c r="D10" s="521">
        <v>806</v>
      </c>
      <c r="E10" s="531"/>
      <c r="F10" s="531"/>
      <c r="G10" s="522"/>
      <c r="H10" s="578">
        <f>D10+G10</f>
        <v>806</v>
      </c>
      <c r="I10" s="782">
        <v>3300</v>
      </c>
    </row>
    <row r="11" spans="1:9" ht="15" customHeight="1" x14ac:dyDescent="0.25">
      <c r="A11" s="785">
        <v>5</v>
      </c>
      <c r="B11" s="519" t="s">
        <v>60</v>
      </c>
      <c r="C11" s="520" t="s">
        <v>61</v>
      </c>
      <c r="D11" s="521"/>
      <c r="E11" s="531"/>
      <c r="F11" s="531"/>
      <c r="G11" s="522"/>
      <c r="H11" s="578"/>
      <c r="I11" s="782">
        <v>3300</v>
      </c>
    </row>
    <row r="12" spans="1:9" x14ac:dyDescent="0.25">
      <c r="A12" s="785">
        <v>6</v>
      </c>
      <c r="B12" s="733" t="s">
        <v>18</v>
      </c>
      <c r="C12" s="520" t="s">
        <v>19</v>
      </c>
      <c r="D12" s="521">
        <v>7529</v>
      </c>
      <c r="E12" s="531">
        <v>275</v>
      </c>
      <c r="F12" s="531">
        <v>311</v>
      </c>
      <c r="G12" s="522">
        <f t="shared" si="1"/>
        <v>586</v>
      </c>
      <c r="H12" s="578">
        <f>D12+G12</f>
        <v>8115</v>
      </c>
      <c r="I12" s="782">
        <v>6930</v>
      </c>
    </row>
    <row r="13" spans="1:9" x14ac:dyDescent="0.25">
      <c r="A13" s="785">
        <v>7</v>
      </c>
      <c r="B13" s="519" t="s">
        <v>62</v>
      </c>
      <c r="C13" s="520" t="s">
        <v>63</v>
      </c>
      <c r="D13" s="521">
        <v>3253</v>
      </c>
      <c r="E13" s="531">
        <v>420</v>
      </c>
      <c r="F13" s="531"/>
      <c r="G13" s="522">
        <f t="shared" si="1"/>
        <v>420</v>
      </c>
      <c r="H13" s="578">
        <f>D13+G13</f>
        <v>3673</v>
      </c>
      <c r="I13" s="782">
        <v>3300</v>
      </c>
    </row>
    <row r="14" spans="1:9" x14ac:dyDescent="0.25">
      <c r="A14" s="785">
        <v>8</v>
      </c>
      <c r="B14" s="733" t="s">
        <v>64</v>
      </c>
      <c r="C14" s="520" t="s">
        <v>65</v>
      </c>
      <c r="D14" s="521"/>
      <c r="E14" s="531"/>
      <c r="F14" s="531"/>
      <c r="G14" s="522"/>
      <c r="H14" s="578"/>
      <c r="I14" s="782">
        <v>3300</v>
      </c>
    </row>
    <row r="15" spans="1:9" x14ac:dyDescent="0.25">
      <c r="A15" s="785">
        <v>9</v>
      </c>
      <c r="B15" s="733" t="s">
        <v>66</v>
      </c>
      <c r="C15" s="520" t="s">
        <v>67</v>
      </c>
      <c r="D15" s="521">
        <v>791</v>
      </c>
      <c r="E15" s="531">
        <v>99</v>
      </c>
      <c r="F15" s="531"/>
      <c r="G15" s="522">
        <f t="shared" si="1"/>
        <v>99</v>
      </c>
      <c r="H15" s="578">
        <f>D15+G15</f>
        <v>890</v>
      </c>
      <c r="I15" s="782">
        <v>1650</v>
      </c>
    </row>
    <row r="16" spans="1:9" x14ac:dyDescent="0.25">
      <c r="A16" s="785">
        <v>10</v>
      </c>
      <c r="B16" s="733" t="s">
        <v>68</v>
      </c>
      <c r="C16" s="520" t="s">
        <v>69</v>
      </c>
      <c r="D16" s="521"/>
      <c r="E16" s="531"/>
      <c r="F16" s="531"/>
      <c r="G16" s="522"/>
      <c r="H16" s="578"/>
      <c r="I16" s="782">
        <v>3300</v>
      </c>
    </row>
    <row r="17" spans="1:9" x14ac:dyDescent="0.25">
      <c r="A17" s="785">
        <v>11</v>
      </c>
      <c r="B17" s="733" t="s">
        <v>70</v>
      </c>
      <c r="C17" s="520" t="s">
        <v>71</v>
      </c>
      <c r="D17" s="521"/>
      <c r="E17" s="531"/>
      <c r="F17" s="531"/>
      <c r="G17" s="522"/>
      <c r="H17" s="578"/>
      <c r="I17" s="782">
        <v>3300</v>
      </c>
    </row>
    <row r="18" spans="1:9" x14ac:dyDescent="0.25">
      <c r="A18" s="785">
        <v>12</v>
      </c>
      <c r="B18" s="733" t="s">
        <v>72</v>
      </c>
      <c r="C18" s="520" t="s">
        <v>73</v>
      </c>
      <c r="D18" s="521">
        <v>1586</v>
      </c>
      <c r="E18" s="531"/>
      <c r="F18" s="531"/>
      <c r="G18" s="522"/>
      <c r="H18" s="578">
        <f>D18+G18</f>
        <v>1586</v>
      </c>
      <c r="I18" s="782">
        <v>3300</v>
      </c>
    </row>
    <row r="19" spans="1:9" x14ac:dyDescent="0.25">
      <c r="A19" s="785">
        <v>13</v>
      </c>
      <c r="B19" s="733" t="s">
        <v>74</v>
      </c>
      <c r="C19" s="520" t="s">
        <v>75</v>
      </c>
      <c r="D19" s="521"/>
      <c r="E19" s="531"/>
      <c r="F19" s="531"/>
      <c r="G19" s="522"/>
      <c r="H19" s="578"/>
      <c r="I19" s="782"/>
    </row>
    <row r="20" spans="1:9" x14ac:dyDescent="0.25">
      <c r="A20" s="785">
        <v>14</v>
      </c>
      <c r="B20" s="733" t="s">
        <v>76</v>
      </c>
      <c r="C20" s="520" t="s">
        <v>77</v>
      </c>
      <c r="D20" s="521"/>
      <c r="E20" s="531"/>
      <c r="F20" s="531"/>
      <c r="G20" s="522"/>
      <c r="H20" s="578"/>
      <c r="I20" s="782">
        <v>3300</v>
      </c>
    </row>
    <row r="21" spans="1:9" x14ac:dyDescent="0.25">
      <c r="A21" s="785">
        <v>15</v>
      </c>
      <c r="B21" s="733" t="s">
        <v>78</v>
      </c>
      <c r="C21" s="520" t="s">
        <v>79</v>
      </c>
      <c r="D21" s="521"/>
      <c r="E21" s="531"/>
      <c r="F21" s="531"/>
      <c r="G21" s="522"/>
      <c r="H21" s="578"/>
      <c r="I21" s="782">
        <v>3300</v>
      </c>
    </row>
    <row r="22" spans="1:9" x14ac:dyDescent="0.25">
      <c r="A22" s="785">
        <v>16</v>
      </c>
      <c r="B22" s="733" t="s">
        <v>80</v>
      </c>
      <c r="C22" s="523" t="s">
        <v>81</v>
      </c>
      <c r="D22" s="521">
        <v>1883</v>
      </c>
      <c r="E22" s="531">
        <v>265</v>
      </c>
      <c r="F22" s="531"/>
      <c r="G22" s="522">
        <f t="shared" si="1"/>
        <v>265</v>
      </c>
      <c r="H22" s="578">
        <f t="shared" ref="H22:H27" si="2">D22+G22</f>
        <v>2148</v>
      </c>
      <c r="I22" s="782">
        <v>3300</v>
      </c>
    </row>
    <row r="23" spans="1:9" x14ac:dyDescent="0.25">
      <c r="A23" s="785">
        <v>17</v>
      </c>
      <c r="B23" s="733" t="s">
        <v>20</v>
      </c>
      <c r="C23" s="523" t="s">
        <v>21</v>
      </c>
      <c r="D23" s="521">
        <v>5517</v>
      </c>
      <c r="E23" s="531">
        <v>505</v>
      </c>
      <c r="F23" s="531">
        <v>293</v>
      </c>
      <c r="G23" s="522">
        <f t="shared" si="1"/>
        <v>798</v>
      </c>
      <c r="H23" s="578">
        <f t="shared" si="2"/>
        <v>6315</v>
      </c>
      <c r="I23" s="782">
        <v>3630</v>
      </c>
    </row>
    <row r="24" spans="1:9" x14ac:dyDescent="0.25">
      <c r="A24" s="785">
        <v>18</v>
      </c>
      <c r="B24" s="519" t="s">
        <v>82</v>
      </c>
      <c r="C24" s="523" t="s">
        <v>83</v>
      </c>
      <c r="D24" s="521">
        <v>589</v>
      </c>
      <c r="E24" s="531">
        <v>95</v>
      </c>
      <c r="F24" s="531"/>
      <c r="G24" s="522">
        <f t="shared" si="1"/>
        <v>95</v>
      </c>
      <c r="H24" s="578">
        <f t="shared" si="2"/>
        <v>684</v>
      </c>
      <c r="I24" s="782">
        <v>1650</v>
      </c>
    </row>
    <row r="25" spans="1:9" x14ac:dyDescent="0.25">
      <c r="A25" s="785">
        <v>19</v>
      </c>
      <c r="B25" s="519" t="s">
        <v>84</v>
      </c>
      <c r="C25" s="523" t="s">
        <v>85</v>
      </c>
      <c r="D25" s="521">
        <v>1498</v>
      </c>
      <c r="E25" s="531">
        <v>192</v>
      </c>
      <c r="F25" s="531"/>
      <c r="G25" s="522">
        <f t="shared" si="1"/>
        <v>192</v>
      </c>
      <c r="H25" s="578">
        <f t="shared" si="2"/>
        <v>1690</v>
      </c>
      <c r="I25" s="782">
        <v>3300</v>
      </c>
    </row>
    <row r="26" spans="1:9" x14ac:dyDescent="0.25">
      <c r="A26" s="785">
        <v>20</v>
      </c>
      <c r="B26" s="519" t="s">
        <v>86</v>
      </c>
      <c r="C26" s="523" t="s">
        <v>87</v>
      </c>
      <c r="D26" s="521">
        <v>2496</v>
      </c>
      <c r="E26" s="531">
        <v>306</v>
      </c>
      <c r="F26" s="531"/>
      <c r="G26" s="522">
        <f t="shared" si="1"/>
        <v>306</v>
      </c>
      <c r="H26" s="578">
        <f t="shared" si="2"/>
        <v>2802</v>
      </c>
      <c r="I26" s="782">
        <v>3300</v>
      </c>
    </row>
    <row r="27" spans="1:9" x14ac:dyDescent="0.25">
      <c r="A27" s="785">
        <v>21</v>
      </c>
      <c r="B27" s="519" t="s">
        <v>22</v>
      </c>
      <c r="C27" s="520" t="s">
        <v>23</v>
      </c>
      <c r="D27" s="521">
        <v>2084</v>
      </c>
      <c r="E27" s="531">
        <v>276</v>
      </c>
      <c r="F27" s="531">
        <v>195</v>
      </c>
      <c r="G27" s="522">
        <f t="shared" si="1"/>
        <v>471</v>
      </c>
      <c r="H27" s="578">
        <f t="shared" si="2"/>
        <v>2555</v>
      </c>
      <c r="I27" s="782">
        <v>3630</v>
      </c>
    </row>
    <row r="28" spans="1:9" x14ac:dyDescent="0.25">
      <c r="A28" s="785">
        <v>22</v>
      </c>
      <c r="B28" s="733" t="s">
        <v>24</v>
      </c>
      <c r="C28" s="520" t="s">
        <v>25</v>
      </c>
      <c r="D28" s="521"/>
      <c r="E28" s="531"/>
      <c r="F28" s="531"/>
      <c r="G28" s="522"/>
      <c r="H28" s="578"/>
      <c r="I28" s="782"/>
    </row>
    <row r="29" spans="1:9" x14ac:dyDescent="0.25">
      <c r="A29" s="785">
        <v>23</v>
      </c>
      <c r="B29" s="733" t="s">
        <v>88</v>
      </c>
      <c r="C29" s="520" t="s">
        <v>89</v>
      </c>
      <c r="D29" s="521"/>
      <c r="E29" s="531"/>
      <c r="F29" s="531"/>
      <c r="G29" s="522"/>
      <c r="H29" s="578"/>
      <c r="I29" s="782"/>
    </row>
    <row r="30" spans="1:9" ht="25.5" x14ac:dyDescent="0.25">
      <c r="A30" s="785">
        <v>24</v>
      </c>
      <c r="B30" s="733" t="s">
        <v>90</v>
      </c>
      <c r="C30" s="520" t="s">
        <v>91</v>
      </c>
      <c r="D30" s="521"/>
      <c r="E30" s="531"/>
      <c r="F30" s="531"/>
      <c r="G30" s="522"/>
      <c r="H30" s="578"/>
      <c r="I30" s="782"/>
    </row>
    <row r="31" spans="1:9" x14ac:dyDescent="0.25">
      <c r="A31" s="785">
        <v>25</v>
      </c>
      <c r="B31" s="519" t="s">
        <v>92</v>
      </c>
      <c r="C31" s="520" t="s">
        <v>93</v>
      </c>
      <c r="D31" s="521">
        <v>12043</v>
      </c>
      <c r="E31" s="531">
        <f>804+237</f>
        <v>1041</v>
      </c>
      <c r="F31" s="531">
        <f>0+119</f>
        <v>119</v>
      </c>
      <c r="G31" s="522">
        <f t="shared" si="1"/>
        <v>1160</v>
      </c>
      <c r="H31" s="578">
        <f>D31+G31</f>
        <v>13203</v>
      </c>
      <c r="I31" s="782">
        <f>6600+440+220</f>
        <v>7260</v>
      </c>
    </row>
    <row r="32" spans="1:9" x14ac:dyDescent="0.25">
      <c r="A32" s="785">
        <v>26</v>
      </c>
      <c r="B32" s="733" t="s">
        <v>94</v>
      </c>
      <c r="C32" s="520" t="s">
        <v>95</v>
      </c>
      <c r="D32" s="521"/>
      <c r="E32" s="531"/>
      <c r="F32" s="531">
        <f>356-237-119</f>
        <v>0</v>
      </c>
      <c r="G32" s="522">
        <f t="shared" si="1"/>
        <v>0</v>
      </c>
      <c r="H32" s="578">
        <f>D32+G32</f>
        <v>0</v>
      </c>
      <c r="I32" s="782">
        <f>660-440-220</f>
        <v>0</v>
      </c>
    </row>
    <row r="33" spans="1:9" x14ac:dyDescent="0.25">
      <c r="A33" s="785">
        <v>27</v>
      </c>
      <c r="B33" s="500" t="s">
        <v>96</v>
      </c>
      <c r="C33" s="520" t="s">
        <v>97</v>
      </c>
      <c r="D33" s="521"/>
      <c r="E33" s="531"/>
      <c r="F33" s="531"/>
      <c r="G33" s="522"/>
      <c r="H33" s="578"/>
      <c r="I33" s="782"/>
    </row>
    <row r="34" spans="1:9" x14ac:dyDescent="0.25">
      <c r="A34" s="785">
        <v>28</v>
      </c>
      <c r="B34" s="500" t="s">
        <v>26</v>
      </c>
      <c r="C34" s="520" t="s">
        <v>27</v>
      </c>
      <c r="D34" s="521">
        <v>4156</v>
      </c>
      <c r="E34" s="531">
        <v>467</v>
      </c>
      <c r="F34" s="531">
        <v>284</v>
      </c>
      <c r="G34" s="522">
        <f t="shared" si="1"/>
        <v>751</v>
      </c>
      <c r="H34" s="578">
        <f>D34+G34</f>
        <v>4907</v>
      </c>
      <c r="I34" s="782">
        <v>3630</v>
      </c>
    </row>
    <row r="35" spans="1:9" x14ac:dyDescent="0.25">
      <c r="A35" s="785">
        <v>29</v>
      </c>
      <c r="B35" s="519" t="s">
        <v>98</v>
      </c>
      <c r="C35" s="520" t="s">
        <v>99</v>
      </c>
      <c r="D35" s="521">
        <v>5207</v>
      </c>
      <c r="E35" s="531">
        <v>680</v>
      </c>
      <c r="F35" s="531">
        <v>278</v>
      </c>
      <c r="G35" s="522">
        <f t="shared" si="1"/>
        <v>958</v>
      </c>
      <c r="H35" s="578">
        <f>D35+G35</f>
        <v>6165</v>
      </c>
      <c r="I35" s="782">
        <v>3300</v>
      </c>
    </row>
    <row r="36" spans="1:9" x14ac:dyDescent="0.25">
      <c r="A36" s="785">
        <v>30</v>
      </c>
      <c r="B36" s="500" t="s">
        <v>100</v>
      </c>
      <c r="C36" s="520" t="s">
        <v>101</v>
      </c>
      <c r="D36" s="521">
        <v>886</v>
      </c>
      <c r="E36" s="531">
        <v>145</v>
      </c>
      <c r="F36" s="531"/>
      <c r="G36" s="522">
        <f t="shared" si="1"/>
        <v>145</v>
      </c>
      <c r="H36" s="578">
        <f>D36+G36</f>
        <v>1031</v>
      </c>
      <c r="I36" s="782">
        <v>3300</v>
      </c>
    </row>
    <row r="37" spans="1:9" x14ac:dyDescent="0.25">
      <c r="A37" s="785">
        <v>31</v>
      </c>
      <c r="B37" s="733" t="s">
        <v>102</v>
      </c>
      <c r="C37" s="520" t="s">
        <v>103</v>
      </c>
      <c r="D37" s="521">
        <v>2992</v>
      </c>
      <c r="E37" s="531">
        <v>446</v>
      </c>
      <c r="F37" s="531"/>
      <c r="G37" s="522">
        <f t="shared" si="1"/>
        <v>446</v>
      </c>
      <c r="H37" s="578">
        <f>D37+G37</f>
        <v>3438</v>
      </c>
      <c r="I37" s="782">
        <f>4950-1100</f>
        <v>3850</v>
      </c>
    </row>
    <row r="38" spans="1:9" x14ac:dyDescent="0.25">
      <c r="A38" s="785">
        <v>32</v>
      </c>
      <c r="B38" s="500" t="s">
        <v>104</v>
      </c>
      <c r="C38" s="520" t="s">
        <v>105</v>
      </c>
      <c r="D38" s="521"/>
      <c r="E38" s="531"/>
      <c r="F38" s="531"/>
      <c r="G38" s="522"/>
      <c r="H38" s="578"/>
      <c r="I38" s="782">
        <v>3300</v>
      </c>
    </row>
    <row r="39" spans="1:9" x14ac:dyDescent="0.25">
      <c r="A39" s="785">
        <v>33</v>
      </c>
      <c r="B39" s="519" t="s">
        <v>106</v>
      </c>
      <c r="C39" s="520" t="s">
        <v>107</v>
      </c>
      <c r="D39" s="521">
        <v>3554</v>
      </c>
      <c r="E39" s="531">
        <v>529</v>
      </c>
      <c r="F39" s="531"/>
      <c r="G39" s="522">
        <f t="shared" si="1"/>
        <v>529</v>
      </c>
      <c r="H39" s="578">
        <f>D39+G39</f>
        <v>4083</v>
      </c>
      <c r="I39" s="782">
        <v>3300</v>
      </c>
    </row>
    <row r="40" spans="1:9" x14ac:dyDescent="0.25">
      <c r="A40" s="785">
        <v>34</v>
      </c>
      <c r="B40" s="524" t="s">
        <v>108</v>
      </c>
      <c r="C40" s="525" t="s">
        <v>109</v>
      </c>
      <c r="D40" s="521"/>
      <c r="E40" s="531"/>
      <c r="F40" s="531"/>
      <c r="G40" s="522"/>
      <c r="H40" s="578"/>
      <c r="I40" s="782">
        <v>3300</v>
      </c>
    </row>
    <row r="41" spans="1:9" x14ac:dyDescent="0.25">
      <c r="A41" s="785">
        <v>35</v>
      </c>
      <c r="B41" s="519" t="s">
        <v>110</v>
      </c>
      <c r="C41" s="520" t="s">
        <v>111</v>
      </c>
      <c r="D41" s="521">
        <v>690</v>
      </c>
      <c r="E41" s="531">
        <v>84</v>
      </c>
      <c r="F41" s="531"/>
      <c r="G41" s="522">
        <f t="shared" si="1"/>
        <v>84</v>
      </c>
      <c r="H41" s="578">
        <f>D41+G41</f>
        <v>774</v>
      </c>
      <c r="I41" s="782">
        <v>3300</v>
      </c>
    </row>
    <row r="42" spans="1:9" x14ac:dyDescent="0.25">
      <c r="A42" s="785">
        <v>36</v>
      </c>
      <c r="B42" s="519" t="s">
        <v>112</v>
      </c>
      <c r="C42" s="520" t="s">
        <v>113</v>
      </c>
      <c r="D42" s="521"/>
      <c r="E42" s="531"/>
      <c r="F42" s="531"/>
      <c r="G42" s="522"/>
      <c r="H42" s="578"/>
      <c r="I42" s="782">
        <v>3300</v>
      </c>
    </row>
    <row r="43" spans="1:9" x14ac:dyDescent="0.25">
      <c r="A43" s="785">
        <v>37</v>
      </c>
      <c r="B43" s="733" t="s">
        <v>114</v>
      </c>
      <c r="C43" s="520" t="s">
        <v>115</v>
      </c>
      <c r="D43" s="521"/>
      <c r="E43" s="531"/>
      <c r="F43" s="531"/>
      <c r="G43" s="522"/>
      <c r="H43" s="578"/>
      <c r="I43" s="782">
        <v>3300</v>
      </c>
    </row>
    <row r="44" spans="1:9" x14ac:dyDescent="0.25">
      <c r="A44" s="785">
        <v>38</v>
      </c>
      <c r="B44" s="500" t="s">
        <v>116</v>
      </c>
      <c r="C44" s="520" t="s">
        <v>117</v>
      </c>
      <c r="D44" s="521"/>
      <c r="E44" s="531"/>
      <c r="F44" s="531"/>
      <c r="G44" s="522"/>
      <c r="H44" s="578"/>
      <c r="I44" s="782"/>
    </row>
    <row r="45" spans="1:9" x14ac:dyDescent="0.25">
      <c r="A45" s="785">
        <v>39</v>
      </c>
      <c r="B45" s="733" t="s">
        <v>28</v>
      </c>
      <c r="C45" s="520" t="s">
        <v>29</v>
      </c>
      <c r="D45" s="521">
        <v>3773</v>
      </c>
      <c r="E45" s="531">
        <v>619</v>
      </c>
      <c r="F45" s="531"/>
      <c r="G45" s="522">
        <f t="shared" si="1"/>
        <v>619</v>
      </c>
      <c r="H45" s="578">
        <f>D45+G45</f>
        <v>4392</v>
      </c>
      <c r="I45" s="782">
        <v>3630</v>
      </c>
    </row>
    <row r="46" spans="1:9" x14ac:dyDescent="0.25">
      <c r="A46" s="785">
        <v>40</v>
      </c>
      <c r="B46" s="519" t="s">
        <v>118</v>
      </c>
      <c r="C46" s="520" t="s">
        <v>119</v>
      </c>
      <c r="D46" s="521">
        <v>996</v>
      </c>
      <c r="E46" s="531">
        <v>270</v>
      </c>
      <c r="F46" s="531"/>
      <c r="G46" s="522">
        <f t="shared" si="1"/>
        <v>270</v>
      </c>
      <c r="H46" s="578">
        <f>D46+G46</f>
        <v>1266</v>
      </c>
      <c r="I46" s="782">
        <v>3300</v>
      </c>
    </row>
    <row r="47" spans="1:9" x14ac:dyDescent="0.25">
      <c r="A47" s="785">
        <v>41</v>
      </c>
      <c r="B47" s="519" t="s">
        <v>120</v>
      </c>
      <c r="C47" s="520" t="s">
        <v>121</v>
      </c>
      <c r="D47" s="521">
        <v>3948</v>
      </c>
      <c r="E47" s="531">
        <v>559</v>
      </c>
      <c r="F47" s="531">
        <v>274</v>
      </c>
      <c r="G47" s="522">
        <f t="shared" si="1"/>
        <v>833</v>
      </c>
      <c r="H47" s="578">
        <f>D47+G47</f>
        <v>4781</v>
      </c>
      <c r="I47" s="782">
        <v>6600</v>
      </c>
    </row>
    <row r="48" spans="1:9" x14ac:dyDescent="0.25">
      <c r="A48" s="785">
        <v>42</v>
      </c>
      <c r="B48" s="733" t="s">
        <v>122</v>
      </c>
      <c r="C48" s="520" t="s">
        <v>123</v>
      </c>
      <c r="D48" s="521"/>
      <c r="E48" s="531"/>
      <c r="F48" s="531"/>
      <c r="G48" s="522"/>
      <c r="H48" s="578"/>
      <c r="I48" s="782">
        <v>3300</v>
      </c>
    </row>
    <row r="49" spans="1:9" x14ac:dyDescent="0.25">
      <c r="A49" s="785">
        <v>43</v>
      </c>
      <c r="B49" s="500" t="s">
        <v>124</v>
      </c>
      <c r="C49" s="520" t="s">
        <v>125</v>
      </c>
      <c r="D49" s="521">
        <v>1000</v>
      </c>
      <c r="E49" s="531"/>
      <c r="F49" s="531"/>
      <c r="G49" s="522"/>
      <c r="H49" s="578">
        <f>D49+G49</f>
        <v>1000</v>
      </c>
      <c r="I49" s="782">
        <v>3300</v>
      </c>
    </row>
    <row r="50" spans="1:9" x14ac:dyDescent="0.25">
      <c r="A50" s="785">
        <v>44</v>
      </c>
      <c r="B50" s="733" t="s">
        <v>126</v>
      </c>
      <c r="C50" s="520" t="s">
        <v>127</v>
      </c>
      <c r="D50" s="521"/>
      <c r="E50" s="531"/>
      <c r="F50" s="531"/>
      <c r="G50" s="522"/>
      <c r="H50" s="578"/>
      <c r="I50" s="782">
        <v>3300</v>
      </c>
    </row>
    <row r="51" spans="1:9" x14ac:dyDescent="0.25">
      <c r="A51" s="785">
        <v>45</v>
      </c>
      <c r="B51" s="500" t="s">
        <v>128</v>
      </c>
      <c r="C51" s="520" t="s">
        <v>129</v>
      </c>
      <c r="D51" s="521">
        <v>1360</v>
      </c>
      <c r="E51" s="531">
        <v>394</v>
      </c>
      <c r="F51" s="531"/>
      <c r="G51" s="522">
        <f t="shared" si="1"/>
        <v>394</v>
      </c>
      <c r="H51" s="578">
        <f t="shared" ref="H51:H57" si="3">D51+G51</f>
        <v>1754</v>
      </c>
      <c r="I51" s="782">
        <v>3300</v>
      </c>
    </row>
    <row r="52" spans="1:9" x14ac:dyDescent="0.25">
      <c r="A52" s="785">
        <v>46</v>
      </c>
      <c r="B52" s="733" t="s">
        <v>130</v>
      </c>
      <c r="C52" s="520" t="s">
        <v>131</v>
      </c>
      <c r="D52" s="521">
        <v>499</v>
      </c>
      <c r="E52" s="531"/>
      <c r="F52" s="531"/>
      <c r="G52" s="522"/>
      <c r="H52" s="578">
        <f t="shared" si="3"/>
        <v>499</v>
      </c>
      <c r="I52" s="782">
        <v>3300</v>
      </c>
    </row>
    <row r="53" spans="1:9" x14ac:dyDescent="0.25">
      <c r="A53" s="785">
        <v>47</v>
      </c>
      <c r="B53" s="500" t="s">
        <v>132</v>
      </c>
      <c r="C53" s="520" t="s">
        <v>133</v>
      </c>
      <c r="D53" s="521">
        <v>929</v>
      </c>
      <c r="E53" s="531">
        <v>113</v>
      </c>
      <c r="F53" s="531"/>
      <c r="G53" s="522">
        <f t="shared" si="1"/>
        <v>113</v>
      </c>
      <c r="H53" s="578">
        <f t="shared" si="3"/>
        <v>1042</v>
      </c>
      <c r="I53" s="782">
        <v>3300</v>
      </c>
    </row>
    <row r="54" spans="1:9" x14ac:dyDescent="0.25">
      <c r="A54" s="785">
        <v>48</v>
      </c>
      <c r="B54" s="733" t="s">
        <v>134</v>
      </c>
      <c r="C54" s="520" t="s">
        <v>135</v>
      </c>
      <c r="D54" s="521">
        <v>1392</v>
      </c>
      <c r="E54" s="531"/>
      <c r="F54" s="531"/>
      <c r="G54" s="522"/>
      <c r="H54" s="578">
        <f t="shared" si="3"/>
        <v>1392</v>
      </c>
      <c r="I54" s="782">
        <v>3300</v>
      </c>
    </row>
    <row r="55" spans="1:9" x14ac:dyDescent="0.25">
      <c r="A55" s="785">
        <v>49</v>
      </c>
      <c r="B55" s="733" t="s">
        <v>136</v>
      </c>
      <c r="C55" s="520" t="s">
        <v>137</v>
      </c>
      <c r="D55" s="521">
        <v>4643</v>
      </c>
      <c r="E55" s="531">
        <v>467</v>
      </c>
      <c r="F55" s="531">
        <v>177</v>
      </c>
      <c r="G55" s="522">
        <f t="shared" si="1"/>
        <v>644</v>
      </c>
      <c r="H55" s="578">
        <f t="shared" si="3"/>
        <v>5287</v>
      </c>
      <c r="I55" s="782">
        <f>4950-1100</f>
        <v>3850</v>
      </c>
    </row>
    <row r="56" spans="1:9" x14ac:dyDescent="0.25">
      <c r="A56" s="785">
        <v>50</v>
      </c>
      <c r="B56" s="733" t="s">
        <v>138</v>
      </c>
      <c r="C56" s="520" t="s">
        <v>139</v>
      </c>
      <c r="D56" s="521">
        <v>1016</v>
      </c>
      <c r="E56" s="531">
        <v>369</v>
      </c>
      <c r="F56" s="531"/>
      <c r="G56" s="522">
        <f t="shared" si="1"/>
        <v>369</v>
      </c>
      <c r="H56" s="578">
        <f t="shared" si="3"/>
        <v>1385</v>
      </c>
      <c r="I56" s="782">
        <v>3300</v>
      </c>
    </row>
    <row r="57" spans="1:9" x14ac:dyDescent="0.25">
      <c r="A57" s="785">
        <v>51</v>
      </c>
      <c r="B57" s="733" t="s">
        <v>140</v>
      </c>
      <c r="C57" s="520" t="s">
        <v>141</v>
      </c>
      <c r="D57" s="521">
        <v>779</v>
      </c>
      <c r="E57" s="531"/>
      <c r="F57" s="531"/>
      <c r="G57" s="522"/>
      <c r="H57" s="578">
        <f t="shared" si="3"/>
        <v>779</v>
      </c>
      <c r="I57" s="782">
        <v>3300</v>
      </c>
    </row>
    <row r="58" spans="1:9" x14ac:dyDescent="0.25">
      <c r="A58" s="785">
        <v>52</v>
      </c>
      <c r="B58" s="500" t="s">
        <v>142</v>
      </c>
      <c r="C58" s="520" t="s">
        <v>143</v>
      </c>
      <c r="D58" s="521"/>
      <c r="E58" s="531"/>
      <c r="F58" s="531"/>
      <c r="G58" s="522"/>
      <c r="H58" s="578"/>
      <c r="I58" s="782">
        <v>3300</v>
      </c>
    </row>
    <row r="59" spans="1:9" x14ac:dyDescent="0.25">
      <c r="A59" s="785">
        <v>53</v>
      </c>
      <c r="B59" s="733" t="s">
        <v>144</v>
      </c>
      <c r="C59" s="520" t="s">
        <v>145</v>
      </c>
      <c r="D59" s="521"/>
      <c r="E59" s="531"/>
      <c r="F59" s="531"/>
      <c r="G59" s="522"/>
      <c r="H59" s="578"/>
      <c r="I59" s="782"/>
    </row>
    <row r="60" spans="1:9" x14ac:dyDescent="0.25">
      <c r="A60" s="785">
        <v>54</v>
      </c>
      <c r="B60" s="733" t="s">
        <v>146</v>
      </c>
      <c r="C60" s="520" t="s">
        <v>147</v>
      </c>
      <c r="D60" s="521"/>
      <c r="E60" s="531"/>
      <c r="F60" s="531"/>
      <c r="G60" s="522"/>
      <c r="H60" s="578"/>
      <c r="I60" s="782"/>
    </row>
    <row r="61" spans="1:9" x14ac:dyDescent="0.25">
      <c r="A61" s="785">
        <v>55</v>
      </c>
      <c r="B61" s="733" t="s">
        <v>148</v>
      </c>
      <c r="C61" s="520" t="s">
        <v>149</v>
      </c>
      <c r="D61" s="521"/>
      <c r="E61" s="531"/>
      <c r="F61" s="531"/>
      <c r="G61" s="522"/>
      <c r="H61" s="578"/>
      <c r="I61" s="782"/>
    </row>
    <row r="62" spans="1:9" x14ac:dyDescent="0.25">
      <c r="A62" s="785">
        <v>56</v>
      </c>
      <c r="B62" s="500" t="s">
        <v>150</v>
      </c>
      <c r="C62" s="520" t="s">
        <v>151</v>
      </c>
      <c r="D62" s="521"/>
      <c r="E62" s="531"/>
      <c r="F62" s="531"/>
      <c r="G62" s="522"/>
      <c r="H62" s="578"/>
      <c r="I62" s="782"/>
    </row>
    <row r="63" spans="1:9" ht="15" customHeight="1" x14ac:dyDescent="0.25">
      <c r="A63" s="785">
        <v>57</v>
      </c>
      <c r="B63" s="519" t="s">
        <v>152</v>
      </c>
      <c r="C63" s="520" t="s">
        <v>153</v>
      </c>
      <c r="D63" s="521"/>
      <c r="E63" s="531"/>
      <c r="F63" s="531"/>
      <c r="G63" s="522"/>
      <c r="H63" s="578"/>
      <c r="I63" s="782"/>
    </row>
    <row r="64" spans="1:9" x14ac:dyDescent="0.25">
      <c r="A64" s="785">
        <v>58</v>
      </c>
      <c r="B64" s="500" t="s">
        <v>154</v>
      </c>
      <c r="C64" s="520" t="s">
        <v>155</v>
      </c>
      <c r="D64" s="521"/>
      <c r="E64" s="531"/>
      <c r="F64" s="531">
        <v>571</v>
      </c>
      <c r="G64" s="522">
        <f t="shared" si="1"/>
        <v>571</v>
      </c>
      <c r="H64" s="578">
        <f>D64+G64</f>
        <v>571</v>
      </c>
      <c r="I64" s="782"/>
    </row>
    <row r="65" spans="1:9" x14ac:dyDescent="0.25">
      <c r="A65" s="785">
        <v>59</v>
      </c>
      <c r="B65" s="733" t="s">
        <v>156</v>
      </c>
      <c r="C65" s="520" t="s">
        <v>157</v>
      </c>
      <c r="D65" s="521"/>
      <c r="E65" s="531"/>
      <c r="F65" s="531"/>
      <c r="G65" s="522"/>
      <c r="H65" s="578"/>
      <c r="I65" s="782"/>
    </row>
    <row r="66" spans="1:9" ht="25.5" x14ac:dyDescent="0.25">
      <c r="A66" s="785">
        <v>60</v>
      </c>
      <c r="B66" s="519" t="s">
        <v>158</v>
      </c>
      <c r="C66" s="520" t="s">
        <v>159</v>
      </c>
      <c r="D66" s="521"/>
      <c r="E66" s="531"/>
      <c r="F66" s="531"/>
      <c r="G66" s="522"/>
      <c r="H66" s="578"/>
      <c r="I66" s="782"/>
    </row>
    <row r="67" spans="1:9" ht="25.5" x14ac:dyDescent="0.25">
      <c r="A67" s="785">
        <v>61</v>
      </c>
      <c r="B67" s="519" t="s">
        <v>160</v>
      </c>
      <c r="C67" s="520" t="s">
        <v>161</v>
      </c>
      <c r="D67" s="521"/>
      <c r="E67" s="531"/>
      <c r="F67" s="531"/>
      <c r="G67" s="522"/>
      <c r="H67" s="578"/>
      <c r="I67" s="782"/>
    </row>
    <row r="68" spans="1:9" x14ac:dyDescent="0.25">
      <c r="A68" s="785">
        <v>62</v>
      </c>
      <c r="B68" s="500" t="s">
        <v>162</v>
      </c>
      <c r="C68" s="520" t="s">
        <v>163</v>
      </c>
      <c r="D68" s="521">
        <v>3563</v>
      </c>
      <c r="E68" s="531">
        <v>809</v>
      </c>
      <c r="F68" s="531"/>
      <c r="G68" s="522">
        <f t="shared" si="1"/>
        <v>809</v>
      </c>
      <c r="H68" s="578">
        <f>D68+G68</f>
        <v>4372</v>
      </c>
      <c r="I68" s="782"/>
    </row>
    <row r="69" spans="1:9" x14ac:dyDescent="0.25">
      <c r="A69" s="785">
        <v>63</v>
      </c>
      <c r="B69" s="500" t="s">
        <v>164</v>
      </c>
      <c r="C69" s="520" t="s">
        <v>165</v>
      </c>
      <c r="D69" s="521">
        <v>2130</v>
      </c>
      <c r="E69" s="531">
        <v>920</v>
      </c>
      <c r="F69" s="531"/>
      <c r="G69" s="522">
        <f t="shared" si="1"/>
        <v>920</v>
      </c>
      <c r="H69" s="578">
        <f>D69+G69</f>
        <v>3050</v>
      </c>
      <c r="I69" s="782"/>
    </row>
    <row r="70" spans="1:9" x14ac:dyDescent="0.25">
      <c r="A70" s="785">
        <v>64</v>
      </c>
      <c r="B70" s="500" t="s">
        <v>166</v>
      </c>
      <c r="C70" s="520" t="s">
        <v>167</v>
      </c>
      <c r="D70" s="521">
        <v>5016</v>
      </c>
      <c r="E70" s="531"/>
      <c r="F70" s="531"/>
      <c r="G70" s="522"/>
      <c r="H70" s="578">
        <f>D70+G70</f>
        <v>5016</v>
      </c>
      <c r="I70" s="782"/>
    </row>
    <row r="71" spans="1:9" ht="25.5" x14ac:dyDescent="0.25">
      <c r="A71" s="785">
        <v>65</v>
      </c>
      <c r="B71" s="500" t="s">
        <v>168</v>
      </c>
      <c r="C71" s="520" t="s">
        <v>169</v>
      </c>
      <c r="D71" s="521"/>
      <c r="E71" s="531"/>
      <c r="F71" s="531"/>
      <c r="G71" s="522"/>
      <c r="H71" s="578"/>
      <c r="I71" s="782"/>
    </row>
    <row r="72" spans="1:9" ht="25.5" x14ac:dyDescent="0.25">
      <c r="A72" s="785">
        <v>66</v>
      </c>
      <c r="B72" s="519" t="s">
        <v>170</v>
      </c>
      <c r="C72" s="520" t="s">
        <v>171</v>
      </c>
      <c r="D72" s="521"/>
      <c r="E72" s="531"/>
      <c r="F72" s="531"/>
      <c r="G72" s="522"/>
      <c r="H72" s="578"/>
      <c r="I72" s="782"/>
    </row>
    <row r="73" spans="1:9" ht="25.5" x14ac:dyDescent="0.25">
      <c r="A73" s="785">
        <v>67</v>
      </c>
      <c r="B73" s="500" t="s">
        <v>172</v>
      </c>
      <c r="C73" s="520" t="s">
        <v>173</v>
      </c>
      <c r="D73" s="521"/>
      <c r="E73" s="531"/>
      <c r="F73" s="531"/>
      <c r="G73" s="522"/>
      <c r="H73" s="578"/>
      <c r="I73" s="782"/>
    </row>
    <row r="74" spans="1:9" ht="25.5" x14ac:dyDescent="0.25">
      <c r="A74" s="785">
        <v>68</v>
      </c>
      <c r="B74" s="500" t="s">
        <v>174</v>
      </c>
      <c r="C74" s="520" t="s">
        <v>175</v>
      </c>
      <c r="D74" s="521"/>
      <c r="E74" s="531"/>
      <c r="F74" s="531"/>
      <c r="G74" s="522"/>
      <c r="H74" s="578"/>
      <c r="I74" s="782"/>
    </row>
    <row r="75" spans="1:9" ht="25.5" x14ac:dyDescent="0.25">
      <c r="A75" s="785">
        <v>69</v>
      </c>
      <c r="B75" s="519" t="s">
        <v>176</v>
      </c>
      <c r="C75" s="520" t="s">
        <v>177</v>
      </c>
      <c r="D75" s="521"/>
      <c r="E75" s="531"/>
      <c r="F75" s="531"/>
      <c r="G75" s="522"/>
      <c r="H75" s="578"/>
      <c r="I75" s="782"/>
    </row>
    <row r="76" spans="1:9" ht="25.5" x14ac:dyDescent="0.25">
      <c r="A76" s="785">
        <v>70</v>
      </c>
      <c r="B76" s="519" t="s">
        <v>178</v>
      </c>
      <c r="C76" s="520" t="s">
        <v>179</v>
      </c>
      <c r="D76" s="521"/>
      <c r="E76" s="531"/>
      <c r="F76" s="531"/>
      <c r="G76" s="522"/>
      <c r="H76" s="578"/>
      <c r="I76" s="782"/>
    </row>
    <row r="77" spans="1:9" ht="25.5" x14ac:dyDescent="0.25">
      <c r="A77" s="785">
        <v>71</v>
      </c>
      <c r="B77" s="519" t="s">
        <v>180</v>
      </c>
      <c r="C77" s="520" t="s">
        <v>181</v>
      </c>
      <c r="D77" s="521"/>
      <c r="E77" s="531"/>
      <c r="F77" s="531"/>
      <c r="G77" s="522"/>
      <c r="H77" s="578"/>
      <c r="I77" s="782"/>
    </row>
    <row r="78" spans="1:9" x14ac:dyDescent="0.25">
      <c r="A78" s="785">
        <v>72</v>
      </c>
      <c r="B78" s="733" t="s">
        <v>182</v>
      </c>
      <c r="C78" s="520" t="s">
        <v>183</v>
      </c>
      <c r="D78" s="521">
        <v>2562</v>
      </c>
      <c r="E78" s="531"/>
      <c r="F78" s="531"/>
      <c r="G78" s="522"/>
      <c r="H78" s="578">
        <f t="shared" ref="H78:H84" si="4">D78+G78</f>
        <v>2562</v>
      </c>
      <c r="I78" s="782">
        <v>4950</v>
      </c>
    </row>
    <row r="79" spans="1:9" x14ac:dyDescent="0.25">
      <c r="A79" s="785">
        <v>73</v>
      </c>
      <c r="B79" s="519" t="s">
        <v>184</v>
      </c>
      <c r="C79" s="520" t="s">
        <v>185</v>
      </c>
      <c r="D79" s="521">
        <v>6848</v>
      </c>
      <c r="E79" s="531">
        <v>1021</v>
      </c>
      <c r="F79" s="531"/>
      <c r="G79" s="522">
        <f t="shared" ref="G79:G134" si="5">E79+F79</f>
        <v>1021</v>
      </c>
      <c r="H79" s="578">
        <f t="shared" si="4"/>
        <v>7869</v>
      </c>
      <c r="I79" s="782">
        <f>9900-1100</f>
        <v>8800</v>
      </c>
    </row>
    <row r="80" spans="1:9" x14ac:dyDescent="0.25">
      <c r="A80" s="785">
        <v>74</v>
      </c>
      <c r="B80" s="733" t="s">
        <v>186</v>
      </c>
      <c r="C80" s="520" t="s">
        <v>187</v>
      </c>
      <c r="D80" s="521">
        <v>3888</v>
      </c>
      <c r="E80" s="531">
        <v>481</v>
      </c>
      <c r="F80" s="531"/>
      <c r="G80" s="522">
        <f t="shared" si="5"/>
        <v>481</v>
      </c>
      <c r="H80" s="578">
        <f t="shared" si="4"/>
        <v>4369</v>
      </c>
      <c r="I80" s="782">
        <v>3300</v>
      </c>
    </row>
    <row r="81" spans="1:9" x14ac:dyDescent="0.25">
      <c r="A81" s="785">
        <v>75</v>
      </c>
      <c r="B81" s="519" t="s">
        <v>188</v>
      </c>
      <c r="C81" s="520" t="s">
        <v>461</v>
      </c>
      <c r="D81" s="521">
        <v>931</v>
      </c>
      <c r="E81" s="531"/>
      <c r="F81" s="531"/>
      <c r="G81" s="522"/>
      <c r="H81" s="578">
        <f t="shared" si="4"/>
        <v>931</v>
      </c>
      <c r="I81" s="782">
        <v>3300</v>
      </c>
    </row>
    <row r="82" spans="1:9" x14ac:dyDescent="0.25">
      <c r="A82" s="785">
        <v>76</v>
      </c>
      <c r="B82" s="519" t="s">
        <v>190</v>
      </c>
      <c r="C82" s="520" t="s">
        <v>191</v>
      </c>
      <c r="D82" s="521">
        <v>6458</v>
      </c>
      <c r="E82" s="531">
        <v>676</v>
      </c>
      <c r="F82" s="531"/>
      <c r="G82" s="522">
        <f t="shared" si="5"/>
        <v>676</v>
      </c>
      <c r="H82" s="578">
        <f t="shared" si="4"/>
        <v>7134</v>
      </c>
      <c r="I82" s="782">
        <v>4950</v>
      </c>
    </row>
    <row r="83" spans="1:9" x14ac:dyDescent="0.25">
      <c r="A83" s="785">
        <v>77</v>
      </c>
      <c r="B83" s="519" t="s">
        <v>192</v>
      </c>
      <c r="C83" s="520" t="s">
        <v>193</v>
      </c>
      <c r="D83" s="521"/>
      <c r="E83" s="531"/>
      <c r="F83" s="531">
        <v>695</v>
      </c>
      <c r="G83" s="522">
        <f t="shared" si="5"/>
        <v>695</v>
      </c>
      <c r="H83" s="578">
        <f t="shared" si="4"/>
        <v>695</v>
      </c>
      <c r="I83" s="782">
        <v>3960</v>
      </c>
    </row>
    <row r="84" spans="1:9" x14ac:dyDescent="0.25">
      <c r="A84" s="785">
        <v>78</v>
      </c>
      <c r="B84" s="519" t="s">
        <v>194</v>
      </c>
      <c r="C84" s="520" t="s">
        <v>195</v>
      </c>
      <c r="D84" s="521">
        <v>5211</v>
      </c>
      <c r="E84" s="531"/>
      <c r="F84" s="531"/>
      <c r="G84" s="522"/>
      <c r="H84" s="578">
        <f t="shared" si="4"/>
        <v>5211</v>
      </c>
      <c r="I84" s="782">
        <f>5280-1100</f>
        <v>4180</v>
      </c>
    </row>
    <row r="85" spans="1:9" x14ac:dyDescent="0.25">
      <c r="A85" s="785">
        <v>79</v>
      </c>
      <c r="B85" s="519" t="s">
        <v>196</v>
      </c>
      <c r="C85" s="520" t="s">
        <v>197</v>
      </c>
      <c r="D85" s="521"/>
      <c r="E85" s="531"/>
      <c r="F85" s="531"/>
      <c r="G85" s="522"/>
      <c r="H85" s="578"/>
      <c r="I85" s="782"/>
    </row>
    <row r="86" spans="1:9" x14ac:dyDescent="0.25">
      <c r="A86" s="785">
        <v>80</v>
      </c>
      <c r="B86" s="500" t="s">
        <v>30</v>
      </c>
      <c r="C86" s="520" t="s">
        <v>198</v>
      </c>
      <c r="D86" s="521"/>
      <c r="E86" s="531"/>
      <c r="F86" s="531"/>
      <c r="G86" s="522"/>
      <c r="H86" s="578"/>
      <c r="I86" s="782"/>
    </row>
    <row r="87" spans="1:9" ht="25.5" x14ac:dyDescent="0.25">
      <c r="A87" s="1259">
        <v>81</v>
      </c>
      <c r="B87" s="1262" t="s">
        <v>199</v>
      </c>
      <c r="C87" s="526" t="s">
        <v>200</v>
      </c>
      <c r="D87" s="521"/>
      <c r="E87" s="531"/>
      <c r="F87" s="531"/>
      <c r="G87" s="522"/>
      <c r="H87" s="578"/>
      <c r="I87" s="782"/>
    </row>
    <row r="88" spans="1:9" ht="44.25" customHeight="1" x14ac:dyDescent="0.25">
      <c r="A88" s="1260"/>
      <c r="B88" s="1262"/>
      <c r="C88" s="520" t="s">
        <v>201</v>
      </c>
      <c r="D88" s="521"/>
      <c r="E88" s="531"/>
      <c r="F88" s="531"/>
      <c r="G88" s="522"/>
      <c r="H88" s="578"/>
      <c r="I88" s="782"/>
    </row>
    <row r="89" spans="1:9" ht="25.5" x14ac:dyDescent="0.25">
      <c r="A89" s="1260"/>
      <c r="B89" s="1262"/>
      <c r="C89" s="520" t="s">
        <v>202</v>
      </c>
      <c r="D89" s="521"/>
      <c r="E89" s="531"/>
      <c r="F89" s="531"/>
      <c r="G89" s="522"/>
      <c r="H89" s="578"/>
      <c r="I89" s="782"/>
    </row>
    <row r="90" spans="1:9" ht="40.5" customHeight="1" x14ac:dyDescent="0.25">
      <c r="A90" s="1261"/>
      <c r="B90" s="1262"/>
      <c r="C90" s="437" t="s">
        <v>203</v>
      </c>
      <c r="D90" s="521"/>
      <c r="E90" s="531"/>
      <c r="F90" s="531"/>
      <c r="G90" s="522"/>
      <c r="H90" s="578"/>
      <c r="I90" s="782"/>
    </row>
    <row r="91" spans="1:9" ht="25.5" x14ac:dyDescent="0.25">
      <c r="A91" s="785">
        <v>82</v>
      </c>
      <c r="B91" s="500" t="s">
        <v>204</v>
      </c>
      <c r="C91" s="520" t="s">
        <v>205</v>
      </c>
      <c r="D91" s="521"/>
      <c r="E91" s="531"/>
      <c r="F91" s="531"/>
      <c r="G91" s="522"/>
      <c r="H91" s="578"/>
      <c r="I91" s="782"/>
    </row>
    <row r="92" spans="1:9" x14ac:dyDescent="0.25">
      <c r="A92" s="785">
        <v>83</v>
      </c>
      <c r="B92" s="500" t="s">
        <v>206</v>
      </c>
      <c r="C92" s="520" t="s">
        <v>207</v>
      </c>
      <c r="D92" s="521"/>
      <c r="E92" s="531"/>
      <c r="F92" s="531"/>
      <c r="G92" s="522"/>
      <c r="H92" s="578"/>
      <c r="I92" s="782"/>
    </row>
    <row r="93" spans="1:9" x14ac:dyDescent="0.25">
      <c r="A93" s="785">
        <v>84</v>
      </c>
      <c r="B93" s="733" t="s">
        <v>208</v>
      </c>
      <c r="C93" s="520" t="s">
        <v>209</v>
      </c>
      <c r="D93" s="521"/>
      <c r="E93" s="531"/>
      <c r="F93" s="531"/>
      <c r="G93" s="522"/>
      <c r="H93" s="578"/>
      <c r="I93" s="782"/>
    </row>
    <row r="94" spans="1:9" x14ac:dyDescent="0.25">
      <c r="A94" s="785">
        <v>85</v>
      </c>
      <c r="B94" s="500" t="s">
        <v>210</v>
      </c>
      <c r="C94" s="520" t="s">
        <v>211</v>
      </c>
      <c r="D94" s="521"/>
      <c r="E94" s="531"/>
      <c r="F94" s="531"/>
      <c r="G94" s="522"/>
      <c r="H94" s="578"/>
      <c r="I94" s="782">
        <v>3300</v>
      </c>
    </row>
    <row r="95" spans="1:9" x14ac:dyDescent="0.25">
      <c r="A95" s="785">
        <v>86</v>
      </c>
      <c r="B95" s="733" t="s">
        <v>212</v>
      </c>
      <c r="C95" s="520" t="s">
        <v>213</v>
      </c>
      <c r="D95" s="521"/>
      <c r="E95" s="531"/>
      <c r="F95" s="531"/>
      <c r="G95" s="522"/>
      <c r="H95" s="578"/>
      <c r="I95" s="782">
        <v>3300</v>
      </c>
    </row>
    <row r="96" spans="1:9" x14ac:dyDescent="0.25">
      <c r="A96" s="785">
        <v>87</v>
      </c>
      <c r="B96" s="733" t="s">
        <v>214</v>
      </c>
      <c r="C96" s="520" t="s">
        <v>215</v>
      </c>
      <c r="D96" s="521">
        <v>1766</v>
      </c>
      <c r="E96" s="531">
        <v>214</v>
      </c>
      <c r="F96" s="531"/>
      <c r="G96" s="522">
        <f t="shared" si="5"/>
        <v>214</v>
      </c>
      <c r="H96" s="578">
        <f>D96+G96</f>
        <v>1980</v>
      </c>
      <c r="I96" s="782">
        <v>3300</v>
      </c>
    </row>
    <row r="97" spans="1:9" x14ac:dyDescent="0.25">
      <c r="A97" s="785">
        <v>88</v>
      </c>
      <c r="B97" s="500" t="s">
        <v>216</v>
      </c>
      <c r="C97" s="520" t="s">
        <v>217</v>
      </c>
      <c r="D97" s="521">
        <v>773</v>
      </c>
      <c r="E97" s="531">
        <v>121</v>
      </c>
      <c r="F97" s="531"/>
      <c r="G97" s="522">
        <f t="shared" si="5"/>
        <v>121</v>
      </c>
      <c r="H97" s="578">
        <f>D97+G97</f>
        <v>894</v>
      </c>
      <c r="I97" s="782">
        <v>1650</v>
      </c>
    </row>
    <row r="98" spans="1:9" x14ac:dyDescent="0.25">
      <c r="A98" s="785">
        <v>89</v>
      </c>
      <c r="B98" s="519" t="s">
        <v>218</v>
      </c>
      <c r="C98" s="520" t="s">
        <v>219</v>
      </c>
      <c r="D98" s="521">
        <v>2003</v>
      </c>
      <c r="E98" s="531">
        <v>286</v>
      </c>
      <c r="F98" s="531"/>
      <c r="G98" s="522">
        <f t="shared" si="5"/>
        <v>286</v>
      </c>
      <c r="H98" s="578">
        <f>D98+G98</f>
        <v>2289</v>
      </c>
      <c r="I98" s="782">
        <v>3300</v>
      </c>
    </row>
    <row r="99" spans="1:9" x14ac:dyDescent="0.25">
      <c r="A99" s="785">
        <v>90</v>
      </c>
      <c r="B99" s="519" t="s">
        <v>220</v>
      </c>
      <c r="C99" s="520" t="s">
        <v>221</v>
      </c>
      <c r="D99" s="521">
        <v>3510</v>
      </c>
      <c r="E99" s="531">
        <v>350</v>
      </c>
      <c r="F99" s="531"/>
      <c r="G99" s="522">
        <f t="shared" si="5"/>
        <v>350</v>
      </c>
      <c r="H99" s="578">
        <f>D99+G99</f>
        <v>3860</v>
      </c>
      <c r="I99" s="782">
        <v>3300</v>
      </c>
    </row>
    <row r="100" spans="1:9" x14ac:dyDescent="0.25">
      <c r="A100" s="785">
        <v>91</v>
      </c>
      <c r="B100" s="733" t="s">
        <v>222</v>
      </c>
      <c r="C100" s="520" t="s">
        <v>223</v>
      </c>
      <c r="D100" s="521"/>
      <c r="E100" s="531"/>
      <c r="F100" s="531"/>
      <c r="G100" s="522"/>
      <c r="H100" s="578"/>
      <c r="I100" s="782">
        <v>1650</v>
      </c>
    </row>
    <row r="101" spans="1:9" x14ac:dyDescent="0.25">
      <c r="A101" s="785">
        <v>92</v>
      </c>
      <c r="B101" s="519" t="s">
        <v>224</v>
      </c>
      <c r="C101" s="520" t="s">
        <v>225</v>
      </c>
      <c r="D101" s="521">
        <v>922</v>
      </c>
      <c r="E101" s="531"/>
      <c r="F101" s="531"/>
      <c r="G101" s="522"/>
      <c r="H101" s="578">
        <f>D101+G101</f>
        <v>922</v>
      </c>
      <c r="I101" s="782">
        <v>3300</v>
      </c>
    </row>
    <row r="102" spans="1:9" x14ac:dyDescent="0.25">
      <c r="A102" s="785">
        <v>93</v>
      </c>
      <c r="B102" s="519" t="s">
        <v>226</v>
      </c>
      <c r="C102" s="520" t="s">
        <v>227</v>
      </c>
      <c r="D102" s="521"/>
      <c r="E102" s="531"/>
      <c r="F102" s="531"/>
      <c r="G102" s="522"/>
      <c r="H102" s="578"/>
      <c r="I102" s="782">
        <v>3300</v>
      </c>
    </row>
    <row r="103" spans="1:9" x14ac:dyDescent="0.25">
      <c r="A103" s="785">
        <v>94</v>
      </c>
      <c r="B103" s="500" t="s">
        <v>32</v>
      </c>
      <c r="C103" s="520" t="s">
        <v>33</v>
      </c>
      <c r="D103" s="521">
        <v>3081</v>
      </c>
      <c r="E103" s="531">
        <v>372</v>
      </c>
      <c r="F103" s="531">
        <v>132</v>
      </c>
      <c r="G103" s="522">
        <f t="shared" si="5"/>
        <v>504</v>
      </c>
      <c r="H103" s="578">
        <f>D103+G103</f>
        <v>3585</v>
      </c>
      <c r="I103" s="782">
        <v>3630</v>
      </c>
    </row>
    <row r="104" spans="1:9" x14ac:dyDescent="0.25">
      <c r="A104" s="785">
        <v>95</v>
      </c>
      <c r="B104" s="733" t="s">
        <v>228</v>
      </c>
      <c r="C104" s="520" t="s">
        <v>229</v>
      </c>
      <c r="D104" s="521">
        <v>687</v>
      </c>
      <c r="E104" s="531"/>
      <c r="F104" s="531"/>
      <c r="G104" s="522"/>
      <c r="H104" s="578">
        <f>D104+G104</f>
        <v>687</v>
      </c>
      <c r="I104" s="782">
        <v>3300</v>
      </c>
    </row>
    <row r="105" spans="1:9" x14ac:dyDescent="0.25">
      <c r="A105" s="785">
        <v>96</v>
      </c>
      <c r="B105" s="519" t="s">
        <v>230</v>
      </c>
      <c r="C105" s="520" t="s">
        <v>231</v>
      </c>
      <c r="D105" s="521">
        <v>2534</v>
      </c>
      <c r="E105" s="531">
        <v>389</v>
      </c>
      <c r="F105" s="531"/>
      <c r="G105" s="522">
        <f t="shared" si="5"/>
        <v>389</v>
      </c>
      <c r="H105" s="578">
        <f>D105+G105</f>
        <v>2923</v>
      </c>
      <c r="I105" s="782">
        <v>3300</v>
      </c>
    </row>
    <row r="106" spans="1:9" x14ac:dyDescent="0.25">
      <c r="A106" s="785">
        <v>97</v>
      </c>
      <c r="B106" s="519" t="s">
        <v>232</v>
      </c>
      <c r="C106" s="520" t="s">
        <v>233</v>
      </c>
      <c r="D106" s="521"/>
      <c r="E106" s="531"/>
      <c r="F106" s="531"/>
      <c r="G106" s="522"/>
      <c r="H106" s="578"/>
      <c r="I106" s="782"/>
    </row>
    <row r="107" spans="1:9" x14ac:dyDescent="0.25">
      <c r="A107" s="785">
        <v>98</v>
      </c>
      <c r="B107" s="519" t="s">
        <v>234</v>
      </c>
      <c r="C107" s="520" t="s">
        <v>235</v>
      </c>
      <c r="D107" s="521"/>
      <c r="E107" s="531"/>
      <c r="F107" s="531"/>
      <c r="G107" s="522"/>
      <c r="H107" s="578"/>
      <c r="I107" s="782"/>
    </row>
    <row r="108" spans="1:9" x14ac:dyDescent="0.25">
      <c r="A108" s="785">
        <v>99</v>
      </c>
      <c r="B108" s="733" t="s">
        <v>236</v>
      </c>
      <c r="C108" s="520" t="s">
        <v>237</v>
      </c>
      <c r="D108" s="521"/>
      <c r="E108" s="531"/>
      <c r="F108" s="531"/>
      <c r="G108" s="522"/>
      <c r="H108" s="578"/>
      <c r="I108" s="782"/>
    </row>
    <row r="109" spans="1:9" x14ac:dyDescent="0.25">
      <c r="A109" s="785">
        <v>100</v>
      </c>
      <c r="B109" s="733" t="s">
        <v>238</v>
      </c>
      <c r="C109" s="520" t="s">
        <v>239</v>
      </c>
      <c r="D109" s="521"/>
      <c r="E109" s="531"/>
      <c r="F109" s="531"/>
      <c r="G109" s="522"/>
      <c r="H109" s="578"/>
      <c r="I109" s="782"/>
    </row>
    <row r="110" spans="1:9" ht="15.75" customHeight="1" x14ac:dyDescent="0.25">
      <c r="A110" s="785">
        <v>101</v>
      </c>
      <c r="B110" s="733" t="s">
        <v>240</v>
      </c>
      <c r="C110" s="520" t="s">
        <v>241</v>
      </c>
      <c r="D110" s="521"/>
      <c r="E110" s="531"/>
      <c r="F110" s="531"/>
      <c r="G110" s="522"/>
      <c r="H110" s="578"/>
      <c r="I110" s="782"/>
    </row>
    <row r="111" spans="1:9" x14ac:dyDescent="0.25">
      <c r="A111" s="785">
        <v>102</v>
      </c>
      <c r="B111" s="733" t="s">
        <v>242</v>
      </c>
      <c r="C111" s="520" t="s">
        <v>243</v>
      </c>
      <c r="D111" s="521"/>
      <c r="E111" s="531"/>
      <c r="F111" s="531"/>
      <c r="G111" s="522"/>
      <c r="H111" s="578"/>
      <c r="I111" s="782"/>
    </row>
    <row r="112" spans="1:9" x14ac:dyDescent="0.25">
      <c r="A112" s="785">
        <v>103</v>
      </c>
      <c r="B112" s="733" t="s">
        <v>244</v>
      </c>
      <c r="C112" s="520" t="s">
        <v>245</v>
      </c>
      <c r="D112" s="521"/>
      <c r="E112" s="531"/>
      <c r="F112" s="531"/>
      <c r="G112" s="522"/>
      <c r="H112" s="578"/>
      <c r="I112" s="782"/>
    </row>
    <row r="113" spans="1:9" x14ac:dyDescent="0.25">
      <c r="A113" s="785">
        <v>104</v>
      </c>
      <c r="B113" s="527" t="s">
        <v>246</v>
      </c>
      <c r="C113" s="525" t="s">
        <v>247</v>
      </c>
      <c r="D113" s="521"/>
      <c r="E113" s="531"/>
      <c r="F113" s="531"/>
      <c r="G113" s="522"/>
      <c r="H113" s="578"/>
      <c r="I113" s="782"/>
    </row>
    <row r="114" spans="1:9" x14ac:dyDescent="0.25">
      <c r="A114" s="785">
        <v>105</v>
      </c>
      <c r="B114" s="500" t="s">
        <v>248</v>
      </c>
      <c r="C114" s="520" t="s">
        <v>249</v>
      </c>
      <c r="D114" s="521"/>
      <c r="E114" s="531"/>
      <c r="F114" s="531"/>
      <c r="G114" s="522"/>
      <c r="H114" s="578"/>
      <c r="I114" s="782"/>
    </row>
    <row r="115" spans="1:9" x14ac:dyDescent="0.25">
      <c r="A115" s="785">
        <v>106</v>
      </c>
      <c r="B115" s="733" t="s">
        <v>250</v>
      </c>
      <c r="C115" s="520" t="s">
        <v>251</v>
      </c>
      <c r="D115" s="521"/>
      <c r="E115" s="531"/>
      <c r="F115" s="531"/>
      <c r="G115" s="522"/>
      <c r="H115" s="578"/>
      <c r="I115" s="782"/>
    </row>
    <row r="116" spans="1:9" ht="15" customHeight="1" x14ac:dyDescent="0.25">
      <c r="A116" s="785">
        <v>107</v>
      </c>
      <c r="B116" s="519" t="s">
        <v>252</v>
      </c>
      <c r="C116" s="528" t="s">
        <v>253</v>
      </c>
      <c r="D116" s="521"/>
      <c r="E116" s="531"/>
      <c r="F116" s="531"/>
      <c r="G116" s="522"/>
      <c r="H116" s="578"/>
      <c r="I116" s="782"/>
    </row>
    <row r="117" spans="1:9" x14ac:dyDescent="0.25">
      <c r="A117" s="785">
        <v>108</v>
      </c>
      <c r="B117" s="733" t="s">
        <v>254</v>
      </c>
      <c r="C117" s="520" t="s">
        <v>255</v>
      </c>
      <c r="D117" s="521"/>
      <c r="E117" s="531"/>
      <c r="F117" s="531"/>
      <c r="G117" s="522"/>
      <c r="H117" s="578"/>
      <c r="I117" s="782"/>
    </row>
    <row r="118" spans="1:9" x14ac:dyDescent="0.25">
      <c r="A118" s="785">
        <v>109</v>
      </c>
      <c r="B118" s="500" t="s">
        <v>256</v>
      </c>
      <c r="C118" s="520" t="s">
        <v>257</v>
      </c>
      <c r="D118" s="521"/>
      <c r="E118" s="531"/>
      <c r="F118" s="531"/>
      <c r="G118" s="522"/>
      <c r="H118" s="578"/>
      <c r="I118" s="782"/>
    </row>
    <row r="119" spans="1:9" x14ac:dyDescent="0.25">
      <c r="A119" s="785">
        <v>110</v>
      </c>
      <c r="B119" s="519" t="s">
        <v>258</v>
      </c>
      <c r="C119" s="520" t="s">
        <v>259</v>
      </c>
      <c r="D119" s="521"/>
      <c r="E119" s="531"/>
      <c r="F119" s="531"/>
      <c r="G119" s="522"/>
      <c r="H119" s="578"/>
      <c r="I119" s="782"/>
    </row>
    <row r="120" spans="1:9" x14ac:dyDescent="0.25">
      <c r="A120" s="785">
        <v>111</v>
      </c>
      <c r="B120" s="733" t="s">
        <v>551</v>
      </c>
      <c r="C120" s="786" t="s">
        <v>552</v>
      </c>
      <c r="D120" s="521"/>
      <c r="E120" s="531"/>
      <c r="F120" s="531"/>
      <c r="G120" s="522"/>
      <c r="H120" s="578"/>
      <c r="I120" s="782"/>
    </row>
    <row r="121" spans="1:9" x14ac:dyDescent="0.25">
      <c r="A121" s="785">
        <v>112</v>
      </c>
      <c r="B121" s="500" t="s">
        <v>260</v>
      </c>
      <c r="C121" s="520" t="s">
        <v>261</v>
      </c>
      <c r="D121" s="521"/>
      <c r="E121" s="531"/>
      <c r="F121" s="531"/>
      <c r="G121" s="522"/>
      <c r="H121" s="578"/>
      <c r="I121" s="782"/>
    </row>
    <row r="122" spans="1:9" x14ac:dyDescent="0.25">
      <c r="A122" s="785">
        <v>113</v>
      </c>
      <c r="B122" s="733" t="s">
        <v>262</v>
      </c>
      <c r="C122" s="520" t="s">
        <v>263</v>
      </c>
      <c r="D122" s="521"/>
      <c r="E122" s="531"/>
      <c r="F122" s="531"/>
      <c r="G122" s="522"/>
      <c r="H122" s="578"/>
      <c r="I122" s="782"/>
    </row>
    <row r="123" spans="1:9" ht="25.5" x14ac:dyDescent="0.25">
      <c r="A123" s="785">
        <v>114</v>
      </c>
      <c r="B123" s="733" t="s">
        <v>264</v>
      </c>
      <c r="C123" s="530" t="s">
        <v>265</v>
      </c>
      <c r="D123" s="521"/>
      <c r="E123" s="531"/>
      <c r="F123" s="531"/>
      <c r="G123" s="522"/>
      <c r="H123" s="578"/>
      <c r="I123" s="782"/>
    </row>
    <row r="124" spans="1:9" x14ac:dyDescent="0.25">
      <c r="A124" s="785">
        <v>115</v>
      </c>
      <c r="B124" s="733" t="s">
        <v>266</v>
      </c>
      <c r="C124" s="520" t="s">
        <v>267</v>
      </c>
      <c r="D124" s="521"/>
      <c r="E124" s="531"/>
      <c r="F124" s="531"/>
      <c r="G124" s="522"/>
      <c r="H124" s="578"/>
      <c r="I124" s="782"/>
    </row>
    <row r="125" spans="1:9" x14ac:dyDescent="0.25">
      <c r="A125" s="785">
        <v>116</v>
      </c>
      <c r="B125" s="733" t="s">
        <v>268</v>
      </c>
      <c r="C125" s="520" t="s">
        <v>269</v>
      </c>
      <c r="D125" s="521">
        <v>2833</v>
      </c>
      <c r="E125" s="531">
        <v>841</v>
      </c>
      <c r="F125" s="531"/>
      <c r="G125" s="522">
        <f t="shared" si="5"/>
        <v>841</v>
      </c>
      <c r="H125" s="578">
        <f>D125+G125</f>
        <v>3674</v>
      </c>
      <c r="I125" s="782">
        <v>13200</v>
      </c>
    </row>
    <row r="126" spans="1:9" x14ac:dyDescent="0.25">
      <c r="A126" s="785">
        <v>117</v>
      </c>
      <c r="B126" s="733" t="s">
        <v>270</v>
      </c>
      <c r="C126" s="520" t="s">
        <v>271</v>
      </c>
      <c r="D126" s="521"/>
      <c r="E126" s="531"/>
      <c r="F126" s="531"/>
      <c r="G126" s="522"/>
      <c r="H126" s="578"/>
      <c r="I126" s="782"/>
    </row>
    <row r="127" spans="1:9" x14ac:dyDescent="0.25">
      <c r="A127" s="785">
        <v>118</v>
      </c>
      <c r="B127" s="519" t="s">
        <v>272</v>
      </c>
      <c r="C127" s="520" t="s">
        <v>273</v>
      </c>
      <c r="D127" s="521"/>
      <c r="E127" s="531"/>
      <c r="F127" s="531"/>
      <c r="G127" s="522"/>
      <c r="H127" s="578"/>
      <c r="I127" s="782"/>
    </row>
    <row r="128" spans="1:9" x14ac:dyDescent="0.25">
      <c r="A128" s="785">
        <v>119</v>
      </c>
      <c r="B128" s="519" t="s">
        <v>274</v>
      </c>
      <c r="C128" s="520" t="s">
        <v>275</v>
      </c>
      <c r="D128" s="521"/>
      <c r="E128" s="531"/>
      <c r="F128" s="531"/>
      <c r="G128" s="522"/>
      <c r="H128" s="578"/>
      <c r="I128" s="782"/>
    </row>
    <row r="129" spans="1:9" x14ac:dyDescent="0.25">
      <c r="A129" s="785">
        <v>120</v>
      </c>
      <c r="B129" s="519" t="s">
        <v>276</v>
      </c>
      <c r="C129" s="520" t="s">
        <v>277</v>
      </c>
      <c r="D129" s="521"/>
      <c r="E129" s="531"/>
      <c r="F129" s="531"/>
      <c r="G129" s="522"/>
      <c r="H129" s="578"/>
      <c r="I129" s="782"/>
    </row>
    <row r="130" spans="1:9" x14ac:dyDescent="0.25">
      <c r="A130" s="785">
        <v>121</v>
      </c>
      <c r="B130" s="733" t="s">
        <v>278</v>
      </c>
      <c r="C130" s="520" t="s">
        <v>279</v>
      </c>
      <c r="D130" s="521"/>
      <c r="E130" s="531"/>
      <c r="F130" s="531"/>
      <c r="G130" s="522"/>
      <c r="H130" s="578"/>
      <c r="I130" s="782"/>
    </row>
    <row r="131" spans="1:9" x14ac:dyDescent="0.25">
      <c r="A131" s="785">
        <v>122</v>
      </c>
      <c r="B131" s="733" t="s">
        <v>280</v>
      </c>
      <c r="C131" s="520" t="s">
        <v>281</v>
      </c>
      <c r="D131" s="521"/>
      <c r="E131" s="531"/>
      <c r="F131" s="531"/>
      <c r="G131" s="522"/>
      <c r="H131" s="578"/>
      <c r="I131" s="782"/>
    </row>
    <row r="132" spans="1:9" x14ac:dyDescent="0.25">
      <c r="A132" s="785">
        <v>123</v>
      </c>
      <c r="B132" s="733" t="s">
        <v>282</v>
      </c>
      <c r="C132" s="520" t="s">
        <v>783</v>
      </c>
      <c r="D132" s="521">
        <v>2671</v>
      </c>
      <c r="E132" s="531"/>
      <c r="F132" s="531"/>
      <c r="G132" s="522"/>
      <c r="H132" s="578">
        <f>D132+G132</f>
        <v>2671</v>
      </c>
      <c r="I132" s="782">
        <v>23100</v>
      </c>
    </row>
    <row r="133" spans="1:9" x14ac:dyDescent="0.25">
      <c r="A133" s="785">
        <v>124</v>
      </c>
      <c r="B133" s="519" t="s">
        <v>283</v>
      </c>
      <c r="C133" s="520" t="s">
        <v>284</v>
      </c>
      <c r="D133" s="521">
        <v>2730</v>
      </c>
      <c r="E133" s="531"/>
      <c r="F133" s="531"/>
      <c r="G133" s="522"/>
      <c r="H133" s="578">
        <f>D133+G133</f>
        <v>2730</v>
      </c>
      <c r="I133" s="782"/>
    </row>
    <row r="134" spans="1:9" ht="12.75" customHeight="1" x14ac:dyDescent="0.25">
      <c r="A134" s="785">
        <v>125</v>
      </c>
      <c r="B134" s="500" t="s">
        <v>285</v>
      </c>
      <c r="C134" s="520" t="s">
        <v>761</v>
      </c>
      <c r="D134" s="521">
        <v>4239</v>
      </c>
      <c r="E134" s="531">
        <v>472</v>
      </c>
      <c r="F134" s="531"/>
      <c r="G134" s="522">
        <f t="shared" si="5"/>
        <v>472</v>
      </c>
      <c r="H134" s="578">
        <f>D134+G134</f>
        <v>4711</v>
      </c>
      <c r="I134" s="782">
        <f>0+5500</f>
        <v>5500</v>
      </c>
    </row>
    <row r="135" spans="1:9" x14ac:dyDescent="0.25">
      <c r="A135" s="785">
        <v>126</v>
      </c>
      <c r="B135" s="733" t="s">
        <v>286</v>
      </c>
      <c r="C135" s="520" t="s">
        <v>287</v>
      </c>
      <c r="D135" s="521"/>
      <c r="E135" s="781"/>
      <c r="F135" s="781"/>
      <c r="G135" s="522"/>
      <c r="H135" s="578"/>
      <c r="I135" s="782">
        <v>9900</v>
      </c>
    </row>
    <row r="136" spans="1:9" x14ac:dyDescent="0.25">
      <c r="A136" s="785">
        <v>127</v>
      </c>
      <c r="B136" s="519" t="s">
        <v>288</v>
      </c>
      <c r="C136" s="520" t="s">
        <v>289</v>
      </c>
      <c r="D136" s="521"/>
      <c r="E136" s="781"/>
      <c r="F136" s="781"/>
      <c r="G136" s="522"/>
      <c r="H136" s="578"/>
      <c r="I136" s="782"/>
    </row>
    <row r="137" spans="1:9" x14ac:dyDescent="0.25">
      <c r="A137" s="785">
        <v>128</v>
      </c>
      <c r="B137" s="733" t="s">
        <v>290</v>
      </c>
      <c r="C137" s="520" t="s">
        <v>291</v>
      </c>
      <c r="D137" s="521"/>
      <c r="E137" s="781"/>
      <c r="F137" s="781"/>
      <c r="G137" s="522"/>
      <c r="H137" s="578"/>
      <c r="I137" s="782"/>
    </row>
    <row r="138" spans="1:9" x14ac:dyDescent="0.25">
      <c r="A138" s="785">
        <v>129</v>
      </c>
      <c r="B138" s="531" t="s">
        <v>292</v>
      </c>
      <c r="C138" s="532" t="s">
        <v>293</v>
      </c>
      <c r="D138" s="521"/>
      <c r="E138" s="781"/>
      <c r="F138" s="781"/>
      <c r="G138" s="522"/>
      <c r="H138" s="578"/>
      <c r="I138" s="782"/>
    </row>
    <row r="139" spans="1:9" x14ac:dyDescent="0.25">
      <c r="A139" s="785">
        <v>130</v>
      </c>
      <c r="B139" s="533" t="s">
        <v>294</v>
      </c>
      <c r="C139" s="532" t="s">
        <v>295</v>
      </c>
      <c r="D139" s="521"/>
      <c r="E139" s="781"/>
      <c r="F139" s="781"/>
      <c r="G139" s="522"/>
      <c r="H139" s="578"/>
      <c r="I139" s="782"/>
    </row>
    <row r="140" spans="1:9" x14ac:dyDescent="0.2">
      <c r="A140" s="785">
        <v>131</v>
      </c>
      <c r="B140" s="531" t="s">
        <v>296</v>
      </c>
      <c r="C140" s="464" t="s">
        <v>462</v>
      </c>
      <c r="D140" s="521"/>
      <c r="E140" s="781"/>
      <c r="F140" s="781"/>
      <c r="G140" s="522"/>
      <c r="H140" s="578"/>
      <c r="I140" s="782">
        <v>1980</v>
      </c>
    </row>
    <row r="141" spans="1:9" x14ac:dyDescent="0.25">
      <c r="A141" s="785">
        <v>132</v>
      </c>
      <c r="B141" s="534" t="s">
        <v>298</v>
      </c>
      <c r="C141" s="535" t="s">
        <v>299</v>
      </c>
      <c r="D141" s="521"/>
      <c r="E141" s="781"/>
      <c r="F141" s="781"/>
      <c r="G141" s="522"/>
      <c r="H141" s="578"/>
      <c r="I141" s="782"/>
    </row>
    <row r="142" spans="1:9" x14ac:dyDescent="0.25">
      <c r="A142" s="785">
        <v>133</v>
      </c>
      <c r="B142" s="536" t="s">
        <v>300</v>
      </c>
      <c r="C142" s="535" t="s">
        <v>301</v>
      </c>
      <c r="D142" s="521"/>
      <c r="E142" s="781">
        <v>2400</v>
      </c>
      <c r="F142" s="781">
        <v>800</v>
      </c>
      <c r="G142" s="522">
        <f t="shared" ref="G142" si="6">E142+F142</f>
        <v>3200</v>
      </c>
      <c r="H142" s="578">
        <f>D142+G142</f>
        <v>3200</v>
      </c>
      <c r="I142" s="782">
        <v>19800</v>
      </c>
    </row>
    <row r="143" spans="1:9" x14ac:dyDescent="0.25">
      <c r="A143" s="785">
        <v>134</v>
      </c>
      <c r="B143" s="536" t="s">
        <v>302</v>
      </c>
      <c r="C143" s="535" t="s">
        <v>303</v>
      </c>
      <c r="D143" s="537"/>
      <c r="E143" s="537"/>
      <c r="F143" s="537"/>
      <c r="G143" s="522"/>
      <c r="H143" s="578"/>
      <c r="I143" s="782"/>
    </row>
    <row r="144" spans="1:9" ht="13.5" thickBot="1" x14ac:dyDescent="0.3">
      <c r="A144" s="776">
        <v>135</v>
      </c>
      <c r="B144" s="539" t="s">
        <v>304</v>
      </c>
      <c r="C144" s="540" t="s">
        <v>305</v>
      </c>
      <c r="D144" s="541"/>
      <c r="E144" s="541"/>
      <c r="F144" s="541"/>
      <c r="G144" s="542"/>
      <c r="H144" s="783"/>
      <c r="I144" s="784"/>
    </row>
    <row r="145" spans="3:8" s="597" customFormat="1" x14ac:dyDescent="0.25">
      <c r="C145" s="598"/>
      <c r="H145" s="599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zoomScale="90" zoomScaleNormal="90" workbookViewId="0">
      <pane xSplit="3" ySplit="7" topLeftCell="I125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511" customWidth="1"/>
    <col min="2" max="2" width="9.28515625" style="511" bestFit="1" customWidth="1"/>
    <col min="3" max="3" width="35.7109375" style="512" customWidth="1"/>
    <col min="4" max="4" width="17.28515625" style="513" customWidth="1"/>
    <col min="5" max="5" width="14.85546875" style="513" customWidth="1"/>
    <col min="6" max="6" width="12" style="513" customWidth="1"/>
    <col min="7" max="9" width="11.5703125" style="511" customWidth="1"/>
    <col min="10" max="10" width="11.42578125" style="513" customWidth="1"/>
    <col min="11" max="11" width="11.42578125" style="511" customWidth="1"/>
    <col min="12" max="16384" width="9.140625" style="511"/>
  </cols>
  <sheetData>
    <row r="1" spans="1:11" ht="39.75" customHeight="1" x14ac:dyDescent="0.25">
      <c r="A1" s="1227" t="s">
        <v>717</v>
      </c>
      <c r="B1" s="1295"/>
      <c r="C1" s="1295"/>
      <c r="D1" s="1295"/>
      <c r="E1" s="1295"/>
      <c r="F1" s="1295"/>
      <c r="G1" s="1296"/>
      <c r="H1" s="1296"/>
      <c r="I1" s="1296"/>
      <c r="J1" s="1296"/>
      <c r="K1" s="1296"/>
    </row>
    <row r="2" spans="1:11" ht="13.5" thickBot="1" x14ac:dyDescent="0.3"/>
    <row r="3" spans="1:11" s="600" customFormat="1" ht="11.25" customHeight="1" x14ac:dyDescent="0.25">
      <c r="A3" s="1265" t="s">
        <v>0</v>
      </c>
      <c r="B3" s="1268" t="s">
        <v>702</v>
      </c>
      <c r="C3" s="1292" t="s">
        <v>2</v>
      </c>
      <c r="D3" s="1274" t="s">
        <v>703</v>
      </c>
      <c r="E3" s="1314"/>
      <c r="F3" s="1297" t="s">
        <v>704</v>
      </c>
      <c r="G3" s="1298"/>
      <c r="H3" s="1299"/>
      <c r="I3" s="1300"/>
      <c r="J3" s="1305" t="s">
        <v>705</v>
      </c>
      <c r="K3" s="1306"/>
    </row>
    <row r="4" spans="1:11" s="600" customFormat="1" ht="23.25" customHeight="1" x14ac:dyDescent="0.25">
      <c r="A4" s="1266"/>
      <c r="B4" s="1269"/>
      <c r="C4" s="1293"/>
      <c r="D4" s="1315"/>
      <c r="E4" s="1316"/>
      <c r="F4" s="1301"/>
      <c r="G4" s="1302"/>
      <c r="H4" s="1303"/>
      <c r="I4" s="1304"/>
      <c r="J4" s="1307"/>
      <c r="K4" s="1304"/>
    </row>
    <row r="5" spans="1:11" s="600" customFormat="1" ht="21.75" customHeight="1" x14ac:dyDescent="0.25">
      <c r="A5" s="1266"/>
      <c r="B5" s="1269"/>
      <c r="C5" s="1293"/>
      <c r="D5" s="1317" t="s">
        <v>442</v>
      </c>
      <c r="E5" s="1319" t="s">
        <v>706</v>
      </c>
      <c r="F5" s="1308" t="s">
        <v>729</v>
      </c>
      <c r="G5" s="1307"/>
      <c r="H5" s="1280" t="s">
        <v>730</v>
      </c>
      <c r="I5" s="1309"/>
      <c r="J5" s="1310" t="s">
        <v>709</v>
      </c>
      <c r="K5" s="1312" t="s">
        <v>710</v>
      </c>
    </row>
    <row r="6" spans="1:11" s="600" customFormat="1" ht="38.25" customHeight="1" thickBot="1" x14ac:dyDescent="0.3">
      <c r="A6" s="1267"/>
      <c r="B6" s="1270"/>
      <c r="C6" s="1294"/>
      <c r="D6" s="1318"/>
      <c r="E6" s="1320"/>
      <c r="F6" s="601" t="s">
        <v>707</v>
      </c>
      <c r="G6" s="602" t="s">
        <v>708</v>
      </c>
      <c r="H6" s="603" t="s">
        <v>707</v>
      </c>
      <c r="I6" s="516" t="s">
        <v>708</v>
      </c>
      <c r="J6" s="1311"/>
      <c r="K6" s="1313"/>
    </row>
    <row r="7" spans="1:11" ht="12.75" customHeight="1" x14ac:dyDescent="0.25">
      <c r="A7" s="1285" t="s">
        <v>44</v>
      </c>
      <c r="B7" s="1286"/>
      <c r="C7" s="1287"/>
      <c r="D7" s="545">
        <f t="shared" ref="D7:K7" si="0">SUM(D8:D145)-D88</f>
        <v>428173</v>
      </c>
      <c r="E7" s="546">
        <f t="shared" si="0"/>
        <v>94934</v>
      </c>
      <c r="F7" s="547">
        <f t="shared" si="0"/>
        <v>17272</v>
      </c>
      <c r="G7" s="546">
        <f t="shared" si="0"/>
        <v>172718</v>
      </c>
      <c r="H7" s="593">
        <f t="shared" si="0"/>
        <v>525</v>
      </c>
      <c r="I7" s="548">
        <f t="shared" si="0"/>
        <v>24674</v>
      </c>
      <c r="J7" s="549">
        <f t="shared" si="0"/>
        <v>1525</v>
      </c>
      <c r="K7" s="518">
        <f t="shared" si="0"/>
        <v>18290</v>
      </c>
    </row>
    <row r="8" spans="1:11" x14ac:dyDescent="0.25">
      <c r="A8" s="595">
        <v>1</v>
      </c>
      <c r="B8" s="550" t="s">
        <v>54</v>
      </c>
      <c r="C8" s="564" t="s">
        <v>55</v>
      </c>
      <c r="D8" s="521">
        <v>1884</v>
      </c>
      <c r="E8" s="551">
        <v>464</v>
      </c>
      <c r="F8" s="521"/>
      <c r="G8" s="522"/>
      <c r="H8" s="522"/>
      <c r="I8" s="538"/>
      <c r="J8" s="552"/>
      <c r="K8" s="538"/>
    </row>
    <row r="9" spans="1:11" x14ac:dyDescent="0.25">
      <c r="A9" s="595">
        <v>2</v>
      </c>
      <c r="B9" s="553" t="s">
        <v>56</v>
      </c>
      <c r="C9" s="564" t="s">
        <v>57</v>
      </c>
      <c r="D9" s="521">
        <v>1928</v>
      </c>
      <c r="E9" s="538">
        <v>479</v>
      </c>
      <c r="F9" s="521"/>
      <c r="G9" s="522"/>
      <c r="H9" s="522"/>
      <c r="I9" s="538"/>
      <c r="J9" s="552"/>
      <c r="K9" s="538"/>
    </row>
    <row r="10" spans="1:11" x14ac:dyDescent="0.25">
      <c r="A10" s="595">
        <v>3</v>
      </c>
      <c r="B10" s="589" t="s">
        <v>16</v>
      </c>
      <c r="C10" s="564" t="s">
        <v>17</v>
      </c>
      <c r="D10" s="521">
        <v>6725</v>
      </c>
      <c r="E10" s="538">
        <v>2148</v>
      </c>
      <c r="F10" s="521">
        <v>575</v>
      </c>
      <c r="G10" s="522">
        <v>5746</v>
      </c>
      <c r="H10" s="522"/>
      <c r="I10" s="538"/>
      <c r="J10" s="552">
        <v>181</v>
      </c>
      <c r="K10" s="538">
        <v>2170</v>
      </c>
    </row>
    <row r="11" spans="1:11" x14ac:dyDescent="0.25">
      <c r="A11" s="595">
        <v>4</v>
      </c>
      <c r="B11" s="550" t="s">
        <v>58</v>
      </c>
      <c r="C11" s="564" t="s">
        <v>59</v>
      </c>
      <c r="D11" s="521">
        <v>2250</v>
      </c>
      <c r="E11" s="538">
        <v>647</v>
      </c>
      <c r="F11" s="521"/>
      <c r="G11" s="522"/>
      <c r="H11" s="522"/>
      <c r="I11" s="538"/>
      <c r="J11" s="552"/>
      <c r="K11" s="538"/>
    </row>
    <row r="12" spans="1:11" ht="12" customHeight="1" x14ac:dyDescent="0.25">
      <c r="A12" s="595">
        <v>5</v>
      </c>
      <c r="B12" s="550" t="s">
        <v>60</v>
      </c>
      <c r="C12" s="564" t="s">
        <v>61</v>
      </c>
      <c r="D12" s="521">
        <v>2243</v>
      </c>
      <c r="E12" s="538">
        <v>679</v>
      </c>
      <c r="F12" s="521"/>
      <c r="G12" s="522"/>
      <c r="H12" s="522"/>
      <c r="I12" s="538"/>
      <c r="J12" s="552"/>
      <c r="K12" s="538"/>
    </row>
    <row r="13" spans="1:11" x14ac:dyDescent="0.25">
      <c r="A13" s="595">
        <v>6</v>
      </c>
      <c r="B13" s="589" t="s">
        <v>18</v>
      </c>
      <c r="C13" s="564" t="s">
        <v>19</v>
      </c>
      <c r="D13" s="521">
        <v>20167</v>
      </c>
      <c r="E13" s="538">
        <v>1749</v>
      </c>
      <c r="F13" s="521">
        <v>1284</v>
      </c>
      <c r="G13" s="522">
        <v>12844</v>
      </c>
      <c r="H13" s="522"/>
      <c r="I13" s="538"/>
      <c r="J13" s="552">
        <v>129</v>
      </c>
      <c r="K13" s="538">
        <v>1550</v>
      </c>
    </row>
    <row r="14" spans="1:11" x14ac:dyDescent="0.25">
      <c r="A14" s="595">
        <v>7</v>
      </c>
      <c r="B14" s="550" t="s">
        <v>62</v>
      </c>
      <c r="C14" s="564" t="s">
        <v>63</v>
      </c>
      <c r="D14" s="521">
        <v>6425</v>
      </c>
      <c r="E14" s="538">
        <v>449</v>
      </c>
      <c r="F14" s="521"/>
      <c r="G14" s="522"/>
      <c r="H14" s="522"/>
      <c r="I14" s="538"/>
      <c r="J14" s="552"/>
      <c r="K14" s="538"/>
    </row>
    <row r="15" spans="1:11" x14ac:dyDescent="0.25">
      <c r="A15" s="595">
        <v>8</v>
      </c>
      <c r="B15" s="589" t="s">
        <v>64</v>
      </c>
      <c r="C15" s="564" t="s">
        <v>65</v>
      </c>
      <c r="D15" s="521">
        <v>2279</v>
      </c>
      <c r="E15" s="538">
        <v>422</v>
      </c>
      <c r="F15" s="521"/>
      <c r="G15" s="522"/>
      <c r="H15" s="522"/>
      <c r="I15" s="538"/>
      <c r="J15" s="552"/>
      <c r="K15" s="538"/>
    </row>
    <row r="16" spans="1:11" x14ac:dyDescent="0.25">
      <c r="A16" s="595">
        <v>9</v>
      </c>
      <c r="B16" s="589" t="s">
        <v>66</v>
      </c>
      <c r="C16" s="564" t="s">
        <v>67</v>
      </c>
      <c r="D16" s="521">
        <v>2494</v>
      </c>
      <c r="E16" s="538">
        <v>990</v>
      </c>
      <c r="F16" s="521">
        <v>203</v>
      </c>
      <c r="G16" s="522">
        <v>2028</v>
      </c>
      <c r="H16" s="522"/>
      <c r="I16" s="538"/>
      <c r="J16" s="552"/>
      <c r="K16" s="538"/>
    </row>
    <row r="17" spans="1:11" x14ac:dyDescent="0.25">
      <c r="A17" s="595">
        <v>10</v>
      </c>
      <c r="B17" s="589" t="s">
        <v>68</v>
      </c>
      <c r="C17" s="564" t="s">
        <v>69</v>
      </c>
      <c r="D17" s="521"/>
      <c r="E17" s="538"/>
      <c r="F17" s="521"/>
      <c r="G17" s="522"/>
      <c r="H17" s="522"/>
      <c r="I17" s="538"/>
      <c r="J17" s="552"/>
      <c r="K17" s="538"/>
    </row>
    <row r="18" spans="1:11" x14ac:dyDescent="0.25">
      <c r="A18" s="595">
        <v>11</v>
      </c>
      <c r="B18" s="589" t="s">
        <v>70</v>
      </c>
      <c r="C18" s="564" t="s">
        <v>71</v>
      </c>
      <c r="D18" s="521">
        <v>2230</v>
      </c>
      <c r="E18" s="538">
        <v>612</v>
      </c>
      <c r="F18" s="521"/>
      <c r="G18" s="522"/>
      <c r="H18" s="522"/>
      <c r="I18" s="538"/>
      <c r="J18" s="552"/>
      <c r="K18" s="538"/>
    </row>
    <row r="19" spans="1:11" x14ac:dyDescent="0.25">
      <c r="A19" s="595">
        <v>12</v>
      </c>
      <c r="B19" s="589" t="s">
        <v>72</v>
      </c>
      <c r="C19" s="564" t="s">
        <v>73</v>
      </c>
      <c r="D19" s="521">
        <v>4613</v>
      </c>
      <c r="E19" s="538">
        <v>830</v>
      </c>
      <c r="F19" s="521"/>
      <c r="G19" s="522"/>
      <c r="H19" s="522"/>
      <c r="I19" s="538"/>
      <c r="J19" s="552"/>
      <c r="K19" s="538"/>
    </row>
    <row r="20" spans="1:11" ht="12" customHeight="1" x14ac:dyDescent="0.25">
      <c r="A20" s="595">
        <v>13</v>
      </c>
      <c r="B20" s="589" t="s">
        <v>74</v>
      </c>
      <c r="C20" s="564" t="s">
        <v>75</v>
      </c>
      <c r="D20" s="521"/>
      <c r="E20" s="538"/>
      <c r="F20" s="521"/>
      <c r="G20" s="522"/>
      <c r="H20" s="522"/>
      <c r="I20" s="538"/>
      <c r="J20" s="552"/>
      <c r="K20" s="538"/>
    </row>
    <row r="21" spans="1:11" ht="12" customHeight="1" x14ac:dyDescent="0.25">
      <c r="A21" s="595">
        <v>14</v>
      </c>
      <c r="B21" s="589" t="s">
        <v>76</v>
      </c>
      <c r="C21" s="564" t="s">
        <v>77</v>
      </c>
      <c r="D21" s="521">
        <v>3164</v>
      </c>
      <c r="E21" s="538">
        <v>343</v>
      </c>
      <c r="F21" s="521"/>
      <c r="G21" s="522"/>
      <c r="H21" s="522"/>
      <c r="I21" s="538"/>
      <c r="J21" s="552"/>
      <c r="K21" s="538"/>
    </row>
    <row r="22" spans="1:11" x14ac:dyDescent="0.25">
      <c r="A22" s="595">
        <v>15</v>
      </c>
      <c r="B22" s="589" t="s">
        <v>78</v>
      </c>
      <c r="C22" s="564" t="s">
        <v>79</v>
      </c>
      <c r="D22" s="521">
        <v>4808</v>
      </c>
      <c r="E22" s="538">
        <v>815</v>
      </c>
      <c r="F22" s="521">
        <v>203</v>
      </c>
      <c r="G22" s="522">
        <v>2028</v>
      </c>
      <c r="H22" s="522"/>
      <c r="I22" s="538"/>
      <c r="J22" s="552"/>
      <c r="K22" s="538"/>
    </row>
    <row r="23" spans="1:11" x14ac:dyDescent="0.25">
      <c r="A23" s="595">
        <v>16</v>
      </c>
      <c r="B23" s="589" t="s">
        <v>80</v>
      </c>
      <c r="C23" s="564" t="s">
        <v>81</v>
      </c>
      <c r="D23" s="521">
        <v>5802</v>
      </c>
      <c r="E23" s="538">
        <v>609</v>
      </c>
      <c r="F23" s="521">
        <v>473</v>
      </c>
      <c r="G23" s="522">
        <v>4732</v>
      </c>
      <c r="H23" s="522"/>
      <c r="I23" s="538"/>
      <c r="J23" s="552"/>
      <c r="K23" s="538"/>
    </row>
    <row r="24" spans="1:11" x14ac:dyDescent="0.25">
      <c r="A24" s="595">
        <v>17</v>
      </c>
      <c r="B24" s="589" t="s">
        <v>20</v>
      </c>
      <c r="C24" s="564" t="s">
        <v>21</v>
      </c>
      <c r="D24" s="521">
        <v>10499</v>
      </c>
      <c r="E24" s="538">
        <v>5004</v>
      </c>
      <c r="F24" s="521">
        <v>676</v>
      </c>
      <c r="G24" s="522">
        <v>6760</v>
      </c>
      <c r="H24" s="522"/>
      <c r="I24" s="538"/>
      <c r="J24" s="552"/>
      <c r="K24" s="538"/>
    </row>
    <row r="25" spans="1:11" x14ac:dyDescent="0.25">
      <c r="A25" s="595">
        <v>18</v>
      </c>
      <c r="B25" s="550" t="s">
        <v>82</v>
      </c>
      <c r="C25" s="564" t="s">
        <v>83</v>
      </c>
      <c r="D25" s="521">
        <v>1870</v>
      </c>
      <c r="E25" s="538">
        <v>626</v>
      </c>
      <c r="F25" s="521"/>
      <c r="G25" s="522"/>
      <c r="H25" s="522"/>
      <c r="I25" s="538"/>
      <c r="J25" s="552"/>
      <c r="K25" s="538"/>
    </row>
    <row r="26" spans="1:11" x14ac:dyDescent="0.25">
      <c r="A26" s="595">
        <v>19</v>
      </c>
      <c r="B26" s="550" t="s">
        <v>84</v>
      </c>
      <c r="C26" s="564" t="s">
        <v>85</v>
      </c>
      <c r="D26" s="521">
        <v>1544</v>
      </c>
      <c r="E26" s="538">
        <v>425</v>
      </c>
      <c r="F26" s="521"/>
      <c r="G26" s="522"/>
      <c r="H26" s="522"/>
      <c r="I26" s="538"/>
      <c r="J26" s="552"/>
      <c r="K26" s="538"/>
    </row>
    <row r="27" spans="1:11" x14ac:dyDescent="0.25">
      <c r="A27" s="595">
        <v>20</v>
      </c>
      <c r="B27" s="550" t="s">
        <v>86</v>
      </c>
      <c r="C27" s="564" t="s">
        <v>87</v>
      </c>
      <c r="D27" s="521">
        <v>7478</v>
      </c>
      <c r="E27" s="538">
        <v>815</v>
      </c>
      <c r="F27" s="521">
        <v>338</v>
      </c>
      <c r="G27" s="522">
        <v>3380</v>
      </c>
      <c r="H27" s="522"/>
      <c r="I27" s="538"/>
      <c r="J27" s="552"/>
      <c r="K27" s="538"/>
    </row>
    <row r="28" spans="1:11" x14ac:dyDescent="0.25">
      <c r="A28" s="595">
        <v>21</v>
      </c>
      <c r="B28" s="550" t="s">
        <v>22</v>
      </c>
      <c r="C28" s="564" t="s">
        <v>23</v>
      </c>
      <c r="D28" s="521">
        <v>6168</v>
      </c>
      <c r="E28" s="538">
        <v>609</v>
      </c>
      <c r="F28" s="521">
        <v>270</v>
      </c>
      <c r="G28" s="522">
        <v>2704</v>
      </c>
      <c r="H28" s="522"/>
      <c r="I28" s="538"/>
      <c r="J28" s="552"/>
      <c r="K28" s="538"/>
    </row>
    <row r="29" spans="1:11" x14ac:dyDescent="0.25">
      <c r="A29" s="595">
        <v>22</v>
      </c>
      <c r="B29" s="589" t="s">
        <v>24</v>
      </c>
      <c r="C29" s="564" t="s">
        <v>25</v>
      </c>
      <c r="D29" s="521"/>
      <c r="E29" s="538"/>
      <c r="F29" s="521"/>
      <c r="G29" s="522"/>
      <c r="H29" s="522"/>
      <c r="I29" s="538"/>
      <c r="J29" s="552"/>
      <c r="K29" s="538"/>
    </row>
    <row r="30" spans="1:11" x14ac:dyDescent="0.25">
      <c r="A30" s="595">
        <v>23</v>
      </c>
      <c r="B30" s="589" t="s">
        <v>88</v>
      </c>
      <c r="C30" s="564" t="s">
        <v>89</v>
      </c>
      <c r="D30" s="521"/>
      <c r="E30" s="538"/>
      <c r="F30" s="521"/>
      <c r="G30" s="522"/>
      <c r="H30" s="522"/>
      <c r="I30" s="538"/>
      <c r="J30" s="552"/>
      <c r="K30" s="538"/>
    </row>
    <row r="31" spans="1:11" ht="25.5" x14ac:dyDescent="0.25">
      <c r="A31" s="595">
        <v>24</v>
      </c>
      <c r="B31" s="589" t="s">
        <v>90</v>
      </c>
      <c r="C31" s="564" t="s">
        <v>91</v>
      </c>
      <c r="D31" s="521"/>
      <c r="E31" s="538"/>
      <c r="F31" s="521"/>
      <c r="G31" s="522"/>
      <c r="H31" s="522"/>
      <c r="I31" s="538"/>
      <c r="J31" s="552"/>
      <c r="K31" s="538"/>
    </row>
    <row r="32" spans="1:11" x14ac:dyDescent="0.25">
      <c r="A32" s="595">
        <v>25</v>
      </c>
      <c r="B32" s="550" t="s">
        <v>92</v>
      </c>
      <c r="C32" s="564" t="s">
        <v>93</v>
      </c>
      <c r="D32" s="521">
        <v>5245</v>
      </c>
      <c r="E32" s="538">
        <v>957</v>
      </c>
      <c r="F32" s="521"/>
      <c r="G32" s="522"/>
      <c r="H32" s="522"/>
      <c r="I32" s="538"/>
      <c r="J32" s="552"/>
      <c r="K32" s="538"/>
    </row>
    <row r="33" spans="1:11" x14ac:dyDescent="0.25">
      <c r="A33" s="595">
        <v>26</v>
      </c>
      <c r="B33" s="589" t="s">
        <v>94</v>
      </c>
      <c r="C33" s="564" t="s">
        <v>95</v>
      </c>
      <c r="D33" s="521"/>
      <c r="E33" s="538"/>
      <c r="F33" s="521"/>
      <c r="G33" s="522"/>
      <c r="H33" s="522"/>
      <c r="I33" s="538"/>
      <c r="J33" s="552"/>
      <c r="K33" s="538"/>
    </row>
    <row r="34" spans="1:11" x14ac:dyDescent="0.25">
      <c r="A34" s="595">
        <v>27</v>
      </c>
      <c r="B34" s="553" t="s">
        <v>96</v>
      </c>
      <c r="C34" s="564" t="s">
        <v>97</v>
      </c>
      <c r="D34" s="521"/>
      <c r="E34" s="538"/>
      <c r="F34" s="521"/>
      <c r="G34" s="522"/>
      <c r="H34" s="522"/>
      <c r="I34" s="538"/>
      <c r="J34" s="552"/>
      <c r="K34" s="538"/>
    </row>
    <row r="35" spans="1:11" x14ac:dyDescent="0.25">
      <c r="A35" s="595">
        <v>28</v>
      </c>
      <c r="B35" s="553" t="s">
        <v>26</v>
      </c>
      <c r="C35" s="564" t="s">
        <v>27</v>
      </c>
      <c r="D35" s="521">
        <v>8907</v>
      </c>
      <c r="E35" s="538">
        <v>2750</v>
      </c>
      <c r="F35" s="521">
        <v>608</v>
      </c>
      <c r="G35" s="522">
        <v>6084</v>
      </c>
      <c r="H35" s="522"/>
      <c r="I35" s="538"/>
      <c r="J35" s="552"/>
      <c r="K35" s="538"/>
    </row>
    <row r="36" spans="1:11" x14ac:dyDescent="0.25">
      <c r="A36" s="595">
        <v>29</v>
      </c>
      <c r="B36" s="550" t="s">
        <v>98</v>
      </c>
      <c r="C36" s="564" t="s">
        <v>99</v>
      </c>
      <c r="D36" s="521">
        <v>15986</v>
      </c>
      <c r="E36" s="538">
        <v>2130</v>
      </c>
      <c r="F36" s="521">
        <v>710</v>
      </c>
      <c r="G36" s="522">
        <v>7098</v>
      </c>
      <c r="H36" s="522"/>
      <c r="I36" s="538"/>
      <c r="J36" s="552">
        <v>233</v>
      </c>
      <c r="K36" s="538">
        <v>2790</v>
      </c>
    </row>
    <row r="37" spans="1:11" x14ac:dyDescent="0.25">
      <c r="A37" s="595">
        <v>30</v>
      </c>
      <c r="B37" s="553" t="s">
        <v>100</v>
      </c>
      <c r="C37" s="564" t="s">
        <v>101</v>
      </c>
      <c r="D37" s="521">
        <v>2532</v>
      </c>
      <c r="E37" s="538">
        <v>685</v>
      </c>
      <c r="F37" s="521">
        <v>101</v>
      </c>
      <c r="G37" s="522">
        <v>1014</v>
      </c>
      <c r="H37" s="522"/>
      <c r="I37" s="538"/>
      <c r="J37" s="552"/>
      <c r="K37" s="538"/>
    </row>
    <row r="38" spans="1:11" x14ac:dyDescent="0.25">
      <c r="A38" s="595">
        <v>31</v>
      </c>
      <c r="B38" s="589" t="s">
        <v>102</v>
      </c>
      <c r="C38" s="564" t="s">
        <v>103</v>
      </c>
      <c r="D38" s="521">
        <v>9029</v>
      </c>
      <c r="E38" s="538">
        <v>1058</v>
      </c>
      <c r="F38" s="521">
        <v>406</v>
      </c>
      <c r="G38" s="522">
        <v>4056</v>
      </c>
      <c r="H38" s="522"/>
      <c r="I38" s="538"/>
      <c r="J38" s="552">
        <v>155</v>
      </c>
      <c r="K38" s="538">
        <v>1860</v>
      </c>
    </row>
    <row r="39" spans="1:11" x14ac:dyDescent="0.25">
      <c r="A39" s="595">
        <v>32</v>
      </c>
      <c r="B39" s="553" t="s">
        <v>104</v>
      </c>
      <c r="C39" s="564" t="s">
        <v>105</v>
      </c>
      <c r="D39" s="521">
        <v>3195</v>
      </c>
      <c r="E39" s="538">
        <v>1131</v>
      </c>
      <c r="F39" s="521">
        <v>135</v>
      </c>
      <c r="G39" s="522">
        <v>1352</v>
      </c>
      <c r="H39" s="522"/>
      <c r="I39" s="538"/>
      <c r="J39" s="552"/>
      <c r="K39" s="538"/>
    </row>
    <row r="40" spans="1:11" x14ac:dyDescent="0.25">
      <c r="A40" s="595">
        <v>33</v>
      </c>
      <c r="B40" s="550" t="s">
        <v>106</v>
      </c>
      <c r="C40" s="564" t="s">
        <v>107</v>
      </c>
      <c r="D40" s="521">
        <v>8717</v>
      </c>
      <c r="E40" s="538">
        <v>3120</v>
      </c>
      <c r="F40" s="521">
        <v>372</v>
      </c>
      <c r="G40" s="522">
        <v>3718</v>
      </c>
      <c r="H40" s="522"/>
      <c r="I40" s="538"/>
      <c r="J40" s="552"/>
      <c r="K40" s="538"/>
    </row>
    <row r="41" spans="1:11" x14ac:dyDescent="0.25">
      <c r="A41" s="595">
        <v>34</v>
      </c>
      <c r="B41" s="485" t="s">
        <v>108</v>
      </c>
      <c r="C41" s="422" t="s">
        <v>109</v>
      </c>
      <c r="D41" s="521">
        <v>2855</v>
      </c>
      <c r="E41" s="538">
        <v>768</v>
      </c>
      <c r="F41" s="521"/>
      <c r="G41" s="522"/>
      <c r="H41" s="522"/>
      <c r="I41" s="538"/>
      <c r="J41" s="552"/>
      <c r="K41" s="538"/>
    </row>
    <row r="42" spans="1:11" x14ac:dyDescent="0.25">
      <c r="A42" s="595">
        <v>35</v>
      </c>
      <c r="B42" s="550" t="s">
        <v>110</v>
      </c>
      <c r="C42" s="564" t="s">
        <v>111</v>
      </c>
      <c r="D42" s="521">
        <v>1769</v>
      </c>
      <c r="E42" s="538">
        <v>378</v>
      </c>
      <c r="F42" s="521"/>
      <c r="G42" s="522"/>
      <c r="H42" s="522"/>
      <c r="I42" s="538"/>
      <c r="J42" s="552"/>
      <c r="K42" s="538"/>
    </row>
    <row r="43" spans="1:11" x14ac:dyDescent="0.25">
      <c r="A43" s="595">
        <v>36</v>
      </c>
      <c r="B43" s="550" t="s">
        <v>112</v>
      </c>
      <c r="C43" s="564" t="s">
        <v>113</v>
      </c>
      <c r="D43" s="521">
        <v>3218</v>
      </c>
      <c r="E43" s="538">
        <v>768</v>
      </c>
      <c r="F43" s="521"/>
      <c r="G43" s="522"/>
      <c r="H43" s="522"/>
      <c r="I43" s="538"/>
      <c r="J43" s="552"/>
      <c r="K43" s="538"/>
    </row>
    <row r="44" spans="1:11" x14ac:dyDescent="0.25">
      <c r="A44" s="595">
        <v>37</v>
      </c>
      <c r="B44" s="589" t="s">
        <v>114</v>
      </c>
      <c r="C44" s="564" t="s">
        <v>115</v>
      </c>
      <c r="D44" s="521">
        <v>1660</v>
      </c>
      <c r="E44" s="538">
        <v>591</v>
      </c>
      <c r="F44" s="521"/>
      <c r="G44" s="522"/>
      <c r="H44" s="522"/>
      <c r="I44" s="538"/>
      <c r="J44" s="552"/>
      <c r="K44" s="538"/>
    </row>
    <row r="45" spans="1:11" x14ac:dyDescent="0.25">
      <c r="A45" s="595">
        <v>38</v>
      </c>
      <c r="B45" s="553" t="s">
        <v>116</v>
      </c>
      <c r="C45" s="564" t="s">
        <v>117</v>
      </c>
      <c r="D45" s="521"/>
      <c r="E45" s="538"/>
      <c r="F45" s="521"/>
      <c r="G45" s="522"/>
      <c r="H45" s="522"/>
      <c r="I45" s="538"/>
      <c r="J45" s="552"/>
      <c r="K45" s="538"/>
    </row>
    <row r="46" spans="1:11" x14ac:dyDescent="0.25">
      <c r="A46" s="595">
        <v>39</v>
      </c>
      <c r="B46" s="589" t="s">
        <v>28</v>
      </c>
      <c r="C46" s="564" t="s">
        <v>29</v>
      </c>
      <c r="D46" s="521">
        <v>12847</v>
      </c>
      <c r="E46" s="538">
        <v>3049</v>
      </c>
      <c r="F46" s="521">
        <v>575</v>
      </c>
      <c r="G46" s="522">
        <v>5746</v>
      </c>
      <c r="H46" s="522"/>
      <c r="I46" s="538"/>
      <c r="J46" s="552"/>
      <c r="K46" s="538"/>
    </row>
    <row r="47" spans="1:11" x14ac:dyDescent="0.25">
      <c r="A47" s="595">
        <v>40</v>
      </c>
      <c r="B47" s="550" t="s">
        <v>118</v>
      </c>
      <c r="C47" s="564" t="s">
        <v>119</v>
      </c>
      <c r="D47" s="521">
        <v>2691</v>
      </c>
      <c r="E47" s="538">
        <v>777</v>
      </c>
      <c r="F47" s="521"/>
      <c r="G47" s="522"/>
      <c r="H47" s="522"/>
      <c r="I47" s="538"/>
      <c r="J47" s="552"/>
      <c r="K47" s="538"/>
    </row>
    <row r="48" spans="1:11" x14ac:dyDescent="0.25">
      <c r="A48" s="595">
        <v>41</v>
      </c>
      <c r="B48" s="550" t="s">
        <v>120</v>
      </c>
      <c r="C48" s="564" t="s">
        <v>121</v>
      </c>
      <c r="D48" s="521">
        <v>10400</v>
      </c>
      <c r="E48" s="538">
        <v>3888</v>
      </c>
      <c r="F48" s="521">
        <v>642</v>
      </c>
      <c r="G48" s="522">
        <v>6422</v>
      </c>
      <c r="H48" s="522"/>
      <c r="I48" s="538"/>
      <c r="J48" s="552"/>
      <c r="K48" s="538"/>
    </row>
    <row r="49" spans="1:11" x14ac:dyDescent="0.25">
      <c r="A49" s="595">
        <v>42</v>
      </c>
      <c r="B49" s="589" t="s">
        <v>122</v>
      </c>
      <c r="C49" s="564" t="s">
        <v>123</v>
      </c>
      <c r="D49" s="521">
        <v>2256</v>
      </c>
      <c r="E49" s="538">
        <v>523</v>
      </c>
      <c r="F49" s="521"/>
      <c r="G49" s="522"/>
      <c r="H49" s="522"/>
      <c r="I49" s="538"/>
      <c r="J49" s="552"/>
      <c r="K49" s="538"/>
    </row>
    <row r="50" spans="1:11" x14ac:dyDescent="0.25">
      <c r="A50" s="595">
        <v>43</v>
      </c>
      <c r="B50" s="553" t="s">
        <v>124</v>
      </c>
      <c r="C50" s="564" t="s">
        <v>125</v>
      </c>
      <c r="D50" s="521">
        <v>2759</v>
      </c>
      <c r="E50" s="538">
        <v>1140</v>
      </c>
      <c r="F50" s="521">
        <v>135</v>
      </c>
      <c r="G50" s="522">
        <v>1352</v>
      </c>
      <c r="H50" s="522"/>
      <c r="I50" s="538"/>
      <c r="J50" s="552"/>
      <c r="K50" s="538"/>
    </row>
    <row r="51" spans="1:11" x14ac:dyDescent="0.25">
      <c r="A51" s="595">
        <v>44</v>
      </c>
      <c r="B51" s="589" t="s">
        <v>126</v>
      </c>
      <c r="C51" s="564" t="s">
        <v>127</v>
      </c>
      <c r="D51" s="521">
        <v>3310</v>
      </c>
      <c r="E51" s="538">
        <v>511</v>
      </c>
      <c r="F51" s="521"/>
      <c r="G51" s="522"/>
      <c r="H51" s="522"/>
      <c r="I51" s="538"/>
      <c r="J51" s="552"/>
      <c r="K51" s="538"/>
    </row>
    <row r="52" spans="1:11" x14ac:dyDescent="0.25">
      <c r="A52" s="595">
        <v>45</v>
      </c>
      <c r="B52" s="553" t="s">
        <v>128</v>
      </c>
      <c r="C52" s="564" t="s">
        <v>129</v>
      </c>
      <c r="D52" s="521">
        <v>3865</v>
      </c>
      <c r="E52" s="538">
        <v>2145</v>
      </c>
      <c r="F52" s="521">
        <v>338</v>
      </c>
      <c r="G52" s="522">
        <v>3380</v>
      </c>
      <c r="H52" s="522"/>
      <c r="I52" s="538"/>
      <c r="J52" s="552"/>
      <c r="K52" s="538"/>
    </row>
    <row r="53" spans="1:11" x14ac:dyDescent="0.25">
      <c r="A53" s="595">
        <v>46</v>
      </c>
      <c r="B53" s="589" t="s">
        <v>130</v>
      </c>
      <c r="C53" s="564" t="s">
        <v>131</v>
      </c>
      <c r="D53" s="521">
        <v>1538</v>
      </c>
      <c r="E53" s="538">
        <v>301</v>
      </c>
      <c r="F53" s="521"/>
      <c r="G53" s="522"/>
      <c r="H53" s="522"/>
      <c r="I53" s="538"/>
      <c r="J53" s="552"/>
      <c r="K53" s="538"/>
    </row>
    <row r="54" spans="1:11" x14ac:dyDescent="0.25">
      <c r="A54" s="595">
        <v>47</v>
      </c>
      <c r="B54" s="553" t="s">
        <v>132</v>
      </c>
      <c r="C54" s="564" t="s">
        <v>133</v>
      </c>
      <c r="D54" s="521">
        <v>2487</v>
      </c>
      <c r="E54" s="538">
        <v>461</v>
      </c>
      <c r="F54" s="521"/>
      <c r="G54" s="522"/>
      <c r="H54" s="522"/>
      <c r="I54" s="538"/>
      <c r="J54" s="552"/>
      <c r="K54" s="538"/>
    </row>
    <row r="55" spans="1:11" x14ac:dyDescent="0.25">
      <c r="A55" s="595">
        <v>48</v>
      </c>
      <c r="B55" s="589" t="s">
        <v>134</v>
      </c>
      <c r="C55" s="564" t="s">
        <v>135</v>
      </c>
      <c r="D55" s="521">
        <v>3841</v>
      </c>
      <c r="E55" s="538">
        <v>916</v>
      </c>
      <c r="F55" s="521"/>
      <c r="G55" s="522"/>
      <c r="H55" s="522"/>
      <c r="I55" s="538"/>
      <c r="J55" s="552"/>
      <c r="K55" s="538"/>
    </row>
    <row r="56" spans="1:11" x14ac:dyDescent="0.25">
      <c r="A56" s="595">
        <v>49</v>
      </c>
      <c r="B56" s="589" t="s">
        <v>136</v>
      </c>
      <c r="C56" s="564" t="s">
        <v>137</v>
      </c>
      <c r="D56" s="521">
        <v>14258</v>
      </c>
      <c r="E56" s="538">
        <v>6145</v>
      </c>
      <c r="F56" s="521">
        <v>845</v>
      </c>
      <c r="G56" s="522">
        <v>8450</v>
      </c>
      <c r="H56" s="522"/>
      <c r="I56" s="538"/>
      <c r="J56" s="552">
        <v>233</v>
      </c>
      <c r="K56" s="538">
        <v>2790</v>
      </c>
    </row>
    <row r="57" spans="1:11" x14ac:dyDescent="0.25">
      <c r="A57" s="595">
        <v>50</v>
      </c>
      <c r="B57" s="589" t="s">
        <v>138</v>
      </c>
      <c r="C57" s="564" t="s">
        <v>139</v>
      </c>
      <c r="D57" s="521">
        <v>3024</v>
      </c>
      <c r="E57" s="538">
        <v>567</v>
      </c>
      <c r="F57" s="521"/>
      <c r="G57" s="522"/>
      <c r="H57" s="522"/>
      <c r="I57" s="538"/>
      <c r="J57" s="552"/>
      <c r="K57" s="538"/>
    </row>
    <row r="58" spans="1:11" x14ac:dyDescent="0.25">
      <c r="A58" s="595">
        <v>51</v>
      </c>
      <c r="B58" s="589" t="s">
        <v>140</v>
      </c>
      <c r="C58" s="564" t="s">
        <v>141</v>
      </c>
      <c r="D58" s="521">
        <v>2029</v>
      </c>
      <c r="E58" s="538">
        <v>384</v>
      </c>
      <c r="F58" s="521"/>
      <c r="G58" s="522"/>
      <c r="H58" s="522"/>
      <c r="I58" s="538"/>
      <c r="J58" s="552"/>
      <c r="K58" s="538"/>
    </row>
    <row r="59" spans="1:11" x14ac:dyDescent="0.25">
      <c r="A59" s="595">
        <v>52</v>
      </c>
      <c r="B59" s="553" t="s">
        <v>142</v>
      </c>
      <c r="C59" s="564" t="s">
        <v>143</v>
      </c>
      <c r="D59" s="521">
        <v>2588</v>
      </c>
      <c r="E59" s="538">
        <v>685</v>
      </c>
      <c r="F59" s="521"/>
      <c r="G59" s="522"/>
      <c r="H59" s="522"/>
      <c r="I59" s="538"/>
      <c r="J59" s="552"/>
      <c r="K59" s="538"/>
    </row>
    <row r="60" spans="1:11" x14ac:dyDescent="0.25">
      <c r="A60" s="595">
        <v>53</v>
      </c>
      <c r="B60" s="589" t="s">
        <v>144</v>
      </c>
      <c r="C60" s="564" t="s">
        <v>145</v>
      </c>
      <c r="D60" s="521"/>
      <c r="E60" s="538"/>
      <c r="F60" s="521"/>
      <c r="G60" s="522"/>
      <c r="H60" s="522"/>
      <c r="I60" s="538"/>
      <c r="J60" s="552"/>
      <c r="K60" s="538"/>
    </row>
    <row r="61" spans="1:11" ht="13.5" customHeight="1" x14ac:dyDescent="0.25">
      <c r="A61" s="595">
        <v>54</v>
      </c>
      <c r="B61" s="589" t="s">
        <v>146</v>
      </c>
      <c r="C61" s="564" t="s">
        <v>147</v>
      </c>
      <c r="D61" s="521"/>
      <c r="E61" s="538"/>
      <c r="F61" s="521"/>
      <c r="G61" s="522"/>
      <c r="H61" s="522"/>
      <c r="I61" s="538"/>
      <c r="J61" s="552"/>
      <c r="K61" s="538"/>
    </row>
    <row r="62" spans="1:11" x14ac:dyDescent="0.25">
      <c r="A62" s="595">
        <v>55</v>
      </c>
      <c r="B62" s="589" t="s">
        <v>148</v>
      </c>
      <c r="C62" s="564" t="s">
        <v>149</v>
      </c>
      <c r="D62" s="521"/>
      <c r="E62" s="538"/>
      <c r="F62" s="521"/>
      <c r="G62" s="522"/>
      <c r="H62" s="522"/>
      <c r="I62" s="538"/>
      <c r="J62" s="552"/>
      <c r="K62" s="538"/>
    </row>
    <row r="63" spans="1:11" x14ac:dyDescent="0.25">
      <c r="A63" s="595">
        <v>56</v>
      </c>
      <c r="B63" s="553" t="s">
        <v>150</v>
      </c>
      <c r="C63" s="564" t="s">
        <v>151</v>
      </c>
      <c r="D63" s="521"/>
      <c r="E63" s="538"/>
      <c r="F63" s="521"/>
      <c r="G63" s="522"/>
      <c r="H63" s="522"/>
      <c r="I63" s="538"/>
      <c r="J63" s="552"/>
      <c r="K63" s="538"/>
    </row>
    <row r="64" spans="1:11" x14ac:dyDescent="0.25">
      <c r="A64" s="595">
        <v>57</v>
      </c>
      <c r="B64" s="550" t="s">
        <v>152</v>
      </c>
      <c r="C64" s="564" t="s">
        <v>153</v>
      </c>
      <c r="D64" s="521"/>
      <c r="E64" s="538"/>
      <c r="F64" s="521"/>
      <c r="G64" s="522"/>
      <c r="H64" s="522"/>
      <c r="I64" s="538"/>
      <c r="J64" s="552"/>
      <c r="K64" s="538"/>
    </row>
    <row r="65" spans="1:11" x14ac:dyDescent="0.25">
      <c r="A65" s="595">
        <v>58</v>
      </c>
      <c r="B65" s="553" t="s">
        <v>154</v>
      </c>
      <c r="C65" s="564" t="s">
        <v>155</v>
      </c>
      <c r="D65" s="521"/>
      <c r="E65" s="538"/>
      <c r="F65" s="521"/>
      <c r="G65" s="522"/>
      <c r="H65" s="522"/>
      <c r="I65" s="538"/>
      <c r="J65" s="552"/>
      <c r="K65" s="538"/>
    </row>
    <row r="66" spans="1:11" x14ac:dyDescent="0.25">
      <c r="A66" s="595">
        <v>59</v>
      </c>
      <c r="B66" s="589" t="s">
        <v>156</v>
      </c>
      <c r="C66" s="564" t="s">
        <v>157</v>
      </c>
      <c r="D66" s="521"/>
      <c r="E66" s="538"/>
      <c r="F66" s="521"/>
      <c r="G66" s="522"/>
      <c r="H66" s="522"/>
      <c r="I66" s="538"/>
      <c r="J66" s="552"/>
      <c r="K66" s="538"/>
    </row>
    <row r="67" spans="1:11" ht="26.25" customHeight="1" x14ac:dyDescent="0.25">
      <c r="A67" s="595">
        <v>60</v>
      </c>
      <c r="B67" s="550" t="s">
        <v>158</v>
      </c>
      <c r="C67" s="564" t="s">
        <v>159</v>
      </c>
      <c r="D67" s="521"/>
      <c r="E67" s="538"/>
      <c r="F67" s="521"/>
      <c r="G67" s="522"/>
      <c r="H67" s="522"/>
      <c r="I67" s="538"/>
      <c r="J67" s="552"/>
      <c r="K67" s="538"/>
    </row>
    <row r="68" spans="1:11" ht="26.25" customHeight="1" x14ac:dyDescent="0.25">
      <c r="A68" s="595">
        <v>61</v>
      </c>
      <c r="B68" s="550" t="s">
        <v>160</v>
      </c>
      <c r="C68" s="564" t="s">
        <v>161</v>
      </c>
      <c r="D68" s="521"/>
      <c r="E68" s="538"/>
      <c r="F68" s="521"/>
      <c r="G68" s="522"/>
      <c r="H68" s="522"/>
      <c r="I68" s="538"/>
      <c r="J68" s="552"/>
      <c r="K68" s="538"/>
    </row>
    <row r="69" spans="1:11" x14ac:dyDescent="0.25">
      <c r="A69" s="595">
        <v>62</v>
      </c>
      <c r="B69" s="553" t="s">
        <v>162</v>
      </c>
      <c r="C69" s="564" t="s">
        <v>163</v>
      </c>
      <c r="D69" s="521"/>
      <c r="E69" s="538"/>
      <c r="F69" s="521"/>
      <c r="G69" s="522"/>
      <c r="H69" s="522"/>
      <c r="I69" s="538"/>
      <c r="J69" s="552"/>
      <c r="K69" s="538"/>
    </row>
    <row r="70" spans="1:11" x14ac:dyDescent="0.25">
      <c r="A70" s="595">
        <v>63</v>
      </c>
      <c r="B70" s="553" t="s">
        <v>164</v>
      </c>
      <c r="C70" s="564" t="s">
        <v>165</v>
      </c>
      <c r="D70" s="521"/>
      <c r="E70" s="538"/>
      <c r="F70" s="521"/>
      <c r="G70" s="522"/>
      <c r="H70" s="522"/>
      <c r="I70" s="538"/>
      <c r="J70" s="552"/>
      <c r="K70" s="538"/>
    </row>
    <row r="71" spans="1:11" x14ac:dyDescent="0.25">
      <c r="A71" s="595">
        <v>64</v>
      </c>
      <c r="B71" s="553" t="s">
        <v>166</v>
      </c>
      <c r="C71" s="564" t="s">
        <v>167</v>
      </c>
      <c r="D71" s="521"/>
      <c r="E71" s="538"/>
      <c r="F71" s="521"/>
      <c r="G71" s="522"/>
      <c r="H71" s="522"/>
      <c r="I71" s="538"/>
      <c r="J71" s="552"/>
      <c r="K71" s="538"/>
    </row>
    <row r="72" spans="1:11" ht="25.5" x14ac:dyDescent="0.25">
      <c r="A72" s="595">
        <v>65</v>
      </c>
      <c r="B72" s="553" t="s">
        <v>168</v>
      </c>
      <c r="C72" s="564" t="s">
        <v>169</v>
      </c>
      <c r="D72" s="521"/>
      <c r="E72" s="538"/>
      <c r="F72" s="521"/>
      <c r="G72" s="522"/>
      <c r="H72" s="522"/>
      <c r="I72" s="538"/>
      <c r="J72" s="552"/>
      <c r="K72" s="538"/>
    </row>
    <row r="73" spans="1:11" ht="25.5" x14ac:dyDescent="0.25">
      <c r="A73" s="595">
        <v>66</v>
      </c>
      <c r="B73" s="550" t="s">
        <v>170</v>
      </c>
      <c r="C73" s="564" t="s">
        <v>171</v>
      </c>
      <c r="D73" s="521"/>
      <c r="E73" s="538"/>
      <c r="F73" s="521"/>
      <c r="G73" s="522"/>
      <c r="H73" s="522"/>
      <c r="I73" s="538"/>
      <c r="J73" s="552"/>
      <c r="K73" s="538"/>
    </row>
    <row r="74" spans="1:11" ht="25.5" x14ac:dyDescent="0.25">
      <c r="A74" s="595">
        <v>67</v>
      </c>
      <c r="B74" s="553" t="s">
        <v>172</v>
      </c>
      <c r="C74" s="564" t="s">
        <v>173</v>
      </c>
      <c r="D74" s="521"/>
      <c r="E74" s="538"/>
      <c r="F74" s="521"/>
      <c r="G74" s="522"/>
      <c r="H74" s="522"/>
      <c r="I74" s="538"/>
      <c r="J74" s="552"/>
      <c r="K74" s="538"/>
    </row>
    <row r="75" spans="1:11" ht="25.5" x14ac:dyDescent="0.25">
      <c r="A75" s="595">
        <v>68</v>
      </c>
      <c r="B75" s="553" t="s">
        <v>174</v>
      </c>
      <c r="C75" s="564" t="s">
        <v>175</v>
      </c>
      <c r="D75" s="521"/>
      <c r="E75" s="538"/>
      <c r="F75" s="521"/>
      <c r="G75" s="522"/>
      <c r="H75" s="522"/>
      <c r="I75" s="538"/>
      <c r="J75" s="552"/>
      <c r="K75" s="538"/>
    </row>
    <row r="76" spans="1:11" ht="25.5" x14ac:dyDescent="0.25">
      <c r="A76" s="595">
        <v>69</v>
      </c>
      <c r="B76" s="550" t="s">
        <v>176</v>
      </c>
      <c r="C76" s="564" t="s">
        <v>177</v>
      </c>
      <c r="D76" s="521"/>
      <c r="E76" s="538"/>
      <c r="F76" s="521"/>
      <c r="G76" s="522"/>
      <c r="H76" s="522"/>
      <c r="I76" s="538"/>
      <c r="J76" s="552"/>
      <c r="K76" s="538"/>
    </row>
    <row r="77" spans="1:11" ht="25.5" x14ac:dyDescent="0.25">
      <c r="A77" s="595">
        <v>70</v>
      </c>
      <c r="B77" s="550" t="s">
        <v>178</v>
      </c>
      <c r="C77" s="564" t="s">
        <v>179</v>
      </c>
      <c r="D77" s="521"/>
      <c r="E77" s="538"/>
      <c r="F77" s="521"/>
      <c r="G77" s="522"/>
      <c r="H77" s="522"/>
      <c r="I77" s="538"/>
      <c r="J77" s="552"/>
      <c r="K77" s="538"/>
    </row>
    <row r="78" spans="1:11" ht="25.5" x14ac:dyDescent="0.25">
      <c r="A78" s="595">
        <v>71</v>
      </c>
      <c r="B78" s="550" t="s">
        <v>180</v>
      </c>
      <c r="C78" s="564" t="s">
        <v>181</v>
      </c>
      <c r="D78" s="521"/>
      <c r="E78" s="538"/>
      <c r="F78" s="521"/>
      <c r="G78" s="522"/>
      <c r="H78" s="522"/>
      <c r="I78" s="538"/>
      <c r="J78" s="552"/>
      <c r="K78" s="538"/>
    </row>
    <row r="79" spans="1:11" ht="14.25" customHeight="1" x14ac:dyDescent="0.25">
      <c r="A79" s="595">
        <v>72</v>
      </c>
      <c r="B79" s="589" t="s">
        <v>182</v>
      </c>
      <c r="C79" s="564" t="s">
        <v>183</v>
      </c>
      <c r="D79" s="521"/>
      <c r="E79" s="538"/>
      <c r="F79" s="521"/>
      <c r="G79" s="522"/>
      <c r="H79" s="522"/>
      <c r="I79" s="538"/>
      <c r="J79" s="552"/>
      <c r="K79" s="538"/>
    </row>
    <row r="80" spans="1:11" x14ac:dyDescent="0.25">
      <c r="A80" s="595">
        <v>73</v>
      </c>
      <c r="B80" s="550" t="s">
        <v>184</v>
      </c>
      <c r="C80" s="564" t="s">
        <v>185</v>
      </c>
      <c r="D80" s="521"/>
      <c r="E80" s="538"/>
      <c r="F80" s="521"/>
      <c r="G80" s="522"/>
      <c r="H80" s="522"/>
      <c r="I80" s="538"/>
      <c r="J80" s="552"/>
      <c r="K80" s="538"/>
    </row>
    <row r="81" spans="1:11" x14ac:dyDescent="0.25">
      <c r="A81" s="595">
        <v>74</v>
      </c>
      <c r="B81" s="589" t="s">
        <v>186</v>
      </c>
      <c r="C81" s="564" t="s">
        <v>187</v>
      </c>
      <c r="D81" s="521"/>
      <c r="E81" s="538"/>
      <c r="F81" s="521"/>
      <c r="G81" s="522"/>
      <c r="H81" s="522"/>
      <c r="I81" s="538"/>
      <c r="J81" s="552"/>
      <c r="K81" s="538"/>
    </row>
    <row r="82" spans="1:11" x14ac:dyDescent="0.25">
      <c r="A82" s="595">
        <v>75</v>
      </c>
      <c r="B82" s="550" t="s">
        <v>188</v>
      </c>
      <c r="C82" s="564" t="s">
        <v>461</v>
      </c>
      <c r="D82" s="521"/>
      <c r="E82" s="538"/>
      <c r="F82" s="521"/>
      <c r="G82" s="522"/>
      <c r="H82" s="522"/>
      <c r="I82" s="538"/>
      <c r="J82" s="552"/>
      <c r="K82" s="538"/>
    </row>
    <row r="83" spans="1:11" x14ac:dyDescent="0.25">
      <c r="A83" s="595">
        <v>76</v>
      </c>
      <c r="B83" s="550" t="s">
        <v>190</v>
      </c>
      <c r="C83" s="564" t="s">
        <v>191</v>
      </c>
      <c r="D83" s="521"/>
      <c r="E83" s="538"/>
      <c r="F83" s="521"/>
      <c r="G83" s="522"/>
      <c r="H83" s="522"/>
      <c r="I83" s="538"/>
      <c r="J83" s="552"/>
      <c r="K83" s="538"/>
    </row>
    <row r="84" spans="1:11" x14ac:dyDescent="0.25">
      <c r="A84" s="595">
        <v>77</v>
      </c>
      <c r="B84" s="550" t="s">
        <v>192</v>
      </c>
      <c r="C84" s="564" t="s">
        <v>193</v>
      </c>
      <c r="D84" s="521"/>
      <c r="E84" s="538"/>
      <c r="F84" s="521"/>
      <c r="G84" s="522"/>
      <c r="H84" s="522"/>
      <c r="I84" s="538"/>
      <c r="J84" s="552"/>
      <c r="K84" s="538"/>
    </row>
    <row r="85" spans="1:11" x14ac:dyDescent="0.25">
      <c r="A85" s="595">
        <v>78</v>
      </c>
      <c r="B85" s="550" t="s">
        <v>194</v>
      </c>
      <c r="C85" s="564" t="s">
        <v>195</v>
      </c>
      <c r="D85" s="521"/>
      <c r="E85" s="538"/>
      <c r="F85" s="521"/>
      <c r="G85" s="522"/>
      <c r="H85" s="522"/>
      <c r="I85" s="538"/>
      <c r="J85" s="552"/>
      <c r="K85" s="538"/>
    </row>
    <row r="86" spans="1:11" x14ac:dyDescent="0.25">
      <c r="A86" s="595">
        <v>79</v>
      </c>
      <c r="B86" s="550" t="s">
        <v>196</v>
      </c>
      <c r="C86" s="564" t="s">
        <v>197</v>
      </c>
      <c r="D86" s="521"/>
      <c r="E86" s="538"/>
      <c r="F86" s="521"/>
      <c r="G86" s="522"/>
      <c r="H86" s="522"/>
      <c r="I86" s="538"/>
      <c r="J86" s="552"/>
      <c r="K86" s="538"/>
    </row>
    <row r="87" spans="1:11" x14ac:dyDescent="0.25">
      <c r="A87" s="595">
        <v>80</v>
      </c>
      <c r="B87" s="553" t="s">
        <v>30</v>
      </c>
      <c r="C87" s="564" t="s">
        <v>198</v>
      </c>
      <c r="D87" s="521"/>
      <c r="E87" s="538"/>
      <c r="F87" s="521"/>
      <c r="G87" s="522"/>
      <c r="H87" s="522"/>
      <c r="I87" s="538"/>
      <c r="J87" s="552"/>
      <c r="K87" s="538"/>
    </row>
    <row r="88" spans="1:11" ht="30.75" customHeight="1" x14ac:dyDescent="0.25">
      <c r="A88" s="1288">
        <v>81</v>
      </c>
      <c r="B88" s="1291" t="s">
        <v>199</v>
      </c>
      <c r="C88" s="567" t="s">
        <v>200</v>
      </c>
      <c r="D88" s="521"/>
      <c r="E88" s="538"/>
      <c r="F88" s="521"/>
      <c r="G88" s="522"/>
      <c r="H88" s="522"/>
      <c r="I88" s="538"/>
      <c r="J88" s="552"/>
      <c r="K88" s="538"/>
    </row>
    <row r="89" spans="1:11" ht="48.75" customHeight="1" x14ac:dyDescent="0.25">
      <c r="A89" s="1289"/>
      <c r="B89" s="1291"/>
      <c r="C89" s="564" t="s">
        <v>201</v>
      </c>
      <c r="D89" s="521"/>
      <c r="E89" s="538"/>
      <c r="F89" s="521"/>
      <c r="G89" s="522"/>
      <c r="H89" s="522"/>
      <c r="I89" s="538"/>
      <c r="J89" s="552"/>
      <c r="K89" s="538"/>
    </row>
    <row r="90" spans="1:11" ht="25.5" x14ac:dyDescent="0.25">
      <c r="A90" s="1289"/>
      <c r="B90" s="1291"/>
      <c r="C90" s="564" t="s">
        <v>202</v>
      </c>
      <c r="D90" s="521"/>
      <c r="E90" s="538"/>
      <c r="F90" s="521"/>
      <c r="G90" s="522"/>
      <c r="H90" s="522"/>
      <c r="I90" s="538"/>
      <c r="J90" s="552"/>
      <c r="K90" s="538"/>
    </row>
    <row r="91" spans="1:11" ht="45" customHeight="1" x14ac:dyDescent="0.25">
      <c r="A91" s="1290"/>
      <c r="B91" s="1291"/>
      <c r="C91" s="568" t="s">
        <v>203</v>
      </c>
      <c r="D91" s="521"/>
      <c r="E91" s="538"/>
      <c r="F91" s="521"/>
      <c r="G91" s="522"/>
      <c r="H91" s="522"/>
      <c r="I91" s="538"/>
      <c r="J91" s="552"/>
      <c r="K91" s="538"/>
    </row>
    <row r="92" spans="1:11" ht="25.5" x14ac:dyDescent="0.25">
      <c r="A92" s="595">
        <v>82</v>
      </c>
      <c r="B92" s="553" t="s">
        <v>204</v>
      </c>
      <c r="C92" s="564" t="s">
        <v>205</v>
      </c>
      <c r="D92" s="521"/>
      <c r="E92" s="538"/>
      <c r="F92" s="521"/>
      <c r="G92" s="522"/>
      <c r="H92" s="522"/>
      <c r="I92" s="538"/>
      <c r="J92" s="552"/>
      <c r="K92" s="538"/>
    </row>
    <row r="93" spans="1:11" x14ac:dyDescent="0.25">
      <c r="A93" s="595">
        <v>83</v>
      </c>
      <c r="B93" s="553" t="s">
        <v>206</v>
      </c>
      <c r="C93" s="564" t="s">
        <v>207</v>
      </c>
      <c r="D93" s="521"/>
      <c r="E93" s="538"/>
      <c r="F93" s="521"/>
      <c r="G93" s="522"/>
      <c r="H93" s="522"/>
      <c r="I93" s="538"/>
      <c r="J93" s="552"/>
      <c r="K93" s="538"/>
    </row>
    <row r="94" spans="1:11" x14ac:dyDescent="0.25">
      <c r="A94" s="595">
        <v>84</v>
      </c>
      <c r="B94" s="589" t="s">
        <v>208</v>
      </c>
      <c r="C94" s="564" t="s">
        <v>209</v>
      </c>
      <c r="D94" s="521"/>
      <c r="E94" s="538"/>
      <c r="F94" s="521"/>
      <c r="G94" s="522"/>
      <c r="H94" s="522"/>
      <c r="I94" s="538"/>
      <c r="J94" s="552"/>
      <c r="K94" s="538"/>
    </row>
    <row r="95" spans="1:11" x14ac:dyDescent="0.25">
      <c r="A95" s="595">
        <v>85</v>
      </c>
      <c r="B95" s="553" t="s">
        <v>210</v>
      </c>
      <c r="C95" s="564" t="s">
        <v>211</v>
      </c>
      <c r="D95" s="521">
        <v>1806</v>
      </c>
      <c r="E95" s="538">
        <v>594</v>
      </c>
      <c r="F95" s="521"/>
      <c r="G95" s="522"/>
      <c r="H95" s="522"/>
      <c r="I95" s="538"/>
      <c r="J95" s="552"/>
      <c r="K95" s="538"/>
    </row>
    <row r="96" spans="1:11" x14ac:dyDescent="0.25">
      <c r="A96" s="595">
        <v>86</v>
      </c>
      <c r="B96" s="589" t="s">
        <v>212</v>
      </c>
      <c r="C96" s="564" t="s">
        <v>213</v>
      </c>
      <c r="D96" s="521">
        <v>1881</v>
      </c>
      <c r="E96" s="538">
        <v>292</v>
      </c>
      <c r="F96" s="521"/>
      <c r="G96" s="522"/>
      <c r="H96" s="522"/>
      <c r="I96" s="538"/>
      <c r="J96" s="552"/>
      <c r="K96" s="538"/>
    </row>
    <row r="97" spans="1:11" x14ac:dyDescent="0.25">
      <c r="A97" s="595">
        <v>87</v>
      </c>
      <c r="B97" s="589" t="s">
        <v>214</v>
      </c>
      <c r="C97" s="564" t="s">
        <v>215</v>
      </c>
      <c r="D97" s="521">
        <v>5319</v>
      </c>
      <c r="E97" s="538">
        <v>1421</v>
      </c>
      <c r="F97" s="521"/>
      <c r="G97" s="522"/>
      <c r="H97" s="522"/>
      <c r="I97" s="538"/>
      <c r="J97" s="552"/>
      <c r="K97" s="538"/>
    </row>
    <row r="98" spans="1:11" x14ac:dyDescent="0.25">
      <c r="A98" s="595">
        <v>88</v>
      </c>
      <c r="B98" s="553" t="s">
        <v>216</v>
      </c>
      <c r="C98" s="564" t="s">
        <v>217</v>
      </c>
      <c r="D98" s="521">
        <v>2355</v>
      </c>
      <c r="E98" s="538">
        <v>573</v>
      </c>
      <c r="F98" s="521"/>
      <c r="G98" s="522"/>
      <c r="H98" s="522"/>
      <c r="I98" s="538"/>
      <c r="J98" s="552"/>
      <c r="K98" s="538"/>
    </row>
    <row r="99" spans="1:11" x14ac:dyDescent="0.25">
      <c r="A99" s="595">
        <v>89</v>
      </c>
      <c r="B99" s="550" t="s">
        <v>218</v>
      </c>
      <c r="C99" s="564" t="s">
        <v>219</v>
      </c>
      <c r="D99" s="521">
        <v>7908</v>
      </c>
      <c r="E99" s="538">
        <v>744</v>
      </c>
      <c r="F99" s="521"/>
      <c r="G99" s="522"/>
      <c r="H99" s="522"/>
      <c r="I99" s="538"/>
      <c r="J99" s="552"/>
      <c r="K99" s="538"/>
    </row>
    <row r="100" spans="1:11" x14ac:dyDescent="0.25">
      <c r="A100" s="595">
        <v>90</v>
      </c>
      <c r="B100" s="550" t="s">
        <v>220</v>
      </c>
      <c r="C100" s="564" t="s">
        <v>221</v>
      </c>
      <c r="D100" s="521">
        <v>5631</v>
      </c>
      <c r="E100" s="538">
        <v>910</v>
      </c>
      <c r="F100" s="521"/>
      <c r="G100" s="522"/>
      <c r="H100" s="522"/>
      <c r="I100" s="538"/>
      <c r="J100" s="552"/>
      <c r="K100" s="538"/>
    </row>
    <row r="101" spans="1:11" x14ac:dyDescent="0.25">
      <c r="A101" s="595">
        <v>91</v>
      </c>
      <c r="B101" s="589" t="s">
        <v>222</v>
      </c>
      <c r="C101" s="564" t="s">
        <v>223</v>
      </c>
      <c r="D101" s="521">
        <v>1769</v>
      </c>
      <c r="E101" s="538">
        <v>535</v>
      </c>
      <c r="F101" s="521">
        <v>135</v>
      </c>
      <c r="G101" s="522">
        <v>1352</v>
      </c>
      <c r="H101" s="522"/>
      <c r="I101" s="538"/>
      <c r="J101" s="552"/>
      <c r="K101" s="538"/>
    </row>
    <row r="102" spans="1:11" x14ac:dyDescent="0.25">
      <c r="A102" s="595">
        <v>92</v>
      </c>
      <c r="B102" s="550" t="s">
        <v>224</v>
      </c>
      <c r="C102" s="564" t="s">
        <v>225</v>
      </c>
      <c r="D102" s="521">
        <v>2875</v>
      </c>
      <c r="E102" s="538">
        <v>547</v>
      </c>
      <c r="F102" s="521"/>
      <c r="G102" s="522"/>
      <c r="H102" s="522"/>
      <c r="I102" s="538"/>
      <c r="J102" s="552"/>
      <c r="K102" s="538"/>
    </row>
    <row r="103" spans="1:11" x14ac:dyDescent="0.25">
      <c r="A103" s="595">
        <v>93</v>
      </c>
      <c r="B103" s="550" t="s">
        <v>226</v>
      </c>
      <c r="C103" s="564" t="s">
        <v>227</v>
      </c>
      <c r="D103" s="521">
        <v>2519</v>
      </c>
      <c r="E103" s="538">
        <v>676</v>
      </c>
      <c r="F103" s="521"/>
      <c r="G103" s="522"/>
      <c r="H103" s="522"/>
      <c r="I103" s="538"/>
      <c r="J103" s="552"/>
      <c r="K103" s="538"/>
    </row>
    <row r="104" spans="1:11" x14ac:dyDescent="0.25">
      <c r="A104" s="595">
        <v>94</v>
      </c>
      <c r="B104" s="553" t="s">
        <v>32</v>
      </c>
      <c r="C104" s="564" t="s">
        <v>33</v>
      </c>
      <c r="D104" s="521">
        <v>3365</v>
      </c>
      <c r="E104" s="538">
        <v>765</v>
      </c>
      <c r="F104" s="521">
        <v>406</v>
      </c>
      <c r="G104" s="522">
        <v>4056</v>
      </c>
      <c r="H104" s="522"/>
      <c r="I104" s="538"/>
      <c r="J104" s="552"/>
      <c r="K104" s="538"/>
    </row>
    <row r="105" spans="1:11" x14ac:dyDescent="0.25">
      <c r="A105" s="595">
        <v>95</v>
      </c>
      <c r="B105" s="589" t="s">
        <v>228</v>
      </c>
      <c r="C105" s="564" t="s">
        <v>229</v>
      </c>
      <c r="D105" s="521">
        <v>2167</v>
      </c>
      <c r="E105" s="538">
        <v>487</v>
      </c>
      <c r="F105" s="521"/>
      <c r="G105" s="522"/>
      <c r="H105" s="522"/>
      <c r="I105" s="538"/>
      <c r="J105" s="552"/>
      <c r="K105" s="538"/>
    </row>
    <row r="106" spans="1:11" x14ac:dyDescent="0.25">
      <c r="A106" s="595">
        <v>96</v>
      </c>
      <c r="B106" s="550" t="s">
        <v>230</v>
      </c>
      <c r="C106" s="564" t="s">
        <v>231</v>
      </c>
      <c r="D106" s="521">
        <v>5501</v>
      </c>
      <c r="E106" s="538">
        <v>1338</v>
      </c>
      <c r="F106" s="521">
        <v>372</v>
      </c>
      <c r="G106" s="522">
        <v>3718</v>
      </c>
      <c r="H106" s="522"/>
      <c r="I106" s="538"/>
      <c r="J106" s="552"/>
      <c r="K106" s="538"/>
    </row>
    <row r="107" spans="1:11" x14ac:dyDescent="0.25">
      <c r="A107" s="595">
        <v>97</v>
      </c>
      <c r="B107" s="550" t="s">
        <v>232</v>
      </c>
      <c r="C107" s="564" t="s">
        <v>233</v>
      </c>
      <c r="D107" s="521"/>
      <c r="E107" s="538"/>
      <c r="F107" s="521"/>
      <c r="G107" s="522"/>
      <c r="H107" s="522"/>
      <c r="I107" s="538"/>
      <c r="J107" s="552"/>
      <c r="K107" s="538"/>
    </row>
    <row r="108" spans="1:11" x14ac:dyDescent="0.25">
      <c r="A108" s="595">
        <v>98</v>
      </c>
      <c r="B108" s="550" t="s">
        <v>234</v>
      </c>
      <c r="C108" s="564" t="s">
        <v>235</v>
      </c>
      <c r="D108" s="521"/>
      <c r="E108" s="538"/>
      <c r="F108" s="521"/>
      <c r="G108" s="522"/>
      <c r="H108" s="522"/>
      <c r="I108" s="538"/>
      <c r="J108" s="552"/>
      <c r="K108" s="538"/>
    </row>
    <row r="109" spans="1:11" x14ac:dyDescent="0.25">
      <c r="A109" s="595">
        <v>99</v>
      </c>
      <c r="B109" s="589" t="s">
        <v>236</v>
      </c>
      <c r="C109" s="564" t="s">
        <v>237</v>
      </c>
      <c r="D109" s="521"/>
      <c r="E109" s="538"/>
      <c r="F109" s="521"/>
      <c r="G109" s="522"/>
      <c r="H109" s="522"/>
      <c r="I109" s="538"/>
      <c r="J109" s="552"/>
      <c r="K109" s="538"/>
    </row>
    <row r="110" spans="1:11" x14ac:dyDescent="0.25">
      <c r="A110" s="595">
        <v>100</v>
      </c>
      <c r="B110" s="589" t="s">
        <v>238</v>
      </c>
      <c r="C110" s="564" t="s">
        <v>239</v>
      </c>
      <c r="D110" s="521"/>
      <c r="E110" s="538"/>
      <c r="F110" s="521"/>
      <c r="G110" s="522"/>
      <c r="H110" s="522"/>
      <c r="I110" s="538"/>
      <c r="J110" s="552"/>
      <c r="K110" s="538"/>
    </row>
    <row r="111" spans="1:11" x14ac:dyDescent="0.25">
      <c r="A111" s="595">
        <v>101</v>
      </c>
      <c r="B111" s="589" t="s">
        <v>240</v>
      </c>
      <c r="C111" s="564" t="s">
        <v>241</v>
      </c>
      <c r="D111" s="521"/>
      <c r="E111" s="538"/>
      <c r="F111" s="521"/>
      <c r="G111" s="522"/>
      <c r="H111" s="522"/>
      <c r="I111" s="538"/>
      <c r="J111" s="552"/>
      <c r="K111" s="538"/>
    </row>
    <row r="112" spans="1:11" x14ac:dyDescent="0.25">
      <c r="A112" s="595">
        <v>102</v>
      </c>
      <c r="B112" s="589" t="s">
        <v>242</v>
      </c>
      <c r="C112" s="564" t="s">
        <v>243</v>
      </c>
      <c r="D112" s="521"/>
      <c r="E112" s="538"/>
      <c r="F112" s="521"/>
      <c r="G112" s="522"/>
      <c r="H112" s="522"/>
      <c r="I112" s="538"/>
      <c r="J112" s="552"/>
      <c r="K112" s="538"/>
    </row>
    <row r="113" spans="1:11" x14ac:dyDescent="0.25">
      <c r="A113" s="595">
        <v>103</v>
      </c>
      <c r="B113" s="589" t="s">
        <v>244</v>
      </c>
      <c r="C113" s="564" t="s">
        <v>245</v>
      </c>
      <c r="D113" s="521"/>
      <c r="E113" s="538"/>
      <c r="F113" s="521"/>
      <c r="G113" s="522"/>
      <c r="H113" s="522"/>
      <c r="I113" s="538"/>
      <c r="J113" s="552"/>
      <c r="K113" s="538"/>
    </row>
    <row r="114" spans="1:11" x14ac:dyDescent="0.25">
      <c r="A114" s="595">
        <v>104</v>
      </c>
      <c r="B114" s="490" t="s">
        <v>246</v>
      </c>
      <c r="C114" s="422" t="s">
        <v>247</v>
      </c>
      <c r="D114" s="521"/>
      <c r="E114" s="538"/>
      <c r="F114" s="521"/>
      <c r="G114" s="522"/>
      <c r="H114" s="522"/>
      <c r="I114" s="538"/>
      <c r="J114" s="552"/>
      <c r="K114" s="538"/>
    </row>
    <row r="115" spans="1:11" x14ac:dyDescent="0.25">
      <c r="A115" s="595">
        <v>105</v>
      </c>
      <c r="B115" s="553" t="s">
        <v>248</v>
      </c>
      <c r="C115" s="564" t="s">
        <v>249</v>
      </c>
      <c r="D115" s="521"/>
      <c r="E115" s="538"/>
      <c r="F115" s="521"/>
      <c r="G115" s="522"/>
      <c r="H115" s="522"/>
      <c r="I115" s="538"/>
      <c r="J115" s="552"/>
      <c r="K115" s="538"/>
    </row>
    <row r="116" spans="1:11" x14ac:dyDescent="0.25">
      <c r="A116" s="595">
        <v>106</v>
      </c>
      <c r="B116" s="589" t="s">
        <v>250</v>
      </c>
      <c r="C116" s="564" t="s">
        <v>251</v>
      </c>
      <c r="D116" s="521"/>
      <c r="E116" s="538"/>
      <c r="F116" s="521"/>
      <c r="G116" s="522"/>
      <c r="H116" s="522"/>
      <c r="I116" s="538"/>
      <c r="J116" s="552"/>
      <c r="K116" s="538"/>
    </row>
    <row r="117" spans="1:11" ht="12.75" customHeight="1" x14ac:dyDescent="0.25">
      <c r="A117" s="595">
        <v>107</v>
      </c>
      <c r="B117" s="550" t="s">
        <v>252</v>
      </c>
      <c r="C117" s="569" t="s">
        <v>253</v>
      </c>
      <c r="D117" s="521"/>
      <c r="E117" s="538"/>
      <c r="F117" s="521"/>
      <c r="G117" s="522"/>
      <c r="H117" s="522"/>
      <c r="I117" s="538"/>
      <c r="J117" s="552"/>
      <c r="K117" s="538"/>
    </row>
    <row r="118" spans="1:11" x14ac:dyDescent="0.25">
      <c r="A118" s="595">
        <v>108</v>
      </c>
      <c r="B118" s="589" t="s">
        <v>254</v>
      </c>
      <c r="C118" s="564" t="s">
        <v>255</v>
      </c>
      <c r="D118" s="521"/>
      <c r="E118" s="538"/>
      <c r="F118" s="521"/>
      <c r="G118" s="522"/>
      <c r="H118" s="522"/>
      <c r="I118" s="538"/>
      <c r="J118" s="552"/>
      <c r="K118" s="538"/>
    </row>
    <row r="119" spans="1:11" x14ac:dyDescent="0.25">
      <c r="A119" s="595">
        <v>109</v>
      </c>
      <c r="B119" s="553" t="s">
        <v>256</v>
      </c>
      <c r="C119" s="564" t="s">
        <v>257</v>
      </c>
      <c r="D119" s="521"/>
      <c r="E119" s="538"/>
      <c r="F119" s="521"/>
      <c r="G119" s="522"/>
      <c r="H119" s="522"/>
      <c r="I119" s="538"/>
      <c r="J119" s="552"/>
      <c r="K119" s="538"/>
    </row>
    <row r="120" spans="1:11" x14ac:dyDescent="0.25">
      <c r="A120" s="595">
        <v>110</v>
      </c>
      <c r="B120" s="550" t="s">
        <v>258</v>
      </c>
      <c r="C120" s="564" t="s">
        <v>259</v>
      </c>
      <c r="D120" s="521"/>
      <c r="E120" s="538"/>
      <c r="F120" s="521"/>
      <c r="G120" s="522"/>
      <c r="H120" s="522"/>
      <c r="I120" s="538"/>
      <c r="J120" s="552"/>
      <c r="K120" s="538"/>
    </row>
    <row r="121" spans="1:11" x14ac:dyDescent="0.25">
      <c r="A121" s="595">
        <v>111</v>
      </c>
      <c r="B121" s="589" t="s">
        <v>551</v>
      </c>
      <c r="C121" s="495" t="s">
        <v>552</v>
      </c>
      <c r="D121" s="521"/>
      <c r="E121" s="538"/>
      <c r="F121" s="521"/>
      <c r="G121" s="522"/>
      <c r="H121" s="522"/>
      <c r="I121" s="538"/>
      <c r="J121" s="552"/>
      <c r="K121" s="538"/>
    </row>
    <row r="122" spans="1:11" x14ac:dyDescent="0.25">
      <c r="A122" s="595">
        <v>112</v>
      </c>
      <c r="B122" s="553" t="s">
        <v>260</v>
      </c>
      <c r="C122" s="564" t="s">
        <v>261</v>
      </c>
      <c r="D122" s="521"/>
      <c r="E122" s="538"/>
      <c r="F122" s="521"/>
      <c r="G122" s="522"/>
      <c r="H122" s="522"/>
      <c r="I122" s="538"/>
      <c r="J122" s="552"/>
      <c r="K122" s="538"/>
    </row>
    <row r="123" spans="1:11" x14ac:dyDescent="0.25">
      <c r="A123" s="595">
        <v>113</v>
      </c>
      <c r="B123" s="589" t="s">
        <v>262</v>
      </c>
      <c r="C123" s="564" t="s">
        <v>263</v>
      </c>
      <c r="D123" s="521"/>
      <c r="E123" s="538"/>
      <c r="F123" s="521"/>
      <c r="G123" s="522"/>
      <c r="H123" s="522"/>
      <c r="I123" s="538"/>
      <c r="J123" s="552"/>
      <c r="K123" s="538"/>
    </row>
    <row r="124" spans="1:11" ht="14.25" customHeight="1" x14ac:dyDescent="0.25">
      <c r="A124" s="595">
        <v>114</v>
      </c>
      <c r="B124" s="589" t="s">
        <v>264</v>
      </c>
      <c r="C124" s="570" t="s">
        <v>265</v>
      </c>
      <c r="D124" s="521"/>
      <c r="E124" s="538"/>
      <c r="F124" s="521"/>
      <c r="G124" s="522"/>
      <c r="H124" s="522"/>
      <c r="I124" s="538"/>
      <c r="J124" s="552"/>
      <c r="K124" s="538"/>
    </row>
    <row r="125" spans="1:11" x14ac:dyDescent="0.25">
      <c r="A125" s="595">
        <v>115</v>
      </c>
      <c r="B125" s="589" t="s">
        <v>266</v>
      </c>
      <c r="C125" s="564" t="s">
        <v>267</v>
      </c>
      <c r="D125" s="521"/>
      <c r="E125" s="538"/>
      <c r="F125" s="521"/>
      <c r="G125" s="522"/>
      <c r="H125" s="522"/>
      <c r="I125" s="538"/>
      <c r="J125" s="552"/>
      <c r="K125" s="538"/>
    </row>
    <row r="126" spans="1:11" x14ac:dyDescent="0.25">
      <c r="A126" s="595">
        <v>116</v>
      </c>
      <c r="B126" s="589" t="s">
        <v>268</v>
      </c>
      <c r="C126" s="564" t="s">
        <v>269</v>
      </c>
      <c r="D126" s="521"/>
      <c r="E126" s="538"/>
      <c r="F126" s="521"/>
      <c r="G126" s="522"/>
      <c r="H126" s="522"/>
      <c r="I126" s="538"/>
      <c r="J126" s="552"/>
      <c r="K126" s="538"/>
    </row>
    <row r="127" spans="1:11" x14ac:dyDescent="0.25">
      <c r="A127" s="595">
        <v>117</v>
      </c>
      <c r="B127" s="589" t="s">
        <v>270</v>
      </c>
      <c r="C127" s="564" t="s">
        <v>271</v>
      </c>
      <c r="D127" s="521"/>
      <c r="E127" s="538"/>
      <c r="F127" s="521"/>
      <c r="G127" s="522"/>
      <c r="H127" s="522"/>
      <c r="I127" s="538"/>
      <c r="J127" s="552"/>
      <c r="K127" s="538"/>
    </row>
    <row r="128" spans="1:11" x14ac:dyDescent="0.25">
      <c r="A128" s="595">
        <v>118</v>
      </c>
      <c r="B128" s="550" t="s">
        <v>272</v>
      </c>
      <c r="C128" s="564" t="s">
        <v>273</v>
      </c>
      <c r="D128" s="521"/>
      <c r="E128" s="538"/>
      <c r="F128" s="521"/>
      <c r="G128" s="522"/>
      <c r="H128" s="522"/>
      <c r="I128" s="538"/>
      <c r="J128" s="552"/>
      <c r="K128" s="538"/>
    </row>
    <row r="129" spans="1:11" x14ac:dyDescent="0.25">
      <c r="A129" s="595">
        <v>119</v>
      </c>
      <c r="B129" s="550" t="s">
        <v>274</v>
      </c>
      <c r="C129" s="564" t="s">
        <v>275</v>
      </c>
      <c r="D129" s="521"/>
      <c r="E129" s="538"/>
      <c r="F129" s="521"/>
      <c r="G129" s="522"/>
      <c r="H129" s="522"/>
      <c r="I129" s="538"/>
      <c r="J129" s="552"/>
      <c r="K129" s="538"/>
    </row>
    <row r="130" spans="1:11" x14ac:dyDescent="0.25">
      <c r="A130" s="595">
        <v>120</v>
      </c>
      <c r="B130" s="550" t="s">
        <v>276</v>
      </c>
      <c r="C130" s="564" t="s">
        <v>277</v>
      </c>
      <c r="D130" s="521"/>
      <c r="E130" s="538"/>
      <c r="F130" s="521"/>
      <c r="G130" s="522"/>
      <c r="H130" s="522"/>
      <c r="I130" s="538"/>
      <c r="J130" s="552"/>
      <c r="K130" s="538"/>
    </row>
    <row r="131" spans="1:11" x14ac:dyDescent="0.25">
      <c r="A131" s="595">
        <v>121</v>
      </c>
      <c r="B131" s="589" t="s">
        <v>278</v>
      </c>
      <c r="C131" s="564" t="s">
        <v>279</v>
      </c>
      <c r="D131" s="521"/>
      <c r="E131" s="538"/>
      <c r="F131" s="521"/>
      <c r="G131" s="522"/>
      <c r="H131" s="522"/>
      <c r="I131" s="538"/>
      <c r="J131" s="552"/>
      <c r="K131" s="538"/>
    </row>
    <row r="132" spans="1:11" x14ac:dyDescent="0.25">
      <c r="A132" s="595">
        <v>122</v>
      </c>
      <c r="B132" s="589" t="s">
        <v>280</v>
      </c>
      <c r="C132" s="564" t="s">
        <v>281</v>
      </c>
      <c r="D132" s="521"/>
      <c r="E132" s="538"/>
      <c r="F132" s="521"/>
      <c r="G132" s="522"/>
      <c r="H132" s="522"/>
      <c r="I132" s="538"/>
      <c r="J132" s="552"/>
      <c r="K132" s="538"/>
    </row>
    <row r="133" spans="1:11" x14ac:dyDescent="0.25">
      <c r="A133" s="595">
        <v>123</v>
      </c>
      <c r="B133" s="589" t="s">
        <v>282</v>
      </c>
      <c r="C133" s="564" t="s">
        <v>783</v>
      </c>
      <c r="D133" s="521"/>
      <c r="E133" s="538"/>
      <c r="F133" s="521"/>
      <c r="G133" s="522"/>
      <c r="H133" s="522"/>
      <c r="I133" s="538"/>
      <c r="J133" s="552"/>
      <c r="K133" s="538"/>
    </row>
    <row r="134" spans="1:11" x14ac:dyDescent="0.25">
      <c r="A134" s="595">
        <v>124</v>
      </c>
      <c r="B134" s="550" t="s">
        <v>283</v>
      </c>
      <c r="C134" s="564" t="s">
        <v>284</v>
      </c>
      <c r="D134" s="521"/>
      <c r="E134" s="538"/>
      <c r="F134" s="521"/>
      <c r="G134" s="522"/>
      <c r="H134" s="522"/>
      <c r="I134" s="538"/>
      <c r="J134" s="552"/>
      <c r="K134" s="538"/>
    </row>
    <row r="135" spans="1:11" ht="27.75" customHeight="1" x14ac:dyDescent="0.25">
      <c r="A135" s="595">
        <v>125</v>
      </c>
      <c r="B135" s="553" t="s">
        <v>285</v>
      </c>
      <c r="C135" s="564" t="s">
        <v>737</v>
      </c>
      <c r="D135" s="521">
        <v>13190</v>
      </c>
      <c r="E135" s="538">
        <v>1022</v>
      </c>
      <c r="F135" s="521"/>
      <c r="G135" s="522"/>
      <c r="H135" s="522"/>
      <c r="I135" s="538"/>
      <c r="J135" s="552"/>
      <c r="K135" s="538"/>
    </row>
    <row r="136" spans="1:11" x14ac:dyDescent="0.25">
      <c r="A136" s="595">
        <v>126</v>
      </c>
      <c r="B136" s="589" t="s">
        <v>286</v>
      </c>
      <c r="C136" s="564" t="s">
        <v>287</v>
      </c>
      <c r="D136" s="521"/>
      <c r="E136" s="538"/>
      <c r="F136" s="521"/>
      <c r="G136" s="522"/>
      <c r="H136" s="522"/>
      <c r="I136" s="538"/>
      <c r="J136" s="552"/>
      <c r="K136" s="538"/>
    </row>
    <row r="137" spans="1:11" x14ac:dyDescent="0.25">
      <c r="A137" s="595">
        <v>127</v>
      </c>
      <c r="B137" s="550" t="s">
        <v>288</v>
      </c>
      <c r="C137" s="564" t="s">
        <v>289</v>
      </c>
      <c r="D137" s="521"/>
      <c r="E137" s="538"/>
      <c r="F137" s="521"/>
      <c r="G137" s="522"/>
      <c r="H137" s="522"/>
      <c r="I137" s="538"/>
      <c r="J137" s="552"/>
      <c r="K137" s="538"/>
    </row>
    <row r="138" spans="1:11" x14ac:dyDescent="0.25">
      <c r="A138" s="595">
        <v>128</v>
      </c>
      <c r="B138" s="589" t="s">
        <v>290</v>
      </c>
      <c r="C138" s="564" t="s">
        <v>291</v>
      </c>
      <c r="D138" s="521"/>
      <c r="E138" s="538"/>
      <c r="F138" s="521"/>
      <c r="G138" s="522"/>
      <c r="H138" s="522"/>
      <c r="I138" s="538"/>
      <c r="J138" s="552"/>
      <c r="K138" s="538"/>
    </row>
    <row r="139" spans="1:11" x14ac:dyDescent="0.25">
      <c r="A139" s="595">
        <v>129</v>
      </c>
      <c r="B139" s="555" t="s">
        <v>292</v>
      </c>
      <c r="C139" s="571" t="s">
        <v>293</v>
      </c>
      <c r="D139" s="521">
        <v>146310</v>
      </c>
      <c r="E139" s="538">
        <v>30487</v>
      </c>
      <c r="F139" s="604">
        <v>7470</v>
      </c>
      <c r="G139" s="551">
        <v>74698</v>
      </c>
      <c r="H139" s="522">
        <v>525</v>
      </c>
      <c r="I139" s="538">
        <v>24674</v>
      </c>
      <c r="J139" s="552">
        <v>594</v>
      </c>
      <c r="K139" s="538">
        <v>7130</v>
      </c>
    </row>
    <row r="140" spans="1:11" x14ac:dyDescent="0.25">
      <c r="A140" s="595">
        <v>130</v>
      </c>
      <c r="B140" s="556" t="s">
        <v>294</v>
      </c>
      <c r="C140" s="571" t="s">
        <v>295</v>
      </c>
      <c r="D140" s="521"/>
      <c r="E140" s="538"/>
      <c r="F140" s="521"/>
      <c r="G140" s="551"/>
      <c r="H140" s="522"/>
      <c r="I140" s="538"/>
      <c r="J140" s="552"/>
      <c r="K140" s="538"/>
    </row>
    <row r="141" spans="1:11" x14ac:dyDescent="0.25">
      <c r="A141" s="595">
        <v>131</v>
      </c>
      <c r="B141" s="555" t="s">
        <v>296</v>
      </c>
      <c r="C141" s="520" t="s">
        <v>462</v>
      </c>
      <c r="D141" s="521"/>
      <c r="E141" s="538"/>
      <c r="F141" s="521"/>
      <c r="G141" s="551"/>
      <c r="H141" s="522"/>
      <c r="I141" s="538"/>
      <c r="J141" s="552"/>
      <c r="K141" s="538"/>
    </row>
    <row r="142" spans="1:11" x14ac:dyDescent="0.25">
      <c r="A142" s="595">
        <v>132</v>
      </c>
      <c r="B142" s="502" t="s">
        <v>298</v>
      </c>
      <c r="C142" s="503" t="s">
        <v>299</v>
      </c>
      <c r="D142" s="521"/>
      <c r="E142" s="538"/>
      <c r="F142" s="521"/>
      <c r="G142" s="551"/>
      <c r="H142" s="522"/>
      <c r="I142" s="538"/>
      <c r="J142" s="552"/>
      <c r="K142" s="538"/>
    </row>
    <row r="143" spans="1:11" x14ac:dyDescent="0.25">
      <c r="A143" s="595">
        <v>133</v>
      </c>
      <c r="B143" s="438" t="s">
        <v>300</v>
      </c>
      <c r="C143" s="503" t="s">
        <v>301</v>
      </c>
      <c r="D143" s="521"/>
      <c r="E143" s="538"/>
      <c r="F143" s="521"/>
      <c r="G143" s="551"/>
      <c r="H143" s="522"/>
      <c r="I143" s="538"/>
      <c r="J143" s="552"/>
      <c r="K143" s="538"/>
    </row>
    <row r="144" spans="1:11" x14ac:dyDescent="0.25">
      <c r="A144" s="595">
        <v>134</v>
      </c>
      <c r="B144" s="438" t="s">
        <v>302</v>
      </c>
      <c r="C144" s="503" t="s">
        <v>303</v>
      </c>
      <c r="D144" s="521"/>
      <c r="E144" s="538"/>
      <c r="F144" s="521"/>
      <c r="G144" s="551"/>
      <c r="H144" s="522"/>
      <c r="I144" s="538"/>
      <c r="J144" s="552"/>
      <c r="K144" s="538"/>
    </row>
    <row r="145" spans="1:11" ht="13.5" thickBot="1" x14ac:dyDescent="0.3">
      <c r="A145" s="426">
        <v>135</v>
      </c>
      <c r="B145" s="505" t="s">
        <v>304</v>
      </c>
      <c r="C145" s="605" t="s">
        <v>305</v>
      </c>
      <c r="D145" s="558"/>
      <c r="E145" s="559"/>
      <c r="F145" s="558"/>
      <c r="G145" s="559"/>
      <c r="H145" s="542"/>
      <c r="I145" s="544"/>
      <c r="J145" s="560"/>
      <c r="K145" s="544"/>
    </row>
    <row r="146" spans="1:11" s="607" customFormat="1" x14ac:dyDescent="0.25">
      <c r="A146" s="606"/>
      <c r="C146" s="608"/>
    </row>
    <row r="147" spans="1:11" s="513" customFormat="1" x14ac:dyDescent="0.25">
      <c r="C147" s="609"/>
    </row>
    <row r="148" spans="1:11" s="513" customFormat="1" x14ac:dyDescent="0.25">
      <c r="C148" s="609"/>
    </row>
    <row r="149" spans="1:11" x14ac:dyDescent="0.25">
      <c r="G149" s="513"/>
      <c r="H149" s="513"/>
      <c r="I149" s="513"/>
      <c r="K149" s="513"/>
    </row>
    <row r="151" spans="1:11" x14ac:dyDescent="0.25">
      <c r="G151" s="513"/>
    </row>
    <row r="152" spans="1:11" x14ac:dyDescent="0.25">
      <c r="F152" s="610"/>
      <c r="G152" s="611"/>
    </row>
    <row r="153" spans="1:11" x14ac:dyDescent="0.25">
      <c r="G153" s="513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22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5" x14ac:dyDescent="0.25"/>
  <cols>
    <col min="1" max="1" width="5.5703125" style="120" customWidth="1"/>
    <col min="2" max="2" width="9.140625" style="120"/>
    <col min="3" max="3" width="35.42578125" style="120" customWidth="1"/>
    <col min="4" max="4" width="16.7109375" style="120" customWidth="1"/>
    <col min="5" max="5" width="16.5703125" style="120" customWidth="1"/>
    <col min="6" max="6" width="14.42578125" style="120" customWidth="1"/>
    <col min="7" max="7" width="12.7109375" style="120" customWidth="1"/>
    <col min="8" max="8" width="11.28515625" style="120" customWidth="1"/>
    <col min="9" max="9" width="11.7109375" style="120" customWidth="1"/>
    <col min="10" max="16384" width="9.140625" style="120"/>
  </cols>
  <sheetData>
    <row r="1" spans="1:9" ht="25.5" customHeight="1" x14ac:dyDescent="0.25">
      <c r="A1" s="1227" t="s">
        <v>718</v>
      </c>
      <c r="B1" s="1263"/>
      <c r="C1" s="1263"/>
      <c r="D1" s="1263"/>
      <c r="E1" s="1263"/>
      <c r="F1" s="1263"/>
      <c r="G1" s="1324"/>
      <c r="H1" s="1324"/>
      <c r="I1" s="1324"/>
    </row>
    <row r="2" spans="1:9" ht="15.75" thickBot="1" x14ac:dyDescent="0.3">
      <c r="A2" s="464"/>
      <c r="B2" s="464"/>
      <c r="C2" s="464"/>
      <c r="D2" s="465"/>
      <c r="E2" s="465"/>
      <c r="F2" s="465"/>
      <c r="G2" s="464"/>
      <c r="H2" s="561"/>
      <c r="I2" s="464"/>
    </row>
    <row r="3" spans="1:9" x14ac:dyDescent="0.25">
      <c r="A3" s="1265" t="s">
        <v>0</v>
      </c>
      <c r="B3" s="1268" t="s">
        <v>702</v>
      </c>
      <c r="C3" s="1292" t="s">
        <v>2</v>
      </c>
      <c r="D3" s="1274" t="s">
        <v>703</v>
      </c>
      <c r="E3" s="1314"/>
      <c r="F3" s="1297" t="s">
        <v>704</v>
      </c>
      <c r="G3" s="1327"/>
      <c r="H3" s="1305" t="s">
        <v>705</v>
      </c>
      <c r="I3" s="1327"/>
    </row>
    <row r="4" spans="1:9" x14ac:dyDescent="0.25">
      <c r="A4" s="1266"/>
      <c r="B4" s="1269"/>
      <c r="C4" s="1293"/>
      <c r="D4" s="1325"/>
      <c r="E4" s="1326"/>
      <c r="F4" s="1325"/>
      <c r="G4" s="1328"/>
      <c r="H4" s="1329"/>
      <c r="I4" s="1328"/>
    </row>
    <row r="5" spans="1:9" x14ac:dyDescent="0.25">
      <c r="A5" s="1266"/>
      <c r="B5" s="1269"/>
      <c r="C5" s="1293"/>
      <c r="D5" s="1317" t="s">
        <v>442</v>
      </c>
      <c r="E5" s="1319" t="s">
        <v>706</v>
      </c>
      <c r="F5" s="1332" t="s">
        <v>707</v>
      </c>
      <c r="G5" s="1312" t="s">
        <v>708</v>
      </c>
      <c r="H5" s="1310" t="s">
        <v>709</v>
      </c>
      <c r="I5" s="1312" t="s">
        <v>710</v>
      </c>
    </row>
    <row r="6" spans="1:9" ht="29.25" customHeight="1" thickBot="1" x14ac:dyDescent="0.3">
      <c r="A6" s="1267"/>
      <c r="B6" s="1270"/>
      <c r="C6" s="1294"/>
      <c r="D6" s="1330"/>
      <c r="E6" s="1331"/>
      <c r="F6" s="1333"/>
      <c r="G6" s="1334"/>
      <c r="H6" s="1335"/>
      <c r="I6" s="1334"/>
    </row>
    <row r="7" spans="1:9" x14ac:dyDescent="0.25">
      <c r="A7" s="1285" t="s">
        <v>44</v>
      </c>
      <c r="B7" s="1286"/>
      <c r="C7" s="1287"/>
      <c r="D7" s="562">
        <f t="shared" ref="D7:I7" si="0">SUM(D8:D145)-D92</f>
        <v>50318</v>
      </c>
      <c r="E7" s="563">
        <f t="shared" si="0"/>
        <v>6273</v>
      </c>
      <c r="F7" s="562">
        <f t="shared" si="0"/>
        <v>5377</v>
      </c>
      <c r="G7" s="518">
        <f t="shared" si="0"/>
        <v>166020</v>
      </c>
      <c r="H7" s="549">
        <f t="shared" si="0"/>
        <v>4075</v>
      </c>
      <c r="I7" s="518">
        <f t="shared" si="0"/>
        <v>85560</v>
      </c>
    </row>
    <row r="8" spans="1:9" x14ac:dyDescent="0.25">
      <c r="A8" s="471">
        <v>1</v>
      </c>
      <c r="B8" s="550" t="s">
        <v>54</v>
      </c>
      <c r="C8" s="564" t="s">
        <v>55</v>
      </c>
      <c r="D8" s="492"/>
      <c r="E8" s="565"/>
      <c r="F8" s="481"/>
      <c r="G8" s="477"/>
      <c r="H8" s="552"/>
      <c r="I8" s="477"/>
    </row>
    <row r="9" spans="1:9" x14ac:dyDescent="0.25">
      <c r="A9" s="471">
        <v>2</v>
      </c>
      <c r="B9" s="553" t="s">
        <v>56</v>
      </c>
      <c r="C9" s="564" t="s">
        <v>57</v>
      </c>
      <c r="D9" s="492"/>
      <c r="E9" s="565"/>
      <c r="F9" s="481"/>
      <c r="G9" s="477"/>
      <c r="H9" s="552"/>
      <c r="I9" s="477"/>
    </row>
    <row r="10" spans="1:9" x14ac:dyDescent="0.25">
      <c r="A10" s="471">
        <v>3</v>
      </c>
      <c r="B10" s="529" t="s">
        <v>16</v>
      </c>
      <c r="C10" s="564" t="s">
        <v>17</v>
      </c>
      <c r="D10" s="492">
        <v>1460</v>
      </c>
      <c r="E10" s="565">
        <v>88</v>
      </c>
      <c r="F10" s="481"/>
      <c r="G10" s="477"/>
      <c r="H10" s="552">
        <v>221</v>
      </c>
      <c r="I10" s="477">
        <v>4650</v>
      </c>
    </row>
    <row r="11" spans="1:9" x14ac:dyDescent="0.25">
      <c r="A11" s="471">
        <v>4</v>
      </c>
      <c r="B11" s="550" t="s">
        <v>58</v>
      </c>
      <c r="C11" s="564" t="s">
        <v>59</v>
      </c>
      <c r="D11" s="492"/>
      <c r="E11" s="565"/>
      <c r="F11" s="481"/>
      <c r="G11" s="477"/>
      <c r="H11" s="552"/>
      <c r="I11" s="477"/>
    </row>
    <row r="12" spans="1:9" x14ac:dyDescent="0.25">
      <c r="A12" s="471">
        <v>5</v>
      </c>
      <c r="B12" s="550" t="s">
        <v>60</v>
      </c>
      <c r="C12" s="564" t="s">
        <v>61</v>
      </c>
      <c r="D12" s="492"/>
      <c r="E12" s="565"/>
      <c r="F12" s="481"/>
      <c r="G12" s="477"/>
      <c r="H12" s="552"/>
      <c r="I12" s="477"/>
    </row>
    <row r="13" spans="1:9" x14ac:dyDescent="0.25">
      <c r="A13" s="471">
        <v>6</v>
      </c>
      <c r="B13" s="529" t="s">
        <v>18</v>
      </c>
      <c r="C13" s="564" t="s">
        <v>19</v>
      </c>
      <c r="D13" s="492"/>
      <c r="E13" s="565"/>
      <c r="F13" s="481"/>
      <c r="G13" s="477"/>
      <c r="H13" s="552"/>
      <c r="I13" s="477"/>
    </row>
    <row r="14" spans="1:9" x14ac:dyDescent="0.25">
      <c r="A14" s="471">
        <v>7</v>
      </c>
      <c r="B14" s="550" t="s">
        <v>62</v>
      </c>
      <c r="C14" s="564" t="s">
        <v>63</v>
      </c>
      <c r="D14" s="492"/>
      <c r="E14" s="565"/>
      <c r="F14" s="481"/>
      <c r="G14" s="477"/>
      <c r="H14" s="552"/>
      <c r="I14" s="477"/>
    </row>
    <row r="15" spans="1:9" x14ac:dyDescent="0.25">
      <c r="A15" s="471">
        <v>8</v>
      </c>
      <c r="B15" s="529" t="s">
        <v>64</v>
      </c>
      <c r="C15" s="564" t="s">
        <v>65</v>
      </c>
      <c r="D15" s="492"/>
      <c r="E15" s="565"/>
      <c r="F15" s="481"/>
      <c r="G15" s="477"/>
      <c r="H15" s="552"/>
      <c r="I15" s="477"/>
    </row>
    <row r="16" spans="1:9" x14ac:dyDescent="0.25">
      <c r="A16" s="471">
        <v>9</v>
      </c>
      <c r="B16" s="529" t="s">
        <v>66</v>
      </c>
      <c r="C16" s="564" t="s">
        <v>67</v>
      </c>
      <c r="D16" s="492"/>
      <c r="E16" s="565"/>
      <c r="F16" s="481"/>
      <c r="G16" s="477"/>
      <c r="H16" s="552"/>
      <c r="I16" s="477"/>
    </row>
    <row r="17" spans="1:9" x14ac:dyDescent="0.25">
      <c r="A17" s="471">
        <v>10</v>
      </c>
      <c r="B17" s="529" t="s">
        <v>68</v>
      </c>
      <c r="C17" s="564" t="s">
        <v>69</v>
      </c>
      <c r="D17" s="492">
        <v>1460</v>
      </c>
      <c r="E17" s="565">
        <v>125</v>
      </c>
      <c r="F17" s="481">
        <v>330</v>
      </c>
      <c r="G17" s="477">
        <v>9900</v>
      </c>
      <c r="H17" s="552"/>
      <c r="I17" s="477"/>
    </row>
    <row r="18" spans="1:9" x14ac:dyDescent="0.25">
      <c r="A18" s="471">
        <v>11</v>
      </c>
      <c r="B18" s="529" t="s">
        <v>70</v>
      </c>
      <c r="C18" s="564" t="s">
        <v>71</v>
      </c>
      <c r="D18" s="492"/>
      <c r="E18" s="565"/>
      <c r="F18" s="481"/>
      <c r="G18" s="477"/>
      <c r="H18" s="552"/>
      <c r="I18" s="477"/>
    </row>
    <row r="19" spans="1:9" x14ac:dyDescent="0.25">
      <c r="A19" s="471">
        <v>12</v>
      </c>
      <c r="B19" s="529" t="s">
        <v>72</v>
      </c>
      <c r="C19" s="564" t="s">
        <v>73</v>
      </c>
      <c r="D19" s="492"/>
      <c r="E19" s="565"/>
      <c r="F19" s="481"/>
      <c r="G19" s="477"/>
      <c r="H19" s="552"/>
      <c r="I19" s="477"/>
    </row>
    <row r="20" spans="1:9" x14ac:dyDescent="0.25">
      <c r="A20" s="471">
        <v>13</v>
      </c>
      <c r="B20" s="529" t="s">
        <v>74</v>
      </c>
      <c r="C20" s="564" t="s">
        <v>75</v>
      </c>
      <c r="D20" s="492"/>
      <c r="E20" s="565"/>
      <c r="F20" s="481"/>
      <c r="G20" s="477"/>
      <c r="H20" s="552"/>
      <c r="I20" s="477"/>
    </row>
    <row r="21" spans="1:9" x14ac:dyDescent="0.25">
      <c r="A21" s="471">
        <v>14</v>
      </c>
      <c r="B21" s="529" t="s">
        <v>76</v>
      </c>
      <c r="C21" s="564" t="s">
        <v>77</v>
      </c>
      <c r="D21" s="492"/>
      <c r="E21" s="565"/>
      <c r="F21" s="481"/>
      <c r="G21" s="477"/>
      <c r="H21" s="552"/>
      <c r="I21" s="477"/>
    </row>
    <row r="22" spans="1:9" x14ac:dyDescent="0.25">
      <c r="A22" s="471">
        <v>15</v>
      </c>
      <c r="B22" s="529" t="s">
        <v>78</v>
      </c>
      <c r="C22" s="564" t="s">
        <v>79</v>
      </c>
      <c r="D22" s="492"/>
      <c r="E22" s="565"/>
      <c r="F22" s="481"/>
      <c r="G22" s="477"/>
      <c r="H22" s="552"/>
      <c r="I22" s="477"/>
    </row>
    <row r="23" spans="1:9" x14ac:dyDescent="0.25">
      <c r="A23" s="471">
        <v>16</v>
      </c>
      <c r="B23" s="529" t="s">
        <v>80</v>
      </c>
      <c r="C23" s="564" t="s">
        <v>81</v>
      </c>
      <c r="D23" s="492"/>
      <c r="E23" s="565"/>
      <c r="F23" s="481"/>
      <c r="G23" s="477"/>
      <c r="H23" s="552"/>
      <c r="I23" s="477"/>
    </row>
    <row r="24" spans="1:9" x14ac:dyDescent="0.25">
      <c r="A24" s="471">
        <v>17</v>
      </c>
      <c r="B24" s="529" t="s">
        <v>20</v>
      </c>
      <c r="C24" s="564" t="s">
        <v>21</v>
      </c>
      <c r="D24" s="492">
        <v>3735</v>
      </c>
      <c r="E24" s="565">
        <v>447</v>
      </c>
      <c r="F24" s="481"/>
      <c r="G24" s="477"/>
      <c r="H24" s="552"/>
      <c r="I24" s="477"/>
    </row>
    <row r="25" spans="1:9" x14ac:dyDescent="0.25">
      <c r="A25" s="471">
        <v>18</v>
      </c>
      <c r="B25" s="550" t="s">
        <v>82</v>
      </c>
      <c r="C25" s="564" t="s">
        <v>83</v>
      </c>
      <c r="D25" s="492"/>
      <c r="E25" s="565"/>
      <c r="F25" s="481"/>
      <c r="G25" s="477"/>
      <c r="H25" s="552"/>
      <c r="I25" s="477"/>
    </row>
    <row r="26" spans="1:9" x14ac:dyDescent="0.25">
      <c r="A26" s="471">
        <v>19</v>
      </c>
      <c r="B26" s="550" t="s">
        <v>84</v>
      </c>
      <c r="C26" s="564" t="s">
        <v>85</v>
      </c>
      <c r="D26" s="492"/>
      <c r="E26" s="565"/>
      <c r="F26" s="481"/>
      <c r="G26" s="477"/>
      <c r="H26" s="552"/>
      <c r="I26" s="477"/>
    </row>
    <row r="27" spans="1:9" x14ac:dyDescent="0.25">
      <c r="A27" s="471">
        <v>20</v>
      </c>
      <c r="B27" s="550" t="s">
        <v>86</v>
      </c>
      <c r="C27" s="564" t="s">
        <v>87</v>
      </c>
      <c r="D27" s="492">
        <v>1297</v>
      </c>
      <c r="E27" s="565">
        <v>125</v>
      </c>
      <c r="F27" s="481">
        <v>330</v>
      </c>
      <c r="G27" s="477">
        <v>9900</v>
      </c>
      <c r="H27" s="552"/>
      <c r="I27" s="477"/>
    </row>
    <row r="28" spans="1:9" x14ac:dyDescent="0.25">
      <c r="A28" s="471">
        <v>21</v>
      </c>
      <c r="B28" s="550" t="s">
        <v>22</v>
      </c>
      <c r="C28" s="564" t="s">
        <v>23</v>
      </c>
      <c r="D28" s="492">
        <v>1459</v>
      </c>
      <c r="E28" s="565">
        <v>88</v>
      </c>
      <c r="F28" s="481">
        <v>330</v>
      </c>
      <c r="G28" s="477">
        <v>9900</v>
      </c>
      <c r="H28" s="552"/>
      <c r="I28" s="477"/>
    </row>
    <row r="29" spans="1:9" x14ac:dyDescent="0.25">
      <c r="A29" s="484">
        <v>22</v>
      </c>
      <c r="B29" s="529" t="s">
        <v>24</v>
      </c>
      <c r="C29" s="564" t="s">
        <v>25</v>
      </c>
      <c r="D29" s="492"/>
      <c r="E29" s="565"/>
      <c r="F29" s="566"/>
      <c r="G29" s="477"/>
      <c r="H29" s="552"/>
      <c r="I29" s="477"/>
    </row>
    <row r="30" spans="1:9" x14ac:dyDescent="0.25">
      <c r="A30" s="471">
        <v>23</v>
      </c>
      <c r="B30" s="529" t="s">
        <v>88</v>
      </c>
      <c r="C30" s="564" t="s">
        <v>89</v>
      </c>
      <c r="D30" s="492"/>
      <c r="E30" s="565"/>
      <c r="F30" s="481"/>
      <c r="G30" s="477"/>
      <c r="H30" s="552"/>
      <c r="I30" s="477"/>
    </row>
    <row r="31" spans="1:9" ht="25.5" x14ac:dyDescent="0.25">
      <c r="A31" s="471">
        <v>24</v>
      </c>
      <c r="B31" s="529" t="s">
        <v>90</v>
      </c>
      <c r="C31" s="564" t="s">
        <v>91</v>
      </c>
      <c r="D31" s="492"/>
      <c r="E31" s="565"/>
      <c r="F31" s="481"/>
      <c r="G31" s="477"/>
      <c r="H31" s="552"/>
      <c r="I31" s="477"/>
    </row>
    <row r="32" spans="1:9" x14ac:dyDescent="0.25">
      <c r="A32" s="471">
        <v>25</v>
      </c>
      <c r="B32" s="550" t="s">
        <v>92</v>
      </c>
      <c r="C32" s="564" t="s">
        <v>93</v>
      </c>
      <c r="D32" s="492">
        <v>1459</v>
      </c>
      <c r="E32" s="565">
        <v>125</v>
      </c>
      <c r="F32" s="481">
        <v>495</v>
      </c>
      <c r="G32" s="477">
        <v>14850</v>
      </c>
      <c r="H32" s="552">
        <v>221</v>
      </c>
      <c r="I32" s="477">
        <v>4650</v>
      </c>
    </row>
    <row r="33" spans="1:9" x14ac:dyDescent="0.25">
      <c r="A33" s="471">
        <v>26</v>
      </c>
      <c r="B33" s="529" t="s">
        <v>94</v>
      </c>
      <c r="C33" s="564" t="s">
        <v>95</v>
      </c>
      <c r="D33" s="492"/>
      <c r="E33" s="565"/>
      <c r="F33" s="481"/>
      <c r="G33" s="477"/>
      <c r="H33" s="552"/>
      <c r="I33" s="477"/>
    </row>
    <row r="34" spans="1:9" x14ac:dyDescent="0.25">
      <c r="A34" s="471">
        <v>27</v>
      </c>
      <c r="B34" s="553" t="s">
        <v>96</v>
      </c>
      <c r="C34" s="564" t="s">
        <v>97</v>
      </c>
      <c r="D34" s="492"/>
      <c r="E34" s="565"/>
      <c r="F34" s="481"/>
      <c r="G34" s="477"/>
      <c r="H34" s="552"/>
      <c r="I34" s="477"/>
    </row>
    <row r="35" spans="1:9" x14ac:dyDescent="0.25">
      <c r="A35" s="445">
        <v>28</v>
      </c>
      <c r="B35" s="553" t="s">
        <v>26</v>
      </c>
      <c r="C35" s="564" t="s">
        <v>27</v>
      </c>
      <c r="D35" s="492">
        <v>1485</v>
      </c>
      <c r="E35" s="565">
        <v>125</v>
      </c>
      <c r="F35" s="481">
        <v>165</v>
      </c>
      <c r="G35" s="477">
        <v>4950</v>
      </c>
      <c r="H35" s="552">
        <v>221</v>
      </c>
      <c r="I35" s="477">
        <v>4650</v>
      </c>
    </row>
    <row r="36" spans="1:9" x14ac:dyDescent="0.25">
      <c r="A36" s="445">
        <v>29</v>
      </c>
      <c r="B36" s="550" t="s">
        <v>98</v>
      </c>
      <c r="C36" s="564" t="s">
        <v>99</v>
      </c>
      <c r="D36" s="492"/>
      <c r="E36" s="565"/>
      <c r="F36" s="481"/>
      <c r="G36" s="477"/>
      <c r="H36" s="552"/>
      <c r="I36" s="477"/>
    </row>
    <row r="37" spans="1:9" x14ac:dyDescent="0.25">
      <c r="A37" s="445">
        <v>30</v>
      </c>
      <c r="B37" s="553" t="s">
        <v>100</v>
      </c>
      <c r="C37" s="564" t="s">
        <v>101</v>
      </c>
      <c r="D37" s="492"/>
      <c r="E37" s="565"/>
      <c r="F37" s="481"/>
      <c r="G37" s="477"/>
      <c r="H37" s="552"/>
      <c r="I37" s="477"/>
    </row>
    <row r="38" spans="1:9" x14ac:dyDescent="0.25">
      <c r="A38" s="445">
        <v>31</v>
      </c>
      <c r="B38" s="529" t="s">
        <v>102</v>
      </c>
      <c r="C38" s="564" t="s">
        <v>103</v>
      </c>
      <c r="D38" s="492"/>
      <c r="E38" s="565"/>
      <c r="F38" s="481"/>
      <c r="G38" s="477"/>
      <c r="H38" s="552"/>
      <c r="I38" s="477"/>
    </row>
    <row r="39" spans="1:9" x14ac:dyDescent="0.25">
      <c r="A39" s="445">
        <v>32</v>
      </c>
      <c r="B39" s="553" t="s">
        <v>104</v>
      </c>
      <c r="C39" s="564" t="s">
        <v>105</v>
      </c>
      <c r="D39" s="492"/>
      <c r="E39" s="565"/>
      <c r="F39" s="481"/>
      <c r="G39" s="477"/>
      <c r="H39" s="552"/>
      <c r="I39" s="477"/>
    </row>
    <row r="40" spans="1:9" x14ac:dyDescent="0.25">
      <c r="A40" s="445">
        <v>33</v>
      </c>
      <c r="B40" s="550" t="s">
        <v>106</v>
      </c>
      <c r="C40" s="564" t="s">
        <v>107</v>
      </c>
      <c r="D40" s="492">
        <v>1460</v>
      </c>
      <c r="E40" s="565">
        <v>125</v>
      </c>
      <c r="F40" s="481">
        <v>363</v>
      </c>
      <c r="G40" s="477">
        <v>10890</v>
      </c>
      <c r="H40" s="552"/>
      <c r="I40" s="477"/>
    </row>
    <row r="41" spans="1:9" x14ac:dyDescent="0.25">
      <c r="A41" s="445">
        <v>34</v>
      </c>
      <c r="B41" s="485" t="s">
        <v>108</v>
      </c>
      <c r="C41" s="422" t="s">
        <v>109</v>
      </c>
      <c r="D41" s="492">
        <v>1459</v>
      </c>
      <c r="E41" s="565">
        <v>88</v>
      </c>
      <c r="F41" s="481"/>
      <c r="G41" s="477"/>
      <c r="H41" s="552">
        <v>148</v>
      </c>
      <c r="I41" s="477">
        <v>3100</v>
      </c>
    </row>
    <row r="42" spans="1:9" x14ac:dyDescent="0.25">
      <c r="A42" s="445">
        <v>35</v>
      </c>
      <c r="B42" s="550" t="s">
        <v>110</v>
      </c>
      <c r="C42" s="564" t="s">
        <v>111</v>
      </c>
      <c r="D42" s="492"/>
      <c r="E42" s="565"/>
      <c r="F42" s="481"/>
      <c r="G42" s="477"/>
      <c r="H42" s="552"/>
      <c r="I42" s="477"/>
    </row>
    <row r="43" spans="1:9" x14ac:dyDescent="0.25">
      <c r="A43" s="445">
        <v>36</v>
      </c>
      <c r="B43" s="550" t="s">
        <v>112</v>
      </c>
      <c r="C43" s="564" t="s">
        <v>113</v>
      </c>
      <c r="D43" s="492"/>
      <c r="E43" s="565"/>
      <c r="F43" s="481"/>
      <c r="G43" s="477"/>
      <c r="H43" s="552"/>
      <c r="I43" s="477"/>
    </row>
    <row r="44" spans="1:9" x14ac:dyDescent="0.25">
      <c r="A44" s="445">
        <v>37</v>
      </c>
      <c r="B44" s="529" t="s">
        <v>114</v>
      </c>
      <c r="C44" s="564" t="s">
        <v>115</v>
      </c>
      <c r="D44" s="492"/>
      <c r="E44" s="565"/>
      <c r="F44" s="481"/>
      <c r="G44" s="477"/>
      <c r="H44" s="552"/>
      <c r="I44" s="477"/>
    </row>
    <row r="45" spans="1:9" x14ac:dyDescent="0.25">
      <c r="A45" s="445">
        <v>38</v>
      </c>
      <c r="B45" s="553" t="s">
        <v>116</v>
      </c>
      <c r="C45" s="564" t="s">
        <v>117</v>
      </c>
      <c r="D45" s="492"/>
      <c r="E45" s="565"/>
      <c r="F45" s="481"/>
      <c r="G45" s="477"/>
      <c r="H45" s="552"/>
      <c r="I45" s="477"/>
    </row>
    <row r="46" spans="1:9" x14ac:dyDescent="0.25">
      <c r="A46" s="445">
        <v>39</v>
      </c>
      <c r="B46" s="529" t="s">
        <v>28</v>
      </c>
      <c r="C46" s="564" t="s">
        <v>29</v>
      </c>
      <c r="D46" s="492"/>
      <c r="E46" s="565"/>
      <c r="F46" s="481"/>
      <c r="G46" s="477"/>
      <c r="H46" s="552"/>
      <c r="I46" s="477"/>
    </row>
    <row r="47" spans="1:9" x14ac:dyDescent="0.25">
      <c r="A47" s="445">
        <v>40</v>
      </c>
      <c r="B47" s="550" t="s">
        <v>118</v>
      </c>
      <c r="C47" s="564" t="s">
        <v>119</v>
      </c>
      <c r="D47" s="492">
        <v>1279</v>
      </c>
      <c r="E47" s="565">
        <v>88</v>
      </c>
      <c r="F47" s="481"/>
      <c r="G47" s="477"/>
      <c r="H47" s="552">
        <v>148</v>
      </c>
      <c r="I47" s="477">
        <v>3100</v>
      </c>
    </row>
    <row r="48" spans="1:9" x14ac:dyDescent="0.25">
      <c r="A48" s="445">
        <v>41</v>
      </c>
      <c r="B48" s="550" t="s">
        <v>120</v>
      </c>
      <c r="C48" s="564" t="s">
        <v>121</v>
      </c>
      <c r="D48" s="492"/>
      <c r="E48" s="565"/>
      <c r="F48" s="481"/>
      <c r="G48" s="477"/>
      <c r="H48" s="552"/>
      <c r="I48" s="477"/>
    </row>
    <row r="49" spans="1:9" x14ac:dyDescent="0.25">
      <c r="A49" s="445">
        <v>42</v>
      </c>
      <c r="B49" s="529" t="s">
        <v>122</v>
      </c>
      <c r="C49" s="564" t="s">
        <v>123</v>
      </c>
      <c r="D49" s="492"/>
      <c r="E49" s="565"/>
      <c r="F49" s="481"/>
      <c r="G49" s="477"/>
      <c r="H49" s="552"/>
      <c r="I49" s="477"/>
    </row>
    <row r="50" spans="1:9" x14ac:dyDescent="0.25">
      <c r="A50" s="445">
        <v>43</v>
      </c>
      <c r="B50" s="553" t="s">
        <v>124</v>
      </c>
      <c r="C50" s="564" t="s">
        <v>125</v>
      </c>
      <c r="D50" s="492"/>
      <c r="E50" s="565"/>
      <c r="F50" s="566"/>
      <c r="G50" s="477"/>
      <c r="H50" s="552"/>
      <c r="I50" s="477"/>
    </row>
    <row r="51" spans="1:9" x14ac:dyDescent="0.25">
      <c r="A51" s="445">
        <v>87</v>
      </c>
      <c r="B51" s="529" t="s">
        <v>126</v>
      </c>
      <c r="C51" s="564" t="s">
        <v>127</v>
      </c>
      <c r="D51" s="492">
        <v>1460</v>
      </c>
      <c r="E51" s="565">
        <v>125</v>
      </c>
      <c r="F51" s="481">
        <v>363</v>
      </c>
      <c r="G51" s="477">
        <v>10890</v>
      </c>
      <c r="H51" s="552"/>
      <c r="I51" s="477"/>
    </row>
    <row r="52" spans="1:9" x14ac:dyDescent="0.25">
      <c r="A52" s="445">
        <v>44</v>
      </c>
      <c r="B52" s="553" t="s">
        <v>128</v>
      </c>
      <c r="C52" s="564" t="s">
        <v>129</v>
      </c>
      <c r="D52" s="492"/>
      <c r="E52" s="565"/>
      <c r="F52" s="481"/>
      <c r="G52" s="477"/>
      <c r="H52" s="552"/>
      <c r="I52" s="477"/>
    </row>
    <row r="53" spans="1:9" x14ac:dyDescent="0.25">
      <c r="A53" s="445">
        <v>45</v>
      </c>
      <c r="B53" s="529" t="s">
        <v>130</v>
      </c>
      <c r="C53" s="564" t="s">
        <v>131</v>
      </c>
      <c r="D53" s="492"/>
      <c r="E53" s="565"/>
      <c r="F53" s="481"/>
      <c r="G53" s="477"/>
      <c r="H53" s="552"/>
      <c r="I53" s="477"/>
    </row>
    <row r="54" spans="1:9" x14ac:dyDescent="0.25">
      <c r="A54" s="445">
        <v>46</v>
      </c>
      <c r="B54" s="553" t="s">
        <v>132</v>
      </c>
      <c r="C54" s="564" t="s">
        <v>133</v>
      </c>
      <c r="D54" s="492"/>
      <c r="E54" s="565"/>
      <c r="F54" s="481"/>
      <c r="G54" s="477"/>
      <c r="H54" s="552"/>
      <c r="I54" s="477"/>
    </row>
    <row r="55" spans="1:9" x14ac:dyDescent="0.25">
      <c r="A55" s="445">
        <v>47</v>
      </c>
      <c r="B55" s="529" t="s">
        <v>134</v>
      </c>
      <c r="C55" s="564" t="s">
        <v>135</v>
      </c>
      <c r="D55" s="492"/>
      <c r="E55" s="565"/>
      <c r="F55" s="481"/>
      <c r="G55" s="477"/>
      <c r="H55" s="552"/>
      <c r="I55" s="477"/>
    </row>
    <row r="56" spans="1:9" x14ac:dyDescent="0.25">
      <c r="A56" s="445">
        <v>48</v>
      </c>
      <c r="B56" s="529" t="s">
        <v>136</v>
      </c>
      <c r="C56" s="564" t="s">
        <v>137</v>
      </c>
      <c r="D56" s="492"/>
      <c r="E56" s="565"/>
      <c r="F56" s="481"/>
      <c r="G56" s="477"/>
      <c r="H56" s="552"/>
      <c r="I56" s="477"/>
    </row>
    <row r="57" spans="1:9" x14ac:dyDescent="0.25">
      <c r="A57" s="445">
        <v>49</v>
      </c>
      <c r="B57" s="529" t="s">
        <v>138</v>
      </c>
      <c r="C57" s="564" t="s">
        <v>139</v>
      </c>
      <c r="D57" s="492">
        <v>1459</v>
      </c>
      <c r="E57" s="565">
        <v>88</v>
      </c>
      <c r="F57" s="481"/>
      <c r="G57" s="477"/>
      <c r="H57" s="552">
        <v>148</v>
      </c>
      <c r="I57" s="477">
        <v>3100</v>
      </c>
    </row>
    <row r="58" spans="1:9" x14ac:dyDescent="0.25">
      <c r="A58" s="445">
        <v>95</v>
      </c>
      <c r="B58" s="529" t="s">
        <v>140</v>
      </c>
      <c r="C58" s="564" t="s">
        <v>141</v>
      </c>
      <c r="D58" s="492"/>
      <c r="E58" s="565"/>
      <c r="F58" s="481"/>
      <c r="G58" s="477"/>
      <c r="H58" s="552"/>
      <c r="I58" s="477"/>
    </row>
    <row r="59" spans="1:9" x14ac:dyDescent="0.25">
      <c r="A59" s="445">
        <v>50</v>
      </c>
      <c r="B59" s="553" t="s">
        <v>142</v>
      </c>
      <c r="C59" s="564" t="s">
        <v>143</v>
      </c>
      <c r="D59" s="492">
        <v>669</v>
      </c>
      <c r="E59" s="565">
        <v>0</v>
      </c>
      <c r="F59" s="481"/>
      <c r="G59" s="477"/>
      <c r="H59" s="552">
        <v>148</v>
      </c>
      <c r="I59" s="477">
        <v>3100</v>
      </c>
    </row>
    <row r="60" spans="1:9" x14ac:dyDescent="0.25">
      <c r="A60" s="445">
        <v>97</v>
      </c>
      <c r="B60" s="529" t="s">
        <v>144</v>
      </c>
      <c r="C60" s="564" t="s">
        <v>145</v>
      </c>
      <c r="D60" s="492"/>
      <c r="E60" s="565"/>
      <c r="F60" s="481"/>
      <c r="G60" s="477"/>
      <c r="H60" s="552"/>
      <c r="I60" s="477"/>
    </row>
    <row r="61" spans="1:9" x14ac:dyDescent="0.25">
      <c r="A61" s="445">
        <v>51</v>
      </c>
      <c r="B61" s="529" t="s">
        <v>146</v>
      </c>
      <c r="C61" s="564" t="s">
        <v>147</v>
      </c>
      <c r="D61" s="492"/>
      <c r="E61" s="565"/>
      <c r="F61" s="481"/>
      <c r="G61" s="477"/>
      <c r="H61" s="552"/>
      <c r="I61" s="477"/>
    </row>
    <row r="62" spans="1:9" x14ac:dyDescent="0.25">
      <c r="A62" s="445">
        <v>52</v>
      </c>
      <c r="B62" s="529" t="s">
        <v>148</v>
      </c>
      <c r="C62" s="564" t="s">
        <v>149</v>
      </c>
      <c r="D62" s="492"/>
      <c r="E62" s="565"/>
      <c r="F62" s="481"/>
      <c r="G62" s="477"/>
      <c r="H62" s="552"/>
      <c r="I62" s="477"/>
    </row>
    <row r="63" spans="1:9" ht="16.5" customHeight="1" x14ac:dyDescent="0.25">
      <c r="A63" s="445">
        <v>53</v>
      </c>
      <c r="B63" s="553" t="s">
        <v>150</v>
      </c>
      <c r="C63" s="564" t="s">
        <v>151</v>
      </c>
      <c r="D63" s="492"/>
      <c r="E63" s="565"/>
      <c r="F63" s="481"/>
      <c r="G63" s="477"/>
      <c r="H63" s="552"/>
      <c r="I63" s="477"/>
    </row>
    <row r="64" spans="1:9" ht="16.5" customHeight="1" x14ac:dyDescent="0.25">
      <c r="A64" s="445">
        <v>54</v>
      </c>
      <c r="B64" s="550" t="s">
        <v>152</v>
      </c>
      <c r="C64" s="564" t="s">
        <v>153</v>
      </c>
      <c r="D64" s="492"/>
      <c r="E64" s="565"/>
      <c r="F64" s="481"/>
      <c r="G64" s="477"/>
      <c r="H64" s="552"/>
      <c r="I64" s="477"/>
    </row>
    <row r="65" spans="1:9" ht="16.5" customHeight="1" x14ac:dyDescent="0.25">
      <c r="A65" s="445">
        <v>55</v>
      </c>
      <c r="B65" s="553" t="s">
        <v>154</v>
      </c>
      <c r="C65" s="564" t="s">
        <v>155</v>
      </c>
      <c r="D65" s="492"/>
      <c r="E65" s="565"/>
      <c r="F65" s="481"/>
      <c r="G65" s="477"/>
      <c r="H65" s="552"/>
      <c r="I65" s="477"/>
    </row>
    <row r="66" spans="1:9" x14ac:dyDescent="0.25">
      <c r="A66" s="445">
        <v>56</v>
      </c>
      <c r="B66" s="529" t="s">
        <v>156</v>
      </c>
      <c r="C66" s="564" t="s">
        <v>157</v>
      </c>
      <c r="D66" s="492"/>
      <c r="E66" s="565"/>
      <c r="F66" s="481"/>
      <c r="G66" s="477"/>
      <c r="H66" s="552"/>
      <c r="I66" s="477"/>
    </row>
    <row r="67" spans="1:9" ht="25.5" x14ac:dyDescent="0.25">
      <c r="A67" s="445">
        <v>57</v>
      </c>
      <c r="B67" s="550" t="s">
        <v>158</v>
      </c>
      <c r="C67" s="564" t="s">
        <v>159</v>
      </c>
      <c r="D67" s="492"/>
      <c r="E67" s="565"/>
      <c r="F67" s="481"/>
      <c r="G67" s="477"/>
      <c r="H67" s="552"/>
      <c r="I67" s="477"/>
    </row>
    <row r="68" spans="1:9" ht="25.5" x14ac:dyDescent="0.25">
      <c r="A68" s="445">
        <v>58</v>
      </c>
      <c r="B68" s="550" t="s">
        <v>160</v>
      </c>
      <c r="C68" s="564" t="s">
        <v>161</v>
      </c>
      <c r="D68" s="492"/>
      <c r="E68" s="565"/>
      <c r="F68" s="481"/>
      <c r="G68" s="477"/>
      <c r="H68" s="552"/>
      <c r="I68" s="477"/>
    </row>
    <row r="69" spans="1:9" x14ac:dyDescent="0.25">
      <c r="A69" s="445">
        <v>59</v>
      </c>
      <c r="B69" s="553" t="s">
        <v>162</v>
      </c>
      <c r="C69" s="564" t="s">
        <v>163</v>
      </c>
      <c r="D69" s="492"/>
      <c r="E69" s="565"/>
      <c r="F69" s="481"/>
      <c r="G69" s="477"/>
      <c r="H69" s="552"/>
      <c r="I69" s="477"/>
    </row>
    <row r="70" spans="1:9" x14ac:dyDescent="0.25">
      <c r="A70" s="445">
        <v>60</v>
      </c>
      <c r="B70" s="553" t="s">
        <v>164</v>
      </c>
      <c r="C70" s="564" t="s">
        <v>165</v>
      </c>
      <c r="D70" s="492"/>
      <c r="E70" s="565"/>
      <c r="F70" s="481"/>
      <c r="G70" s="477"/>
      <c r="H70" s="552"/>
      <c r="I70" s="477"/>
    </row>
    <row r="71" spans="1:9" x14ac:dyDescent="0.25">
      <c r="A71" s="445">
        <v>61</v>
      </c>
      <c r="B71" s="553" t="s">
        <v>166</v>
      </c>
      <c r="C71" s="564" t="s">
        <v>167</v>
      </c>
      <c r="D71" s="492"/>
      <c r="E71" s="565"/>
      <c r="F71" s="481"/>
      <c r="G71" s="477"/>
      <c r="H71" s="552"/>
      <c r="I71" s="477"/>
    </row>
    <row r="72" spans="1:9" ht="25.5" x14ac:dyDescent="0.25">
      <c r="A72" s="445">
        <v>62</v>
      </c>
      <c r="B72" s="553" t="s">
        <v>168</v>
      </c>
      <c r="C72" s="564" t="s">
        <v>169</v>
      </c>
      <c r="D72" s="492"/>
      <c r="E72" s="565"/>
      <c r="F72" s="481"/>
      <c r="G72" s="477"/>
      <c r="H72" s="552"/>
      <c r="I72" s="477"/>
    </row>
    <row r="73" spans="1:9" ht="25.5" x14ac:dyDescent="0.25">
      <c r="A73" s="445">
        <v>63</v>
      </c>
      <c r="B73" s="550" t="s">
        <v>170</v>
      </c>
      <c r="C73" s="564" t="s">
        <v>171</v>
      </c>
      <c r="D73" s="492"/>
      <c r="E73" s="565"/>
      <c r="F73" s="481"/>
      <c r="G73" s="477"/>
      <c r="H73" s="552"/>
      <c r="I73" s="477"/>
    </row>
    <row r="74" spans="1:9" ht="25.5" x14ac:dyDescent="0.25">
      <c r="A74" s="445">
        <v>64</v>
      </c>
      <c r="B74" s="553" t="s">
        <v>172</v>
      </c>
      <c r="C74" s="564" t="s">
        <v>173</v>
      </c>
      <c r="D74" s="492"/>
      <c r="E74" s="565"/>
      <c r="F74" s="481"/>
      <c r="G74" s="477"/>
      <c r="H74" s="552"/>
      <c r="I74" s="477"/>
    </row>
    <row r="75" spans="1:9" ht="25.5" x14ac:dyDescent="0.25">
      <c r="A75" s="445">
        <v>65</v>
      </c>
      <c r="B75" s="553" t="s">
        <v>174</v>
      </c>
      <c r="C75" s="564" t="s">
        <v>175</v>
      </c>
      <c r="D75" s="492"/>
      <c r="E75" s="565"/>
      <c r="F75" s="481"/>
      <c r="G75" s="477"/>
      <c r="H75" s="552"/>
      <c r="I75" s="477"/>
    </row>
    <row r="76" spans="1:9" ht="25.5" x14ac:dyDescent="0.25">
      <c r="A76" s="445">
        <v>66</v>
      </c>
      <c r="B76" s="550" t="s">
        <v>176</v>
      </c>
      <c r="C76" s="564" t="s">
        <v>177</v>
      </c>
      <c r="D76" s="492"/>
      <c r="E76" s="565"/>
      <c r="F76" s="481"/>
      <c r="G76" s="477"/>
      <c r="H76" s="552"/>
      <c r="I76" s="477"/>
    </row>
    <row r="77" spans="1:9" ht="25.5" x14ac:dyDescent="0.25">
      <c r="A77" s="445">
        <v>67</v>
      </c>
      <c r="B77" s="550" t="s">
        <v>178</v>
      </c>
      <c r="C77" s="564" t="s">
        <v>179</v>
      </c>
      <c r="D77" s="492"/>
      <c r="E77" s="565"/>
      <c r="F77" s="481"/>
      <c r="G77" s="477"/>
      <c r="H77" s="552"/>
      <c r="I77" s="477"/>
    </row>
    <row r="78" spans="1:9" ht="25.5" x14ac:dyDescent="0.25">
      <c r="A78" s="445">
        <v>68</v>
      </c>
      <c r="B78" s="550" t="s">
        <v>180</v>
      </c>
      <c r="C78" s="564" t="s">
        <v>181</v>
      </c>
      <c r="D78" s="492"/>
      <c r="E78" s="565"/>
      <c r="F78" s="481"/>
      <c r="G78" s="477"/>
      <c r="H78" s="552"/>
      <c r="I78" s="477"/>
    </row>
    <row r="79" spans="1:9" ht="15.75" customHeight="1" x14ac:dyDescent="0.25">
      <c r="A79" s="445">
        <v>69</v>
      </c>
      <c r="B79" s="529" t="s">
        <v>182</v>
      </c>
      <c r="C79" s="564" t="s">
        <v>183</v>
      </c>
      <c r="D79" s="492"/>
      <c r="E79" s="565"/>
      <c r="F79" s="481"/>
      <c r="G79" s="477"/>
      <c r="H79" s="552"/>
      <c r="I79" s="477"/>
    </row>
    <row r="80" spans="1:9" x14ac:dyDescent="0.25">
      <c r="A80" s="445">
        <v>70</v>
      </c>
      <c r="B80" s="550" t="s">
        <v>184</v>
      </c>
      <c r="C80" s="564" t="s">
        <v>185</v>
      </c>
      <c r="D80" s="492"/>
      <c r="E80" s="565"/>
      <c r="F80" s="481"/>
      <c r="G80" s="477"/>
      <c r="H80" s="552"/>
      <c r="I80" s="477"/>
    </row>
    <row r="81" spans="1:9" x14ac:dyDescent="0.25">
      <c r="A81" s="445">
        <v>71</v>
      </c>
      <c r="B81" s="529" t="s">
        <v>186</v>
      </c>
      <c r="C81" s="564" t="s">
        <v>187</v>
      </c>
      <c r="D81" s="492"/>
      <c r="E81" s="565"/>
      <c r="F81" s="481"/>
      <c r="G81" s="477"/>
      <c r="H81" s="552"/>
      <c r="I81" s="477"/>
    </row>
    <row r="82" spans="1:9" x14ac:dyDescent="0.25">
      <c r="A82" s="445">
        <v>72</v>
      </c>
      <c r="B82" s="550" t="s">
        <v>188</v>
      </c>
      <c r="C82" s="564" t="s">
        <v>461</v>
      </c>
      <c r="D82" s="492"/>
      <c r="E82" s="565"/>
      <c r="F82" s="481"/>
      <c r="G82" s="477"/>
      <c r="H82" s="552"/>
      <c r="I82" s="477"/>
    </row>
    <row r="83" spans="1:9" x14ac:dyDescent="0.25">
      <c r="A83" s="445">
        <v>73</v>
      </c>
      <c r="B83" s="550" t="s">
        <v>190</v>
      </c>
      <c r="C83" s="564" t="s">
        <v>191</v>
      </c>
      <c r="D83" s="492"/>
      <c r="E83" s="565"/>
      <c r="F83" s="481"/>
      <c r="G83" s="477"/>
      <c r="H83" s="552"/>
      <c r="I83" s="477"/>
    </row>
    <row r="84" spans="1:9" x14ac:dyDescent="0.25">
      <c r="A84" s="445">
        <v>74</v>
      </c>
      <c r="B84" s="550" t="s">
        <v>192</v>
      </c>
      <c r="C84" s="564" t="s">
        <v>193</v>
      </c>
      <c r="D84" s="492"/>
      <c r="E84" s="565"/>
      <c r="F84" s="481"/>
      <c r="G84" s="477"/>
      <c r="H84" s="552"/>
      <c r="I84" s="477"/>
    </row>
    <row r="85" spans="1:9" x14ac:dyDescent="0.25">
      <c r="A85" s="445">
        <v>75</v>
      </c>
      <c r="B85" s="550" t="s">
        <v>194</v>
      </c>
      <c r="C85" s="564" t="s">
        <v>195</v>
      </c>
      <c r="D85" s="492"/>
      <c r="E85" s="565"/>
      <c r="F85" s="481"/>
      <c r="G85" s="477"/>
      <c r="H85" s="552"/>
      <c r="I85" s="477"/>
    </row>
    <row r="86" spans="1:9" x14ac:dyDescent="0.25">
      <c r="A86" s="445">
        <v>76</v>
      </c>
      <c r="B86" s="550" t="s">
        <v>196</v>
      </c>
      <c r="C86" s="564" t="s">
        <v>197</v>
      </c>
      <c r="D86" s="492"/>
      <c r="E86" s="565"/>
      <c r="F86" s="481"/>
      <c r="G86" s="477"/>
      <c r="H86" s="552"/>
      <c r="I86" s="477"/>
    </row>
    <row r="87" spans="1:9" x14ac:dyDescent="0.25">
      <c r="A87" s="445">
        <v>77</v>
      </c>
      <c r="B87" s="553" t="s">
        <v>30</v>
      </c>
      <c r="C87" s="564" t="s">
        <v>198</v>
      </c>
      <c r="D87" s="492"/>
      <c r="E87" s="565"/>
      <c r="F87" s="481"/>
      <c r="G87" s="477"/>
      <c r="H87" s="552"/>
      <c r="I87" s="477"/>
    </row>
    <row r="88" spans="1:9" ht="25.5" x14ac:dyDescent="0.25">
      <c r="A88" s="1221">
        <v>78</v>
      </c>
      <c r="B88" s="1321" t="s">
        <v>199</v>
      </c>
      <c r="C88" s="567" t="s">
        <v>200</v>
      </c>
      <c r="D88" s="492"/>
      <c r="E88" s="565"/>
      <c r="F88" s="481"/>
      <c r="G88" s="477"/>
      <c r="H88" s="552"/>
      <c r="I88" s="477"/>
    </row>
    <row r="89" spans="1:9" ht="38.25" x14ac:dyDescent="0.25">
      <c r="A89" s="1222"/>
      <c r="B89" s="1322"/>
      <c r="C89" s="564" t="s">
        <v>201</v>
      </c>
      <c r="D89" s="492"/>
      <c r="E89" s="565"/>
      <c r="F89" s="481"/>
      <c r="G89" s="477"/>
      <c r="H89" s="552"/>
      <c r="I89" s="477"/>
    </row>
    <row r="90" spans="1:9" ht="25.5" x14ac:dyDescent="0.25">
      <c r="A90" s="1222"/>
      <c r="B90" s="1322"/>
      <c r="C90" s="564" t="s">
        <v>202</v>
      </c>
      <c r="D90" s="492"/>
      <c r="E90" s="565"/>
      <c r="F90" s="481"/>
      <c r="G90" s="477"/>
      <c r="H90" s="552"/>
      <c r="I90" s="477"/>
    </row>
    <row r="91" spans="1:9" ht="38.25" x14ac:dyDescent="0.25">
      <c r="A91" s="1223"/>
      <c r="B91" s="1323"/>
      <c r="C91" s="568" t="s">
        <v>203</v>
      </c>
      <c r="D91" s="492"/>
      <c r="E91" s="565"/>
      <c r="F91" s="481"/>
      <c r="G91" s="477"/>
      <c r="H91" s="552"/>
      <c r="I91" s="477"/>
    </row>
    <row r="92" spans="1:9" ht="25.5" x14ac:dyDescent="0.25">
      <c r="A92" s="489">
        <v>79</v>
      </c>
      <c r="B92" s="553" t="s">
        <v>204</v>
      </c>
      <c r="C92" s="564" t="s">
        <v>205</v>
      </c>
      <c r="D92" s="492"/>
      <c r="E92" s="565"/>
      <c r="F92" s="481"/>
      <c r="G92" s="477"/>
      <c r="H92" s="552"/>
      <c r="I92" s="477"/>
    </row>
    <row r="93" spans="1:9" x14ac:dyDescent="0.25">
      <c r="A93" s="445">
        <v>80</v>
      </c>
      <c r="B93" s="553" t="s">
        <v>206</v>
      </c>
      <c r="C93" s="564" t="s">
        <v>207</v>
      </c>
      <c r="D93" s="492"/>
      <c r="E93" s="565"/>
      <c r="F93" s="481"/>
      <c r="G93" s="477"/>
      <c r="H93" s="552"/>
      <c r="I93" s="477"/>
    </row>
    <row r="94" spans="1:9" x14ac:dyDescent="0.25">
      <c r="A94" s="445">
        <v>81</v>
      </c>
      <c r="B94" s="529" t="s">
        <v>208</v>
      </c>
      <c r="C94" s="564" t="s">
        <v>209</v>
      </c>
      <c r="D94" s="492"/>
      <c r="E94" s="565"/>
      <c r="F94" s="481"/>
      <c r="G94" s="477"/>
      <c r="H94" s="552"/>
      <c r="I94" s="477"/>
    </row>
    <row r="95" spans="1:9" x14ac:dyDescent="0.25">
      <c r="A95" s="445">
        <v>82</v>
      </c>
      <c r="B95" s="553" t="s">
        <v>210</v>
      </c>
      <c r="C95" s="564" t="s">
        <v>211</v>
      </c>
      <c r="D95" s="492">
        <v>669</v>
      </c>
      <c r="E95" s="565">
        <v>88</v>
      </c>
      <c r="F95" s="481">
        <v>275</v>
      </c>
      <c r="G95" s="477">
        <v>8250</v>
      </c>
      <c r="H95" s="552"/>
      <c r="I95" s="477"/>
    </row>
    <row r="96" spans="1:9" x14ac:dyDescent="0.25">
      <c r="A96" s="445">
        <v>83</v>
      </c>
      <c r="B96" s="529" t="s">
        <v>212</v>
      </c>
      <c r="C96" s="564" t="s">
        <v>213</v>
      </c>
      <c r="D96" s="492">
        <v>1459</v>
      </c>
      <c r="E96" s="565">
        <v>88</v>
      </c>
      <c r="F96" s="481"/>
      <c r="G96" s="477"/>
      <c r="H96" s="552"/>
      <c r="I96" s="477"/>
    </row>
    <row r="97" spans="1:9" x14ac:dyDescent="0.25">
      <c r="A97" s="445">
        <v>84</v>
      </c>
      <c r="B97" s="529" t="s">
        <v>214</v>
      </c>
      <c r="C97" s="564" t="s">
        <v>215</v>
      </c>
      <c r="D97" s="492"/>
      <c r="E97" s="565"/>
      <c r="F97" s="481"/>
      <c r="G97" s="477"/>
      <c r="H97" s="552"/>
      <c r="I97" s="477"/>
    </row>
    <row r="98" spans="1:9" x14ac:dyDescent="0.25">
      <c r="A98" s="445">
        <v>85</v>
      </c>
      <c r="B98" s="553" t="s">
        <v>216</v>
      </c>
      <c r="C98" s="564" t="s">
        <v>217</v>
      </c>
      <c r="D98" s="492"/>
      <c r="E98" s="565"/>
      <c r="F98" s="481"/>
      <c r="G98" s="477"/>
      <c r="H98" s="552"/>
      <c r="I98" s="477"/>
    </row>
    <row r="99" spans="1:9" x14ac:dyDescent="0.25">
      <c r="A99" s="445">
        <v>86</v>
      </c>
      <c r="B99" s="550" t="s">
        <v>218</v>
      </c>
      <c r="C99" s="564" t="s">
        <v>219</v>
      </c>
      <c r="D99" s="492"/>
      <c r="E99" s="565"/>
      <c r="F99" s="481"/>
      <c r="G99" s="477"/>
      <c r="H99" s="552"/>
      <c r="I99" s="477"/>
    </row>
    <row r="100" spans="1:9" x14ac:dyDescent="0.25">
      <c r="A100" s="445">
        <v>88</v>
      </c>
      <c r="B100" s="550" t="s">
        <v>220</v>
      </c>
      <c r="C100" s="564" t="s">
        <v>221</v>
      </c>
      <c r="D100" s="492">
        <v>669</v>
      </c>
      <c r="E100" s="565"/>
      <c r="F100" s="481"/>
      <c r="G100" s="477"/>
      <c r="H100" s="552"/>
      <c r="I100" s="477"/>
    </row>
    <row r="101" spans="1:9" x14ac:dyDescent="0.25">
      <c r="A101" s="445">
        <v>89</v>
      </c>
      <c r="B101" s="529" t="s">
        <v>222</v>
      </c>
      <c r="C101" s="564" t="s">
        <v>223</v>
      </c>
      <c r="D101" s="492">
        <v>1280</v>
      </c>
      <c r="E101" s="565">
        <v>110</v>
      </c>
      <c r="F101" s="481">
        <v>363</v>
      </c>
      <c r="G101" s="477">
        <v>10890</v>
      </c>
      <c r="H101" s="552"/>
      <c r="I101" s="477"/>
    </row>
    <row r="102" spans="1:9" x14ac:dyDescent="0.25">
      <c r="A102" s="445">
        <v>90</v>
      </c>
      <c r="B102" s="550" t="s">
        <v>224</v>
      </c>
      <c r="C102" s="564" t="s">
        <v>225</v>
      </c>
      <c r="D102" s="492"/>
      <c r="E102" s="565"/>
      <c r="F102" s="481"/>
      <c r="G102" s="477"/>
      <c r="H102" s="552"/>
      <c r="I102" s="477"/>
    </row>
    <row r="103" spans="1:9" x14ac:dyDescent="0.25">
      <c r="A103" s="445">
        <v>91</v>
      </c>
      <c r="B103" s="550" t="s">
        <v>226</v>
      </c>
      <c r="C103" s="564" t="s">
        <v>227</v>
      </c>
      <c r="D103" s="492"/>
      <c r="E103" s="565"/>
      <c r="F103" s="481"/>
      <c r="G103" s="477"/>
      <c r="H103" s="552"/>
      <c r="I103" s="477"/>
    </row>
    <row r="104" spans="1:9" x14ac:dyDescent="0.25">
      <c r="A104" s="445">
        <v>92</v>
      </c>
      <c r="B104" s="553" t="s">
        <v>32</v>
      </c>
      <c r="C104" s="564" t="s">
        <v>33</v>
      </c>
      <c r="D104" s="492"/>
      <c r="E104" s="565"/>
      <c r="F104" s="481"/>
      <c r="G104" s="477"/>
      <c r="H104" s="552"/>
      <c r="I104" s="477"/>
    </row>
    <row r="105" spans="1:9" x14ac:dyDescent="0.25">
      <c r="A105" s="445">
        <v>93</v>
      </c>
      <c r="B105" s="529" t="s">
        <v>228</v>
      </c>
      <c r="C105" s="564" t="s">
        <v>229</v>
      </c>
      <c r="D105" s="492"/>
      <c r="E105" s="565"/>
      <c r="F105" s="481"/>
      <c r="G105" s="477"/>
      <c r="H105" s="552"/>
      <c r="I105" s="477"/>
    </row>
    <row r="106" spans="1:9" x14ac:dyDescent="0.25">
      <c r="A106" s="445">
        <v>94</v>
      </c>
      <c r="B106" s="550" t="s">
        <v>230</v>
      </c>
      <c r="C106" s="564" t="s">
        <v>231</v>
      </c>
      <c r="D106" s="492"/>
      <c r="E106" s="565"/>
      <c r="F106" s="481"/>
      <c r="G106" s="477"/>
      <c r="H106" s="552"/>
      <c r="I106" s="477"/>
    </row>
    <row r="107" spans="1:9" x14ac:dyDescent="0.25">
      <c r="A107" s="445">
        <v>96</v>
      </c>
      <c r="B107" s="550" t="s">
        <v>232</v>
      </c>
      <c r="C107" s="564" t="s">
        <v>233</v>
      </c>
      <c r="D107" s="492"/>
      <c r="E107" s="565"/>
      <c r="F107" s="481"/>
      <c r="G107" s="477"/>
      <c r="H107" s="552"/>
      <c r="I107" s="477"/>
    </row>
    <row r="108" spans="1:9" x14ac:dyDescent="0.25">
      <c r="A108" s="445">
        <v>98</v>
      </c>
      <c r="B108" s="550" t="s">
        <v>234</v>
      </c>
      <c r="C108" s="564" t="s">
        <v>235</v>
      </c>
      <c r="D108" s="492"/>
      <c r="E108" s="565"/>
      <c r="F108" s="481"/>
      <c r="G108" s="477"/>
      <c r="H108" s="552"/>
      <c r="I108" s="477"/>
    </row>
    <row r="109" spans="1:9" x14ac:dyDescent="0.25">
      <c r="A109" s="445">
        <v>99</v>
      </c>
      <c r="B109" s="529" t="s">
        <v>236</v>
      </c>
      <c r="C109" s="564" t="s">
        <v>237</v>
      </c>
      <c r="D109" s="492"/>
      <c r="E109" s="565"/>
      <c r="F109" s="481"/>
      <c r="G109" s="477"/>
      <c r="H109" s="552"/>
      <c r="I109" s="477"/>
    </row>
    <row r="110" spans="1:9" x14ac:dyDescent="0.25">
      <c r="A110" s="445">
        <v>100</v>
      </c>
      <c r="B110" s="529" t="s">
        <v>238</v>
      </c>
      <c r="C110" s="564" t="s">
        <v>239</v>
      </c>
      <c r="D110" s="492"/>
      <c r="E110" s="565"/>
      <c r="F110" s="481"/>
      <c r="G110" s="477"/>
      <c r="H110" s="552"/>
      <c r="I110" s="477"/>
    </row>
    <row r="111" spans="1:9" ht="15" customHeight="1" x14ac:dyDescent="0.25">
      <c r="A111" s="445">
        <v>101</v>
      </c>
      <c r="B111" s="529" t="s">
        <v>240</v>
      </c>
      <c r="C111" s="564" t="s">
        <v>241</v>
      </c>
      <c r="D111" s="492"/>
      <c r="E111" s="565"/>
      <c r="F111" s="481"/>
      <c r="G111" s="477"/>
      <c r="H111" s="552"/>
      <c r="I111" s="477"/>
    </row>
    <row r="112" spans="1:9" x14ac:dyDescent="0.25">
      <c r="A112" s="445">
        <v>102</v>
      </c>
      <c r="B112" s="529" t="s">
        <v>242</v>
      </c>
      <c r="C112" s="564" t="s">
        <v>243</v>
      </c>
      <c r="D112" s="492"/>
      <c r="E112" s="565"/>
      <c r="F112" s="481"/>
      <c r="G112" s="477"/>
      <c r="H112" s="552"/>
      <c r="I112" s="477"/>
    </row>
    <row r="113" spans="1:9" x14ac:dyDescent="0.25">
      <c r="A113" s="445">
        <v>103</v>
      </c>
      <c r="B113" s="529" t="s">
        <v>244</v>
      </c>
      <c r="C113" s="564" t="s">
        <v>245</v>
      </c>
      <c r="D113" s="492"/>
      <c r="E113" s="565"/>
      <c r="F113" s="481"/>
      <c r="G113" s="477"/>
      <c r="H113" s="552"/>
      <c r="I113" s="477"/>
    </row>
    <row r="114" spans="1:9" x14ac:dyDescent="0.25">
      <c r="A114" s="445">
        <v>104</v>
      </c>
      <c r="B114" s="490" t="s">
        <v>246</v>
      </c>
      <c r="C114" s="422" t="s">
        <v>247</v>
      </c>
      <c r="D114" s="492"/>
      <c r="E114" s="565"/>
      <c r="F114" s="481"/>
      <c r="G114" s="477"/>
      <c r="H114" s="552"/>
      <c r="I114" s="477"/>
    </row>
    <row r="115" spans="1:9" x14ac:dyDescent="0.25">
      <c r="A115" s="445">
        <v>105</v>
      </c>
      <c r="B115" s="553" t="s">
        <v>248</v>
      </c>
      <c r="C115" s="564" t="s">
        <v>249</v>
      </c>
      <c r="D115" s="492"/>
      <c r="E115" s="565"/>
      <c r="F115" s="481"/>
      <c r="G115" s="477"/>
      <c r="H115" s="552"/>
      <c r="I115" s="477"/>
    </row>
    <row r="116" spans="1:9" x14ac:dyDescent="0.25">
      <c r="A116" s="445">
        <v>106</v>
      </c>
      <c r="B116" s="529" t="s">
        <v>250</v>
      </c>
      <c r="C116" s="564" t="s">
        <v>251</v>
      </c>
      <c r="D116" s="492"/>
      <c r="E116" s="565"/>
      <c r="F116" s="481"/>
      <c r="G116" s="477"/>
      <c r="H116" s="552"/>
      <c r="I116" s="477"/>
    </row>
    <row r="117" spans="1:9" x14ac:dyDescent="0.25">
      <c r="A117" s="445">
        <v>107</v>
      </c>
      <c r="B117" s="550" t="s">
        <v>252</v>
      </c>
      <c r="C117" s="569" t="s">
        <v>253</v>
      </c>
      <c r="D117" s="492"/>
      <c r="E117" s="565"/>
      <c r="F117" s="481"/>
      <c r="G117" s="477"/>
      <c r="H117" s="552"/>
      <c r="I117" s="477"/>
    </row>
    <row r="118" spans="1:9" x14ac:dyDescent="0.25">
      <c r="A118" s="445">
        <v>108</v>
      </c>
      <c r="B118" s="529" t="s">
        <v>254</v>
      </c>
      <c r="C118" s="564" t="s">
        <v>255</v>
      </c>
      <c r="D118" s="492"/>
      <c r="E118" s="565"/>
      <c r="F118" s="481"/>
      <c r="G118" s="477"/>
      <c r="H118" s="552"/>
      <c r="I118" s="477"/>
    </row>
    <row r="119" spans="1:9" x14ac:dyDescent="0.25">
      <c r="A119" s="445">
        <v>109</v>
      </c>
      <c r="B119" s="553" t="s">
        <v>256</v>
      </c>
      <c r="C119" s="564" t="s">
        <v>257</v>
      </c>
      <c r="D119" s="492"/>
      <c r="E119" s="565"/>
      <c r="F119" s="481"/>
      <c r="G119" s="477"/>
      <c r="H119" s="552"/>
      <c r="I119" s="477"/>
    </row>
    <row r="120" spans="1:9" x14ac:dyDescent="0.25">
      <c r="A120" s="445">
        <v>110</v>
      </c>
      <c r="B120" s="550" t="s">
        <v>258</v>
      </c>
      <c r="C120" s="564" t="s">
        <v>259</v>
      </c>
      <c r="D120" s="492"/>
      <c r="E120" s="565"/>
      <c r="F120" s="481"/>
      <c r="G120" s="477"/>
      <c r="H120" s="552"/>
      <c r="I120" s="477"/>
    </row>
    <row r="121" spans="1:9" x14ac:dyDescent="0.25">
      <c r="A121" s="445">
        <v>111</v>
      </c>
      <c r="B121" s="529" t="s">
        <v>551</v>
      </c>
      <c r="C121" s="495" t="s">
        <v>552</v>
      </c>
      <c r="D121" s="492"/>
      <c r="E121" s="565"/>
      <c r="F121" s="481"/>
      <c r="G121" s="477"/>
      <c r="H121" s="552"/>
      <c r="I121" s="477"/>
    </row>
    <row r="122" spans="1:9" x14ac:dyDescent="0.25">
      <c r="A122" s="445">
        <v>112</v>
      </c>
      <c r="B122" s="553" t="s">
        <v>260</v>
      </c>
      <c r="C122" s="564" t="s">
        <v>261</v>
      </c>
      <c r="D122" s="492"/>
      <c r="E122" s="565"/>
      <c r="F122" s="481"/>
      <c r="G122" s="477"/>
      <c r="H122" s="552"/>
      <c r="I122" s="477"/>
    </row>
    <row r="123" spans="1:9" x14ac:dyDescent="0.25">
      <c r="A123" s="445">
        <v>113</v>
      </c>
      <c r="B123" s="529" t="s">
        <v>262</v>
      </c>
      <c r="C123" s="564" t="s">
        <v>263</v>
      </c>
      <c r="D123" s="492"/>
      <c r="E123" s="565"/>
      <c r="F123" s="481"/>
      <c r="G123" s="477"/>
      <c r="H123" s="552"/>
      <c r="I123" s="477"/>
    </row>
    <row r="124" spans="1:9" ht="25.5" x14ac:dyDescent="0.25">
      <c r="A124" s="445">
        <v>114</v>
      </c>
      <c r="B124" s="529" t="s">
        <v>264</v>
      </c>
      <c r="C124" s="570" t="s">
        <v>265</v>
      </c>
      <c r="D124" s="492"/>
      <c r="E124" s="565"/>
      <c r="F124" s="481"/>
      <c r="G124" s="477"/>
      <c r="H124" s="552"/>
      <c r="I124" s="477"/>
    </row>
    <row r="125" spans="1:9" x14ac:dyDescent="0.25">
      <c r="A125" s="445">
        <v>115</v>
      </c>
      <c r="B125" s="529" t="s">
        <v>266</v>
      </c>
      <c r="C125" s="564" t="s">
        <v>267</v>
      </c>
      <c r="D125" s="492"/>
      <c r="E125" s="565"/>
      <c r="F125" s="481"/>
      <c r="G125" s="477"/>
      <c r="H125" s="552"/>
      <c r="I125" s="477"/>
    </row>
    <row r="126" spans="1:9" x14ac:dyDescent="0.25">
      <c r="A126" s="445">
        <v>116</v>
      </c>
      <c r="B126" s="529" t="s">
        <v>268</v>
      </c>
      <c r="C126" s="564" t="s">
        <v>269</v>
      </c>
      <c r="D126" s="492"/>
      <c r="E126" s="565"/>
      <c r="F126" s="481"/>
      <c r="G126" s="477"/>
      <c r="H126" s="552"/>
      <c r="I126" s="477"/>
    </row>
    <row r="127" spans="1:9" x14ac:dyDescent="0.25">
      <c r="A127" s="445">
        <v>117</v>
      </c>
      <c r="B127" s="529" t="s">
        <v>270</v>
      </c>
      <c r="C127" s="564" t="s">
        <v>271</v>
      </c>
      <c r="D127" s="492"/>
      <c r="E127" s="565"/>
      <c r="F127" s="481"/>
      <c r="G127" s="477"/>
      <c r="H127" s="552"/>
      <c r="I127" s="477"/>
    </row>
    <row r="128" spans="1:9" x14ac:dyDescent="0.25">
      <c r="A128" s="445">
        <v>118</v>
      </c>
      <c r="B128" s="550" t="s">
        <v>272</v>
      </c>
      <c r="C128" s="564" t="s">
        <v>273</v>
      </c>
      <c r="D128" s="492"/>
      <c r="E128" s="565"/>
      <c r="F128" s="481"/>
      <c r="G128" s="477"/>
      <c r="H128" s="552"/>
      <c r="I128" s="477"/>
    </row>
    <row r="129" spans="1:9" x14ac:dyDescent="0.25">
      <c r="A129" s="445">
        <v>119</v>
      </c>
      <c r="B129" s="550" t="s">
        <v>274</v>
      </c>
      <c r="C129" s="564" t="s">
        <v>275</v>
      </c>
      <c r="D129" s="492"/>
      <c r="E129" s="565"/>
      <c r="F129" s="481"/>
      <c r="G129" s="477"/>
      <c r="H129" s="552"/>
      <c r="I129" s="477"/>
    </row>
    <row r="130" spans="1:9" x14ac:dyDescent="0.25">
      <c r="A130" s="445">
        <v>120</v>
      </c>
      <c r="B130" s="550" t="s">
        <v>276</v>
      </c>
      <c r="C130" s="564" t="s">
        <v>277</v>
      </c>
      <c r="D130" s="492"/>
      <c r="E130" s="565"/>
      <c r="F130" s="481"/>
      <c r="G130" s="477"/>
      <c r="H130" s="552"/>
      <c r="I130" s="477"/>
    </row>
    <row r="131" spans="1:9" x14ac:dyDescent="0.25">
      <c r="A131" s="445">
        <v>121</v>
      </c>
      <c r="B131" s="529" t="s">
        <v>278</v>
      </c>
      <c r="C131" s="564" t="s">
        <v>279</v>
      </c>
      <c r="D131" s="492"/>
      <c r="E131" s="565"/>
      <c r="F131" s="481"/>
      <c r="G131" s="477"/>
      <c r="H131" s="552"/>
      <c r="I131" s="477"/>
    </row>
    <row r="132" spans="1:9" x14ac:dyDescent="0.25">
      <c r="A132" s="445">
        <v>122</v>
      </c>
      <c r="B132" s="529" t="s">
        <v>280</v>
      </c>
      <c r="C132" s="564" t="s">
        <v>281</v>
      </c>
      <c r="D132" s="492"/>
      <c r="E132" s="565"/>
      <c r="F132" s="481"/>
      <c r="G132" s="477"/>
      <c r="H132" s="552"/>
      <c r="I132" s="477"/>
    </row>
    <row r="133" spans="1:9" x14ac:dyDescent="0.25">
      <c r="A133" s="445">
        <v>123</v>
      </c>
      <c r="B133" s="529" t="s">
        <v>282</v>
      </c>
      <c r="C133" s="564" t="s">
        <v>783</v>
      </c>
      <c r="D133" s="492"/>
      <c r="E133" s="565"/>
      <c r="F133" s="481"/>
      <c r="G133" s="477"/>
      <c r="H133" s="552"/>
      <c r="I133" s="477"/>
    </row>
    <row r="134" spans="1:9" x14ac:dyDescent="0.25">
      <c r="A134" s="445">
        <v>124</v>
      </c>
      <c r="B134" s="550" t="s">
        <v>283</v>
      </c>
      <c r="C134" s="564" t="s">
        <v>284</v>
      </c>
      <c r="D134" s="492"/>
      <c r="E134" s="565"/>
      <c r="F134" s="481"/>
      <c r="G134" s="477"/>
      <c r="H134" s="552"/>
      <c r="I134" s="477"/>
    </row>
    <row r="135" spans="1:9" ht="24" customHeight="1" x14ac:dyDescent="0.25">
      <c r="A135" s="445">
        <v>125</v>
      </c>
      <c r="B135" s="553" t="s">
        <v>285</v>
      </c>
      <c r="C135" s="564" t="s">
        <v>737</v>
      </c>
      <c r="D135" s="492"/>
      <c r="E135" s="565"/>
      <c r="F135" s="481"/>
      <c r="G135" s="477"/>
      <c r="H135" s="552"/>
      <c r="I135" s="477"/>
    </row>
    <row r="136" spans="1:9" x14ac:dyDescent="0.25">
      <c r="A136" s="445">
        <v>126</v>
      </c>
      <c r="B136" s="529" t="s">
        <v>286</v>
      </c>
      <c r="C136" s="564" t="s">
        <v>287</v>
      </c>
      <c r="D136" s="492"/>
      <c r="E136" s="565"/>
      <c r="F136" s="481"/>
      <c r="G136" s="477"/>
      <c r="H136" s="552"/>
      <c r="I136" s="477"/>
    </row>
    <row r="137" spans="1:9" x14ac:dyDescent="0.25">
      <c r="A137" s="445">
        <v>127</v>
      </c>
      <c r="B137" s="550" t="s">
        <v>288</v>
      </c>
      <c r="C137" s="564" t="s">
        <v>289</v>
      </c>
      <c r="D137" s="492"/>
      <c r="E137" s="565"/>
      <c r="F137" s="481"/>
      <c r="G137" s="477"/>
      <c r="H137" s="552"/>
      <c r="I137" s="477"/>
    </row>
    <row r="138" spans="1:9" x14ac:dyDescent="0.25">
      <c r="A138" s="445">
        <v>128</v>
      </c>
      <c r="B138" s="529" t="s">
        <v>290</v>
      </c>
      <c r="C138" s="564" t="s">
        <v>291</v>
      </c>
      <c r="D138" s="492"/>
      <c r="E138" s="565"/>
      <c r="F138" s="481"/>
      <c r="G138" s="477"/>
      <c r="H138" s="552"/>
      <c r="I138" s="477"/>
    </row>
    <row r="139" spans="1:9" x14ac:dyDescent="0.25">
      <c r="A139" s="445">
        <v>129</v>
      </c>
      <c r="B139" s="555" t="s">
        <v>292</v>
      </c>
      <c r="C139" s="571" t="s">
        <v>293</v>
      </c>
      <c r="D139" s="492"/>
      <c r="E139" s="565"/>
      <c r="F139" s="481"/>
      <c r="G139" s="477"/>
      <c r="H139" s="552"/>
      <c r="I139" s="477"/>
    </row>
    <row r="140" spans="1:9" x14ac:dyDescent="0.25">
      <c r="A140" s="445">
        <v>130</v>
      </c>
      <c r="B140" s="556" t="s">
        <v>294</v>
      </c>
      <c r="C140" s="571" t="s">
        <v>295</v>
      </c>
      <c r="D140" s="572">
        <v>26100</v>
      </c>
      <c r="E140" s="477">
        <v>4350</v>
      </c>
      <c r="F140" s="552">
        <v>2363</v>
      </c>
      <c r="G140" s="477">
        <v>75600</v>
      </c>
      <c r="H140" s="552">
        <v>2820</v>
      </c>
      <c r="I140" s="477">
        <v>59210</v>
      </c>
    </row>
    <row r="141" spans="1:9" x14ac:dyDescent="0.25">
      <c r="A141" s="445">
        <v>131</v>
      </c>
      <c r="B141" s="573" t="s">
        <v>296</v>
      </c>
      <c r="C141" s="501" t="s">
        <v>462</v>
      </c>
      <c r="D141" s="481"/>
      <c r="E141" s="574"/>
      <c r="F141" s="492"/>
      <c r="G141" s="477"/>
      <c r="H141" s="552"/>
      <c r="I141" s="477"/>
    </row>
    <row r="142" spans="1:9" x14ac:dyDescent="0.25">
      <c r="A142" s="445">
        <v>132</v>
      </c>
      <c r="B142" s="502" t="s">
        <v>298</v>
      </c>
      <c r="C142" s="557" t="s">
        <v>299</v>
      </c>
      <c r="D142" s="481"/>
      <c r="E142" s="574"/>
      <c r="F142" s="492"/>
      <c r="G142" s="477"/>
      <c r="H142" s="552"/>
      <c r="I142" s="477"/>
    </row>
    <row r="143" spans="1:9" x14ac:dyDescent="0.25">
      <c r="A143" s="445">
        <v>133</v>
      </c>
      <c r="B143" s="438" t="s">
        <v>300</v>
      </c>
      <c r="C143" s="557" t="s">
        <v>301</v>
      </c>
      <c r="D143" s="481"/>
      <c r="E143" s="574"/>
      <c r="F143" s="492"/>
      <c r="G143" s="477"/>
      <c r="H143" s="552"/>
      <c r="I143" s="477"/>
    </row>
    <row r="144" spans="1:9" x14ac:dyDescent="0.25">
      <c r="A144" s="445">
        <v>134</v>
      </c>
      <c r="B144" s="438" t="s">
        <v>302</v>
      </c>
      <c r="C144" s="557" t="s">
        <v>303</v>
      </c>
      <c r="D144" s="481"/>
      <c r="E144" s="574"/>
      <c r="F144" s="492"/>
      <c r="G144" s="477"/>
      <c r="H144" s="552"/>
      <c r="I144" s="477"/>
    </row>
    <row r="145" spans="1:9" ht="15.75" thickBot="1" x14ac:dyDescent="0.3">
      <c r="A145" s="426">
        <v>135</v>
      </c>
      <c r="B145" s="505" t="s">
        <v>304</v>
      </c>
      <c r="C145" s="506" t="s">
        <v>305</v>
      </c>
      <c r="D145" s="507"/>
      <c r="E145" s="508"/>
      <c r="F145" s="575"/>
      <c r="G145" s="508"/>
      <c r="H145" s="560"/>
      <c r="I145" s="5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390" customWidth="1"/>
    <col min="2" max="4" width="22.28515625" style="376" customWidth="1"/>
    <col min="5" max="16384" width="9.140625" style="376"/>
  </cols>
  <sheetData>
    <row r="1" spans="1:4" ht="59.25" customHeight="1" x14ac:dyDescent="0.25">
      <c r="A1" s="870" t="s">
        <v>657</v>
      </c>
      <c r="B1" s="870"/>
      <c r="C1" s="870"/>
      <c r="D1" s="870"/>
    </row>
    <row r="2" spans="1:4" ht="18.75" customHeight="1" x14ac:dyDescent="0.25">
      <c r="A2" s="377"/>
      <c r="B2" s="377"/>
      <c r="C2" s="377"/>
    </row>
    <row r="3" spans="1:4" s="380" customFormat="1" ht="45" customHeight="1" x14ac:dyDescent="0.25">
      <c r="A3" s="378" t="s">
        <v>614</v>
      </c>
      <c r="B3" s="378" t="s">
        <v>615</v>
      </c>
      <c r="C3" s="379" t="s">
        <v>291</v>
      </c>
      <c r="D3" s="379" t="s">
        <v>15</v>
      </c>
    </row>
    <row r="4" spans="1:4" s="380" customFormat="1" ht="18.75" customHeight="1" x14ac:dyDescent="0.25">
      <c r="A4" s="381" t="s">
        <v>637</v>
      </c>
      <c r="B4" s="381"/>
      <c r="C4" s="382"/>
      <c r="D4" s="391"/>
    </row>
    <row r="5" spans="1:4" s="380" customFormat="1" ht="14.25" customHeight="1" x14ac:dyDescent="0.25">
      <c r="A5" s="381">
        <v>25</v>
      </c>
      <c r="B5" s="382"/>
      <c r="C5" s="382">
        <v>50</v>
      </c>
      <c r="D5" s="392">
        <f>B5+C5</f>
        <v>50</v>
      </c>
    </row>
    <row r="6" spans="1:4" s="380" customFormat="1" ht="14.25" customHeight="1" x14ac:dyDescent="0.25">
      <c r="A6" s="381">
        <v>26</v>
      </c>
      <c r="B6" s="382">
        <v>99</v>
      </c>
      <c r="C6" s="382">
        <v>60</v>
      </c>
      <c r="D6" s="392">
        <f>B6+C6</f>
        <v>159</v>
      </c>
    </row>
    <row r="7" spans="1:4" s="380" customFormat="1" ht="14.25" customHeight="1" x14ac:dyDescent="0.25">
      <c r="A7" s="381">
        <v>27</v>
      </c>
      <c r="B7" s="382">
        <v>10</v>
      </c>
      <c r="C7" s="383"/>
      <c r="D7" s="392">
        <f>B7+C7</f>
        <v>10</v>
      </c>
    </row>
    <row r="8" spans="1:4" s="380" customFormat="1" ht="18.75" customHeight="1" x14ac:dyDescent="0.25">
      <c r="A8" s="384" t="s">
        <v>44</v>
      </c>
      <c r="B8" s="385">
        <f>SUM(B5:B7)</f>
        <v>109</v>
      </c>
      <c r="C8" s="385">
        <f t="shared" ref="C8:D8" si="0">SUM(C5:C7)</f>
        <v>110</v>
      </c>
      <c r="D8" s="385">
        <f t="shared" si="0"/>
        <v>219</v>
      </c>
    </row>
    <row r="9" spans="1:4" s="387" customFormat="1" ht="15.75" x14ac:dyDescent="0.25">
      <c r="A9" s="386"/>
    </row>
    <row r="10" spans="1:4" s="389" customFormat="1" ht="15.75" x14ac:dyDescent="0.25">
      <c r="A10" s="388"/>
    </row>
    <row r="11" spans="1:4" s="389" customFormat="1" ht="15.75" x14ac:dyDescent="0.25">
      <c r="A11" s="388"/>
    </row>
    <row r="12" spans="1:4" s="389" customFormat="1" ht="15.75" x14ac:dyDescent="0.25">
      <c r="A12" s="388"/>
    </row>
    <row r="13" spans="1:4" s="389" customFormat="1" ht="15.75" x14ac:dyDescent="0.25">
      <c r="A13" s="388"/>
    </row>
    <row r="14" spans="1:4" s="389" customFormat="1" ht="15.75" x14ac:dyDescent="0.25">
      <c r="A14" s="388"/>
    </row>
    <row r="15" spans="1:4" s="389" customFormat="1" ht="15.75" x14ac:dyDescent="0.25">
      <c r="A15" s="388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N144" sqref="N144"/>
    </sheetView>
  </sheetViews>
  <sheetFormatPr defaultRowHeight="15" x14ac:dyDescent="0.25"/>
  <cols>
    <col min="1" max="1" width="5.42578125" style="120" customWidth="1"/>
    <col min="2" max="2" width="9.140625" style="120"/>
    <col min="3" max="3" width="36.140625" style="120" customWidth="1"/>
    <col min="4" max="5" width="16.140625" style="120" customWidth="1"/>
    <col min="6" max="6" width="13.7109375" style="120" customWidth="1"/>
    <col min="7" max="7" width="15.42578125" style="120" customWidth="1"/>
    <col min="8" max="8" width="14.42578125" style="120" customWidth="1"/>
    <col min="9" max="9" width="14.28515625" style="120" customWidth="1"/>
    <col min="10" max="10" width="14.7109375" style="120" customWidth="1"/>
    <col min="11" max="11" width="14.42578125" style="120" customWidth="1"/>
    <col min="12" max="16384" width="9.140625" style="120"/>
  </cols>
  <sheetData>
    <row r="1" spans="1:11" ht="44.25" customHeight="1" x14ac:dyDescent="0.25">
      <c r="A1" s="1227" t="s">
        <v>719</v>
      </c>
      <c r="B1" s="1263"/>
      <c r="C1" s="1263"/>
      <c r="D1" s="1263"/>
      <c r="E1" s="1263"/>
      <c r="F1" s="1263"/>
      <c r="G1" s="1263"/>
      <c r="H1" s="1263"/>
      <c r="I1" s="1263"/>
      <c r="J1" s="1263"/>
      <c r="K1" s="1263"/>
    </row>
    <row r="2" spans="1:11" ht="15.75" thickBot="1" x14ac:dyDescent="0.3">
      <c r="A2" s="511"/>
      <c r="B2" s="511"/>
      <c r="C2" s="512"/>
      <c r="D2" s="513"/>
      <c r="E2" s="513"/>
      <c r="F2" s="514"/>
      <c r="G2" s="513"/>
      <c r="H2" s="576"/>
      <c r="I2" s="513"/>
      <c r="J2" s="576"/>
      <c r="K2" s="513"/>
    </row>
    <row r="3" spans="1:11" x14ac:dyDescent="0.25">
      <c r="A3" s="1265" t="s">
        <v>0</v>
      </c>
      <c r="B3" s="1268" t="s">
        <v>702</v>
      </c>
      <c r="C3" s="1271" t="s">
        <v>2</v>
      </c>
      <c r="D3" s="1297" t="s">
        <v>712</v>
      </c>
      <c r="E3" s="1342"/>
      <c r="F3" s="1342"/>
      <c r="G3" s="1314"/>
      <c r="H3" s="1297" t="s">
        <v>720</v>
      </c>
      <c r="I3" s="1327"/>
      <c r="J3" s="1297" t="s">
        <v>721</v>
      </c>
      <c r="K3" s="1327"/>
    </row>
    <row r="4" spans="1:11" x14ac:dyDescent="0.25">
      <c r="A4" s="1266"/>
      <c r="B4" s="1269"/>
      <c r="C4" s="1272"/>
      <c r="D4" s="1325"/>
      <c r="E4" s="1343"/>
      <c r="F4" s="1343"/>
      <c r="G4" s="1326"/>
      <c r="H4" s="1325"/>
      <c r="I4" s="1328"/>
      <c r="J4" s="1325"/>
      <c r="K4" s="1328"/>
    </row>
    <row r="5" spans="1:11" ht="23.25" customHeight="1" x14ac:dyDescent="0.25">
      <c r="A5" s="1266"/>
      <c r="B5" s="1269"/>
      <c r="C5" s="1272"/>
      <c r="D5" s="1344" t="s">
        <v>442</v>
      </c>
      <c r="E5" s="1345" t="s">
        <v>722</v>
      </c>
      <c r="F5" s="1347" t="s">
        <v>716</v>
      </c>
      <c r="G5" s="1338" t="s">
        <v>706</v>
      </c>
      <c r="H5" s="1332" t="s">
        <v>723</v>
      </c>
      <c r="I5" s="1340" t="s">
        <v>708</v>
      </c>
      <c r="J5" s="1278" t="s">
        <v>709</v>
      </c>
      <c r="K5" s="1341" t="s">
        <v>710</v>
      </c>
    </row>
    <row r="6" spans="1:11" ht="19.5" customHeight="1" thickBot="1" x14ac:dyDescent="0.3">
      <c r="A6" s="1267"/>
      <c r="B6" s="1270"/>
      <c r="C6" s="1273"/>
      <c r="D6" s="1333"/>
      <c r="E6" s="1346"/>
      <c r="F6" s="1346"/>
      <c r="G6" s="1339"/>
      <c r="H6" s="1333"/>
      <c r="I6" s="1334"/>
      <c r="J6" s="1333"/>
      <c r="K6" s="1334"/>
    </row>
    <row r="7" spans="1:11" x14ac:dyDescent="0.25">
      <c r="A7" s="1285" t="s">
        <v>44</v>
      </c>
      <c r="B7" s="1286"/>
      <c r="C7" s="1287"/>
      <c r="D7" s="562">
        <f t="shared" ref="D7:K7" si="0">SUM(D8:D145)-D92</f>
        <v>639440</v>
      </c>
      <c r="E7" s="517">
        <f t="shared" si="0"/>
        <v>99924</v>
      </c>
      <c r="F7" s="517">
        <f t="shared" si="0"/>
        <v>739364</v>
      </c>
      <c r="G7" s="577">
        <f t="shared" si="0"/>
        <v>188557</v>
      </c>
      <c r="H7" s="563">
        <f t="shared" si="0"/>
        <v>5657</v>
      </c>
      <c r="I7" s="578">
        <f t="shared" si="0"/>
        <v>525590</v>
      </c>
      <c r="J7" s="562">
        <f t="shared" si="0"/>
        <v>799</v>
      </c>
      <c r="K7" s="518">
        <f t="shared" si="0"/>
        <v>41540</v>
      </c>
    </row>
    <row r="8" spans="1:11" x14ac:dyDescent="0.25">
      <c r="A8" s="471">
        <v>1</v>
      </c>
      <c r="B8" s="550" t="s">
        <v>54</v>
      </c>
      <c r="C8" s="564" t="s">
        <v>55</v>
      </c>
      <c r="D8" s="521">
        <v>2850</v>
      </c>
      <c r="E8" s="522"/>
      <c r="F8" s="517">
        <f>D8+E8</f>
        <v>2850</v>
      </c>
      <c r="G8" s="538">
        <v>475</v>
      </c>
      <c r="H8" s="579"/>
      <c r="I8" s="551"/>
      <c r="J8" s="580"/>
      <c r="K8" s="538"/>
    </row>
    <row r="9" spans="1:11" x14ac:dyDescent="0.25">
      <c r="A9" s="471">
        <v>2</v>
      </c>
      <c r="B9" s="553" t="s">
        <v>56</v>
      </c>
      <c r="C9" s="564" t="s">
        <v>57</v>
      </c>
      <c r="D9" s="521">
        <v>5458</v>
      </c>
      <c r="E9" s="522"/>
      <c r="F9" s="517">
        <f t="shared" ref="F9:F59" si="1">D9+E9</f>
        <v>5458</v>
      </c>
      <c r="G9" s="538">
        <v>912</v>
      </c>
      <c r="H9" s="579"/>
      <c r="I9" s="551"/>
      <c r="J9" s="580"/>
      <c r="K9" s="538"/>
    </row>
    <row r="10" spans="1:11" x14ac:dyDescent="0.25">
      <c r="A10" s="471">
        <v>3</v>
      </c>
      <c r="B10" s="529" t="s">
        <v>16</v>
      </c>
      <c r="C10" s="564" t="s">
        <v>17</v>
      </c>
      <c r="D10" s="521"/>
      <c r="E10" s="522"/>
      <c r="F10" s="517"/>
      <c r="G10" s="538"/>
      <c r="H10" s="579"/>
      <c r="I10" s="551"/>
      <c r="J10" s="580"/>
      <c r="K10" s="538"/>
    </row>
    <row r="11" spans="1:11" x14ac:dyDescent="0.25">
      <c r="A11" s="471">
        <v>4</v>
      </c>
      <c r="B11" s="550" t="s">
        <v>58</v>
      </c>
      <c r="C11" s="564" t="s">
        <v>59</v>
      </c>
      <c r="D11" s="521">
        <v>2250</v>
      </c>
      <c r="E11" s="522"/>
      <c r="F11" s="517">
        <f t="shared" si="1"/>
        <v>2250</v>
      </c>
      <c r="G11" s="538">
        <v>375</v>
      </c>
      <c r="H11" s="579"/>
      <c r="I11" s="551"/>
      <c r="J11" s="580"/>
      <c r="K11" s="538"/>
    </row>
    <row r="12" spans="1:11" x14ac:dyDescent="0.25">
      <c r="A12" s="471">
        <v>5</v>
      </c>
      <c r="B12" s="550" t="s">
        <v>60</v>
      </c>
      <c r="C12" s="554" t="s">
        <v>61</v>
      </c>
      <c r="D12" s="521">
        <v>3000</v>
      </c>
      <c r="E12" s="522"/>
      <c r="F12" s="517">
        <f t="shared" si="1"/>
        <v>3000</v>
      </c>
      <c r="G12" s="522">
        <v>500</v>
      </c>
      <c r="H12" s="581"/>
      <c r="I12" s="551"/>
      <c r="J12" s="580"/>
      <c r="K12" s="538"/>
    </row>
    <row r="13" spans="1:11" x14ac:dyDescent="0.25">
      <c r="A13" s="471">
        <v>6</v>
      </c>
      <c r="B13" s="529" t="s">
        <v>18</v>
      </c>
      <c r="C13" s="554" t="s">
        <v>19</v>
      </c>
      <c r="D13" s="521">
        <v>1500</v>
      </c>
      <c r="E13" s="522"/>
      <c r="F13" s="517">
        <f t="shared" si="1"/>
        <v>1500</v>
      </c>
      <c r="G13" s="522">
        <v>250</v>
      </c>
      <c r="H13" s="581"/>
      <c r="I13" s="551"/>
      <c r="J13" s="580"/>
      <c r="K13" s="538"/>
    </row>
    <row r="14" spans="1:11" x14ac:dyDescent="0.25">
      <c r="A14" s="471">
        <v>7</v>
      </c>
      <c r="B14" s="550" t="s">
        <v>62</v>
      </c>
      <c r="C14" s="554" t="s">
        <v>63</v>
      </c>
      <c r="D14" s="521">
        <v>5625</v>
      </c>
      <c r="E14" s="522"/>
      <c r="F14" s="517">
        <f t="shared" si="1"/>
        <v>5625</v>
      </c>
      <c r="G14" s="522">
        <v>938</v>
      </c>
      <c r="H14" s="581"/>
      <c r="I14" s="551"/>
      <c r="J14" s="580"/>
      <c r="K14" s="538"/>
    </row>
    <row r="15" spans="1:11" x14ac:dyDescent="0.25">
      <c r="A15" s="471">
        <v>8</v>
      </c>
      <c r="B15" s="529" t="s">
        <v>64</v>
      </c>
      <c r="C15" s="554" t="s">
        <v>65</v>
      </c>
      <c r="D15" s="521">
        <v>3375</v>
      </c>
      <c r="E15" s="522"/>
      <c r="F15" s="517">
        <f t="shared" si="1"/>
        <v>3375</v>
      </c>
      <c r="G15" s="522">
        <v>562</v>
      </c>
      <c r="H15" s="581"/>
      <c r="I15" s="551"/>
      <c r="J15" s="580"/>
      <c r="K15" s="538"/>
    </row>
    <row r="16" spans="1:11" x14ac:dyDescent="0.25">
      <c r="A16" s="471">
        <v>9</v>
      </c>
      <c r="B16" s="529" t="s">
        <v>66</v>
      </c>
      <c r="C16" s="554" t="s">
        <v>67</v>
      </c>
      <c r="D16" s="521">
        <v>3750</v>
      </c>
      <c r="E16" s="522"/>
      <c r="F16" s="517">
        <f t="shared" si="1"/>
        <v>3750</v>
      </c>
      <c r="G16" s="522">
        <v>625</v>
      </c>
      <c r="H16" s="581"/>
      <c r="I16" s="551"/>
      <c r="J16" s="580"/>
      <c r="K16" s="538"/>
    </row>
    <row r="17" spans="1:11" x14ac:dyDescent="0.25">
      <c r="A17" s="471">
        <v>10</v>
      </c>
      <c r="B17" s="529" t="s">
        <v>68</v>
      </c>
      <c r="C17" s="554" t="s">
        <v>69</v>
      </c>
      <c r="D17" s="521">
        <v>2625</v>
      </c>
      <c r="E17" s="522"/>
      <c r="F17" s="517">
        <f t="shared" si="1"/>
        <v>2625</v>
      </c>
      <c r="G17" s="522">
        <v>438</v>
      </c>
      <c r="H17" s="581"/>
      <c r="I17" s="551"/>
      <c r="J17" s="580"/>
      <c r="K17" s="538"/>
    </row>
    <row r="18" spans="1:11" x14ac:dyDescent="0.25">
      <c r="A18" s="471">
        <v>11</v>
      </c>
      <c r="B18" s="529" t="s">
        <v>70</v>
      </c>
      <c r="C18" s="554" t="s">
        <v>71</v>
      </c>
      <c r="D18" s="521">
        <v>3418</v>
      </c>
      <c r="E18" s="522"/>
      <c r="F18" s="517">
        <f t="shared" si="1"/>
        <v>3418</v>
      </c>
      <c r="G18" s="522">
        <v>569</v>
      </c>
      <c r="H18" s="581"/>
      <c r="I18" s="551"/>
      <c r="J18" s="580"/>
      <c r="K18" s="538"/>
    </row>
    <row r="19" spans="1:11" x14ac:dyDescent="0.25">
      <c r="A19" s="471">
        <v>12</v>
      </c>
      <c r="B19" s="529" t="s">
        <v>72</v>
      </c>
      <c r="C19" s="554" t="s">
        <v>73</v>
      </c>
      <c r="D19" s="521">
        <v>6525</v>
      </c>
      <c r="E19" s="522"/>
      <c r="F19" s="517">
        <f t="shared" si="1"/>
        <v>6525</v>
      </c>
      <c r="G19" s="522">
        <v>1088</v>
      </c>
      <c r="H19" s="581"/>
      <c r="I19" s="551"/>
      <c r="J19" s="580"/>
      <c r="K19" s="538"/>
    </row>
    <row r="20" spans="1:11" x14ac:dyDescent="0.25">
      <c r="A20" s="471">
        <v>13</v>
      </c>
      <c r="B20" s="529" t="s">
        <v>74</v>
      </c>
      <c r="C20" s="554" t="s">
        <v>75</v>
      </c>
      <c r="D20" s="521"/>
      <c r="E20" s="522"/>
      <c r="F20" s="517"/>
      <c r="G20" s="522"/>
      <c r="H20" s="581"/>
      <c r="I20" s="551"/>
      <c r="J20" s="580"/>
      <c r="K20" s="538"/>
    </row>
    <row r="21" spans="1:11" x14ac:dyDescent="0.25">
      <c r="A21" s="471">
        <v>14</v>
      </c>
      <c r="B21" s="529" t="s">
        <v>76</v>
      </c>
      <c r="C21" s="554" t="s">
        <v>77</v>
      </c>
      <c r="D21" s="521">
        <v>4575</v>
      </c>
      <c r="E21" s="522"/>
      <c r="F21" s="517">
        <f t="shared" si="1"/>
        <v>4575</v>
      </c>
      <c r="G21" s="522">
        <v>762</v>
      </c>
      <c r="H21" s="581"/>
      <c r="I21" s="551"/>
      <c r="J21" s="580"/>
      <c r="K21" s="538"/>
    </row>
    <row r="22" spans="1:11" x14ac:dyDescent="0.25">
      <c r="A22" s="471">
        <v>15</v>
      </c>
      <c r="B22" s="529" t="s">
        <v>78</v>
      </c>
      <c r="C22" s="554" t="s">
        <v>79</v>
      </c>
      <c r="D22" s="521">
        <v>6000</v>
      </c>
      <c r="E22" s="522"/>
      <c r="F22" s="517">
        <f t="shared" si="1"/>
        <v>6000</v>
      </c>
      <c r="G22" s="522">
        <v>1000</v>
      </c>
      <c r="H22" s="581"/>
      <c r="I22" s="551"/>
      <c r="J22" s="580"/>
      <c r="K22" s="538"/>
    </row>
    <row r="23" spans="1:11" x14ac:dyDescent="0.25">
      <c r="A23" s="471">
        <v>16</v>
      </c>
      <c r="B23" s="529" t="s">
        <v>80</v>
      </c>
      <c r="C23" s="554" t="s">
        <v>81</v>
      </c>
      <c r="D23" s="521">
        <v>7500</v>
      </c>
      <c r="E23" s="522"/>
      <c r="F23" s="517">
        <f t="shared" si="1"/>
        <v>7500</v>
      </c>
      <c r="G23" s="522">
        <v>1250</v>
      </c>
      <c r="H23" s="581"/>
      <c r="I23" s="551"/>
      <c r="J23" s="580"/>
      <c r="K23" s="538"/>
    </row>
    <row r="24" spans="1:11" x14ac:dyDescent="0.25">
      <c r="A24" s="471">
        <v>17</v>
      </c>
      <c r="B24" s="529" t="s">
        <v>20</v>
      </c>
      <c r="C24" s="554" t="s">
        <v>21</v>
      </c>
      <c r="D24" s="521"/>
      <c r="E24" s="522"/>
      <c r="F24" s="517"/>
      <c r="G24" s="522"/>
      <c r="H24" s="581"/>
      <c r="I24" s="551"/>
      <c r="J24" s="580"/>
      <c r="K24" s="538"/>
    </row>
    <row r="25" spans="1:11" x14ac:dyDescent="0.25">
      <c r="A25" s="471">
        <v>18</v>
      </c>
      <c r="B25" s="550" t="s">
        <v>82</v>
      </c>
      <c r="C25" s="554" t="s">
        <v>83</v>
      </c>
      <c r="D25" s="521">
        <v>2250</v>
      </c>
      <c r="E25" s="522"/>
      <c r="F25" s="517">
        <f t="shared" si="1"/>
        <v>2250</v>
      </c>
      <c r="G25" s="522">
        <v>375</v>
      </c>
      <c r="H25" s="581"/>
      <c r="I25" s="551"/>
      <c r="J25" s="580"/>
      <c r="K25" s="538"/>
    </row>
    <row r="26" spans="1:11" x14ac:dyDescent="0.25">
      <c r="A26" s="471">
        <v>19</v>
      </c>
      <c r="B26" s="550" t="s">
        <v>84</v>
      </c>
      <c r="C26" s="554" t="s">
        <v>85</v>
      </c>
      <c r="D26" s="521">
        <v>2250</v>
      </c>
      <c r="E26" s="522"/>
      <c r="F26" s="517">
        <f t="shared" si="1"/>
        <v>2250</v>
      </c>
      <c r="G26" s="522">
        <v>375</v>
      </c>
      <c r="H26" s="581"/>
      <c r="I26" s="551"/>
      <c r="J26" s="580"/>
      <c r="K26" s="538"/>
    </row>
    <row r="27" spans="1:11" x14ac:dyDescent="0.25">
      <c r="A27" s="471">
        <v>20</v>
      </c>
      <c r="B27" s="550" t="s">
        <v>86</v>
      </c>
      <c r="C27" s="554" t="s">
        <v>87</v>
      </c>
      <c r="D27" s="521">
        <v>5250</v>
      </c>
      <c r="E27" s="522"/>
      <c r="F27" s="517">
        <f t="shared" si="1"/>
        <v>5250</v>
      </c>
      <c r="G27" s="522">
        <v>875</v>
      </c>
      <c r="H27" s="581"/>
      <c r="I27" s="551"/>
      <c r="J27" s="580"/>
      <c r="K27" s="538"/>
    </row>
    <row r="28" spans="1:11" x14ac:dyDescent="0.25">
      <c r="A28" s="471">
        <v>21</v>
      </c>
      <c r="B28" s="550" t="s">
        <v>22</v>
      </c>
      <c r="C28" s="554" t="s">
        <v>23</v>
      </c>
      <c r="D28" s="521"/>
      <c r="E28" s="522"/>
      <c r="F28" s="517"/>
      <c r="G28" s="522"/>
      <c r="H28" s="581"/>
      <c r="I28" s="551"/>
      <c r="J28" s="580"/>
      <c r="K28" s="538"/>
    </row>
    <row r="29" spans="1:11" x14ac:dyDescent="0.25">
      <c r="A29" s="471">
        <v>22</v>
      </c>
      <c r="B29" s="529" t="s">
        <v>24</v>
      </c>
      <c r="C29" s="554" t="s">
        <v>25</v>
      </c>
      <c r="D29" s="521"/>
      <c r="E29" s="522"/>
      <c r="F29" s="517"/>
      <c r="G29" s="522"/>
      <c r="H29" s="581"/>
      <c r="I29" s="551"/>
      <c r="J29" s="580"/>
      <c r="K29" s="538"/>
    </row>
    <row r="30" spans="1:11" x14ac:dyDescent="0.25">
      <c r="A30" s="471">
        <v>23</v>
      </c>
      <c r="B30" s="529" t="s">
        <v>88</v>
      </c>
      <c r="C30" s="554" t="s">
        <v>89</v>
      </c>
      <c r="D30" s="521"/>
      <c r="E30" s="522"/>
      <c r="F30" s="517"/>
      <c r="G30" s="522"/>
      <c r="H30" s="581"/>
      <c r="I30" s="551"/>
      <c r="J30" s="580"/>
      <c r="K30" s="538"/>
    </row>
    <row r="31" spans="1:11" ht="25.5" x14ac:dyDescent="0.25">
      <c r="A31" s="471">
        <v>24</v>
      </c>
      <c r="B31" s="529" t="s">
        <v>90</v>
      </c>
      <c r="C31" s="554" t="s">
        <v>91</v>
      </c>
      <c r="D31" s="521"/>
      <c r="E31" s="522"/>
      <c r="F31" s="517"/>
      <c r="G31" s="522"/>
      <c r="H31" s="581"/>
      <c r="I31" s="551"/>
      <c r="J31" s="580"/>
      <c r="K31" s="538"/>
    </row>
    <row r="32" spans="1:11" x14ac:dyDescent="0.25">
      <c r="A32" s="471">
        <v>25</v>
      </c>
      <c r="B32" s="550" t="s">
        <v>92</v>
      </c>
      <c r="C32" s="554" t="s">
        <v>93</v>
      </c>
      <c r="D32" s="521">
        <v>5625</v>
      </c>
      <c r="E32" s="522"/>
      <c r="F32" s="517">
        <f t="shared" si="1"/>
        <v>5625</v>
      </c>
      <c r="G32" s="522">
        <v>938</v>
      </c>
      <c r="H32" s="581"/>
      <c r="I32" s="551"/>
      <c r="J32" s="580"/>
      <c r="K32" s="538"/>
    </row>
    <row r="33" spans="1:11" x14ac:dyDescent="0.25">
      <c r="A33" s="471">
        <v>26</v>
      </c>
      <c r="B33" s="529" t="s">
        <v>94</v>
      </c>
      <c r="C33" s="554" t="s">
        <v>95</v>
      </c>
      <c r="D33" s="521"/>
      <c r="E33" s="522"/>
      <c r="F33" s="517"/>
      <c r="G33" s="522"/>
      <c r="H33" s="581"/>
      <c r="I33" s="551"/>
      <c r="J33" s="580"/>
      <c r="K33" s="538"/>
    </row>
    <row r="34" spans="1:11" x14ac:dyDescent="0.25">
      <c r="A34" s="471">
        <v>27</v>
      </c>
      <c r="B34" s="553" t="s">
        <v>96</v>
      </c>
      <c r="C34" s="554" t="s">
        <v>97</v>
      </c>
      <c r="D34" s="521"/>
      <c r="E34" s="522"/>
      <c r="F34" s="517"/>
      <c r="G34" s="522"/>
      <c r="H34" s="581"/>
      <c r="I34" s="551"/>
      <c r="J34" s="580"/>
      <c r="K34" s="538"/>
    </row>
    <row r="35" spans="1:11" x14ac:dyDescent="0.25">
      <c r="A35" s="445">
        <v>28</v>
      </c>
      <c r="B35" s="553" t="s">
        <v>26</v>
      </c>
      <c r="C35" s="554" t="s">
        <v>27</v>
      </c>
      <c r="D35" s="521"/>
      <c r="E35" s="522"/>
      <c r="F35" s="517"/>
      <c r="G35" s="522"/>
      <c r="H35" s="581"/>
      <c r="I35" s="551"/>
      <c r="J35" s="580"/>
      <c r="K35" s="538"/>
    </row>
    <row r="36" spans="1:11" x14ac:dyDescent="0.25">
      <c r="A36" s="445">
        <v>29</v>
      </c>
      <c r="B36" s="550" t="s">
        <v>98</v>
      </c>
      <c r="C36" s="554" t="s">
        <v>99</v>
      </c>
      <c r="D36" s="521"/>
      <c r="E36" s="522"/>
      <c r="F36" s="517"/>
      <c r="G36" s="522"/>
      <c r="H36" s="581"/>
      <c r="I36" s="551"/>
      <c r="J36" s="580"/>
      <c r="K36" s="538"/>
    </row>
    <row r="37" spans="1:11" x14ac:dyDescent="0.25">
      <c r="A37" s="445">
        <v>30</v>
      </c>
      <c r="B37" s="553" t="s">
        <v>100</v>
      </c>
      <c r="C37" s="554" t="s">
        <v>101</v>
      </c>
      <c r="D37" s="521">
        <v>3750</v>
      </c>
      <c r="E37" s="522"/>
      <c r="F37" s="517">
        <f t="shared" si="1"/>
        <v>3750</v>
      </c>
      <c r="G37" s="522">
        <v>625</v>
      </c>
      <c r="H37" s="581"/>
      <c r="I37" s="551"/>
      <c r="J37" s="580"/>
      <c r="K37" s="538"/>
    </row>
    <row r="38" spans="1:11" x14ac:dyDescent="0.25">
      <c r="A38" s="445">
        <v>31</v>
      </c>
      <c r="B38" s="529" t="s">
        <v>102</v>
      </c>
      <c r="C38" s="554" t="s">
        <v>103</v>
      </c>
      <c r="D38" s="521"/>
      <c r="E38" s="522"/>
      <c r="F38" s="517"/>
      <c r="G38" s="522"/>
      <c r="H38" s="581"/>
      <c r="I38" s="551"/>
      <c r="J38" s="580"/>
      <c r="K38" s="538"/>
    </row>
    <row r="39" spans="1:11" x14ac:dyDescent="0.25">
      <c r="A39" s="445">
        <v>32</v>
      </c>
      <c r="B39" s="553" t="s">
        <v>104</v>
      </c>
      <c r="C39" s="554" t="s">
        <v>105</v>
      </c>
      <c r="D39" s="521">
        <v>3750</v>
      </c>
      <c r="E39" s="522"/>
      <c r="F39" s="517">
        <f t="shared" si="1"/>
        <v>3750</v>
      </c>
      <c r="G39" s="522">
        <v>625</v>
      </c>
      <c r="H39" s="581"/>
      <c r="I39" s="551"/>
      <c r="J39" s="580"/>
      <c r="K39" s="538"/>
    </row>
    <row r="40" spans="1:11" x14ac:dyDescent="0.25">
      <c r="A40" s="445">
        <v>33</v>
      </c>
      <c r="B40" s="550" t="s">
        <v>106</v>
      </c>
      <c r="C40" s="554" t="s">
        <v>107</v>
      </c>
      <c r="D40" s="521">
        <v>11250</v>
      </c>
      <c r="E40" s="522"/>
      <c r="F40" s="517">
        <f t="shared" si="1"/>
        <v>11250</v>
      </c>
      <c r="G40" s="522">
        <v>1875</v>
      </c>
      <c r="H40" s="581"/>
      <c r="I40" s="551"/>
      <c r="J40" s="580"/>
      <c r="K40" s="538"/>
    </row>
    <row r="41" spans="1:11" x14ac:dyDescent="0.25">
      <c r="A41" s="445">
        <v>34</v>
      </c>
      <c r="B41" s="485" t="s">
        <v>108</v>
      </c>
      <c r="C41" s="439" t="s">
        <v>109</v>
      </c>
      <c r="D41" s="521">
        <v>3000</v>
      </c>
      <c r="E41" s="522"/>
      <c r="F41" s="517">
        <f t="shared" si="1"/>
        <v>3000</v>
      </c>
      <c r="G41" s="522">
        <v>500</v>
      </c>
      <c r="H41" s="581"/>
      <c r="I41" s="551"/>
      <c r="J41" s="580"/>
      <c r="K41" s="538"/>
    </row>
    <row r="42" spans="1:11" x14ac:dyDescent="0.25">
      <c r="A42" s="445">
        <v>35</v>
      </c>
      <c r="B42" s="550" t="s">
        <v>110</v>
      </c>
      <c r="C42" s="554" t="s">
        <v>111</v>
      </c>
      <c r="D42" s="521">
        <v>2700</v>
      </c>
      <c r="E42" s="522"/>
      <c r="F42" s="517">
        <f t="shared" si="1"/>
        <v>2700</v>
      </c>
      <c r="G42" s="522">
        <v>450</v>
      </c>
      <c r="H42" s="581"/>
      <c r="I42" s="551"/>
      <c r="J42" s="580"/>
      <c r="K42" s="538"/>
    </row>
    <row r="43" spans="1:11" x14ac:dyDescent="0.25">
      <c r="A43" s="445">
        <v>36</v>
      </c>
      <c r="B43" s="550" t="s">
        <v>112</v>
      </c>
      <c r="C43" s="554" t="s">
        <v>113</v>
      </c>
      <c r="D43" s="521">
        <v>5025</v>
      </c>
      <c r="E43" s="522"/>
      <c r="F43" s="517">
        <f t="shared" si="1"/>
        <v>5025</v>
      </c>
      <c r="G43" s="522">
        <v>838</v>
      </c>
      <c r="H43" s="581"/>
      <c r="I43" s="551"/>
      <c r="J43" s="580"/>
      <c r="K43" s="538"/>
    </row>
    <row r="44" spans="1:11" x14ac:dyDescent="0.25">
      <c r="A44" s="445">
        <v>37</v>
      </c>
      <c r="B44" s="529" t="s">
        <v>114</v>
      </c>
      <c r="C44" s="554" t="s">
        <v>115</v>
      </c>
      <c r="D44" s="521">
        <v>2819</v>
      </c>
      <c r="E44" s="522"/>
      <c r="F44" s="517">
        <f t="shared" si="1"/>
        <v>2819</v>
      </c>
      <c r="G44" s="522">
        <v>470</v>
      </c>
      <c r="H44" s="581"/>
      <c r="I44" s="551"/>
      <c r="J44" s="580"/>
      <c r="K44" s="538"/>
    </row>
    <row r="45" spans="1:11" x14ac:dyDescent="0.25">
      <c r="A45" s="445">
        <v>38</v>
      </c>
      <c r="B45" s="553" t="s">
        <v>116</v>
      </c>
      <c r="C45" s="554" t="s">
        <v>117</v>
      </c>
      <c r="D45" s="521"/>
      <c r="E45" s="522"/>
      <c r="F45" s="517"/>
      <c r="G45" s="522"/>
      <c r="H45" s="581"/>
      <c r="I45" s="551"/>
      <c r="J45" s="580"/>
      <c r="K45" s="538"/>
    </row>
    <row r="46" spans="1:11" x14ac:dyDescent="0.25">
      <c r="A46" s="445">
        <v>39</v>
      </c>
      <c r="B46" s="529" t="s">
        <v>28</v>
      </c>
      <c r="C46" s="554" t="s">
        <v>29</v>
      </c>
      <c r="D46" s="521"/>
      <c r="E46" s="522"/>
      <c r="F46" s="517"/>
      <c r="G46" s="522"/>
      <c r="H46" s="581"/>
      <c r="I46" s="551"/>
      <c r="J46" s="580"/>
      <c r="K46" s="538"/>
    </row>
    <row r="47" spans="1:11" x14ac:dyDescent="0.25">
      <c r="A47" s="445">
        <v>40</v>
      </c>
      <c r="B47" s="550" t="s">
        <v>118</v>
      </c>
      <c r="C47" s="554" t="s">
        <v>119</v>
      </c>
      <c r="D47" s="521">
        <v>3000</v>
      </c>
      <c r="E47" s="522"/>
      <c r="F47" s="517">
        <f t="shared" si="1"/>
        <v>3000</v>
      </c>
      <c r="G47" s="522">
        <v>500</v>
      </c>
      <c r="H47" s="581"/>
      <c r="I47" s="551"/>
      <c r="J47" s="580"/>
      <c r="K47" s="538"/>
    </row>
    <row r="48" spans="1:11" x14ac:dyDescent="0.25">
      <c r="A48" s="445">
        <v>41</v>
      </c>
      <c r="B48" s="550" t="s">
        <v>120</v>
      </c>
      <c r="C48" s="554" t="s">
        <v>121</v>
      </c>
      <c r="D48" s="521">
        <v>6000</v>
      </c>
      <c r="E48" s="522"/>
      <c r="F48" s="517">
        <f t="shared" si="1"/>
        <v>6000</v>
      </c>
      <c r="G48" s="522">
        <v>1000</v>
      </c>
      <c r="H48" s="581"/>
      <c r="I48" s="551"/>
      <c r="J48" s="580"/>
      <c r="K48" s="538"/>
    </row>
    <row r="49" spans="1:11" x14ac:dyDescent="0.25">
      <c r="A49" s="445">
        <v>42</v>
      </c>
      <c r="B49" s="529" t="s">
        <v>122</v>
      </c>
      <c r="C49" s="554" t="s">
        <v>123</v>
      </c>
      <c r="D49" s="521">
        <v>3375</v>
      </c>
      <c r="E49" s="522"/>
      <c r="F49" s="517">
        <f t="shared" si="1"/>
        <v>3375</v>
      </c>
      <c r="G49" s="522">
        <v>562</v>
      </c>
      <c r="H49" s="581"/>
      <c r="I49" s="551"/>
      <c r="J49" s="580"/>
      <c r="K49" s="538"/>
    </row>
    <row r="50" spans="1:11" x14ac:dyDescent="0.25">
      <c r="A50" s="445">
        <v>43</v>
      </c>
      <c r="B50" s="553" t="s">
        <v>124</v>
      </c>
      <c r="C50" s="554" t="s">
        <v>125</v>
      </c>
      <c r="D50" s="521">
        <v>3750</v>
      </c>
      <c r="E50" s="522"/>
      <c r="F50" s="517">
        <f t="shared" si="1"/>
        <v>3750</v>
      </c>
      <c r="G50" s="522">
        <v>625</v>
      </c>
      <c r="H50" s="581"/>
      <c r="I50" s="551"/>
      <c r="J50" s="580"/>
      <c r="K50" s="538"/>
    </row>
    <row r="51" spans="1:11" x14ac:dyDescent="0.25">
      <c r="A51" s="445">
        <v>87</v>
      </c>
      <c r="B51" s="529" t="s">
        <v>126</v>
      </c>
      <c r="C51" s="554" t="s">
        <v>127</v>
      </c>
      <c r="D51" s="521">
        <v>3750</v>
      </c>
      <c r="E51" s="522"/>
      <c r="F51" s="517">
        <f t="shared" si="1"/>
        <v>3750</v>
      </c>
      <c r="G51" s="522">
        <v>625</v>
      </c>
      <c r="H51" s="581"/>
      <c r="I51" s="551"/>
      <c r="J51" s="580"/>
      <c r="K51" s="538"/>
    </row>
    <row r="52" spans="1:11" x14ac:dyDescent="0.25">
      <c r="A52" s="445">
        <v>44</v>
      </c>
      <c r="B52" s="553" t="s">
        <v>128</v>
      </c>
      <c r="C52" s="554" t="s">
        <v>129</v>
      </c>
      <c r="D52" s="521">
        <v>5625</v>
      </c>
      <c r="E52" s="522"/>
      <c r="F52" s="517">
        <f t="shared" si="1"/>
        <v>5625</v>
      </c>
      <c r="G52" s="522">
        <v>938</v>
      </c>
      <c r="H52" s="581"/>
      <c r="I52" s="551"/>
      <c r="J52" s="580"/>
      <c r="K52" s="538"/>
    </row>
    <row r="53" spans="1:11" x14ac:dyDescent="0.25">
      <c r="A53" s="445">
        <v>45</v>
      </c>
      <c r="B53" s="529" t="s">
        <v>130</v>
      </c>
      <c r="C53" s="554" t="s">
        <v>131</v>
      </c>
      <c r="D53" s="521">
        <v>2250</v>
      </c>
      <c r="E53" s="522"/>
      <c r="F53" s="517">
        <f t="shared" si="1"/>
        <v>2250</v>
      </c>
      <c r="G53" s="522">
        <v>375</v>
      </c>
      <c r="H53" s="581"/>
      <c r="I53" s="551"/>
      <c r="J53" s="580"/>
      <c r="K53" s="538"/>
    </row>
    <row r="54" spans="1:11" x14ac:dyDescent="0.25">
      <c r="A54" s="445">
        <v>46</v>
      </c>
      <c r="B54" s="553" t="s">
        <v>132</v>
      </c>
      <c r="C54" s="554" t="s">
        <v>133</v>
      </c>
      <c r="D54" s="521">
        <v>3750</v>
      </c>
      <c r="E54" s="522"/>
      <c r="F54" s="517">
        <f t="shared" si="1"/>
        <v>3750</v>
      </c>
      <c r="G54" s="522">
        <v>625</v>
      </c>
      <c r="H54" s="581"/>
      <c r="I54" s="551"/>
      <c r="J54" s="580"/>
      <c r="K54" s="538"/>
    </row>
    <row r="55" spans="1:11" x14ac:dyDescent="0.25">
      <c r="A55" s="445">
        <v>47</v>
      </c>
      <c r="B55" s="529" t="s">
        <v>134</v>
      </c>
      <c r="C55" s="554" t="s">
        <v>135</v>
      </c>
      <c r="D55" s="521">
        <v>5850</v>
      </c>
      <c r="E55" s="522"/>
      <c r="F55" s="517">
        <f t="shared" si="1"/>
        <v>5850</v>
      </c>
      <c r="G55" s="522">
        <v>975</v>
      </c>
      <c r="H55" s="581"/>
      <c r="I55" s="551"/>
      <c r="J55" s="580"/>
      <c r="K55" s="538"/>
    </row>
    <row r="56" spans="1:11" x14ac:dyDescent="0.25">
      <c r="A56" s="445">
        <v>48</v>
      </c>
      <c r="B56" s="529" t="s">
        <v>136</v>
      </c>
      <c r="C56" s="554" t="s">
        <v>137</v>
      </c>
      <c r="D56" s="521">
        <v>11250</v>
      </c>
      <c r="E56" s="522"/>
      <c r="F56" s="517">
        <f t="shared" si="1"/>
        <v>11250</v>
      </c>
      <c r="G56" s="522">
        <v>1875</v>
      </c>
      <c r="H56" s="581"/>
      <c r="I56" s="551"/>
      <c r="J56" s="580"/>
      <c r="K56" s="538"/>
    </row>
    <row r="57" spans="1:11" x14ac:dyDescent="0.25">
      <c r="A57" s="445">
        <v>49</v>
      </c>
      <c r="B57" s="529" t="s">
        <v>138</v>
      </c>
      <c r="C57" s="554" t="s">
        <v>139</v>
      </c>
      <c r="D57" s="521">
        <v>4200</v>
      </c>
      <c r="E57" s="522"/>
      <c r="F57" s="517">
        <f t="shared" si="1"/>
        <v>4200</v>
      </c>
      <c r="G57" s="522">
        <v>700</v>
      </c>
      <c r="H57" s="581"/>
      <c r="I57" s="551"/>
      <c r="J57" s="580"/>
      <c r="K57" s="538"/>
    </row>
    <row r="58" spans="1:11" x14ac:dyDescent="0.25">
      <c r="A58" s="445">
        <v>95</v>
      </c>
      <c r="B58" s="529" t="s">
        <v>140</v>
      </c>
      <c r="C58" s="554" t="s">
        <v>141</v>
      </c>
      <c r="D58" s="521">
        <v>3075</v>
      </c>
      <c r="E58" s="522"/>
      <c r="F58" s="517">
        <f t="shared" si="1"/>
        <v>3075</v>
      </c>
      <c r="G58" s="522">
        <v>512</v>
      </c>
      <c r="H58" s="581"/>
      <c r="I58" s="551"/>
      <c r="J58" s="580"/>
      <c r="K58" s="538"/>
    </row>
    <row r="59" spans="1:11" x14ac:dyDescent="0.25">
      <c r="A59" s="445">
        <v>50</v>
      </c>
      <c r="B59" s="553" t="s">
        <v>142</v>
      </c>
      <c r="C59" s="554" t="s">
        <v>143</v>
      </c>
      <c r="D59" s="521">
        <v>3225</v>
      </c>
      <c r="E59" s="522"/>
      <c r="F59" s="517">
        <f t="shared" si="1"/>
        <v>3225</v>
      </c>
      <c r="G59" s="522">
        <v>538</v>
      </c>
      <c r="H59" s="581"/>
      <c r="I59" s="551"/>
      <c r="J59" s="580"/>
      <c r="K59" s="538"/>
    </row>
    <row r="60" spans="1:11" x14ac:dyDescent="0.25">
      <c r="A60" s="445">
        <v>97</v>
      </c>
      <c r="B60" s="529" t="s">
        <v>144</v>
      </c>
      <c r="C60" s="554" t="s">
        <v>145</v>
      </c>
      <c r="D60" s="521"/>
      <c r="E60" s="522"/>
      <c r="F60" s="517"/>
      <c r="G60" s="522"/>
      <c r="H60" s="581"/>
      <c r="I60" s="551"/>
      <c r="J60" s="580"/>
      <c r="K60" s="538"/>
    </row>
    <row r="61" spans="1:11" x14ac:dyDescent="0.25">
      <c r="A61" s="445">
        <v>51</v>
      </c>
      <c r="B61" s="529" t="s">
        <v>146</v>
      </c>
      <c r="C61" s="554" t="s">
        <v>147</v>
      </c>
      <c r="D61" s="521"/>
      <c r="E61" s="522"/>
      <c r="F61" s="517"/>
      <c r="G61" s="522"/>
      <c r="H61" s="581"/>
      <c r="I61" s="551"/>
      <c r="J61" s="580"/>
      <c r="K61" s="538"/>
    </row>
    <row r="62" spans="1:11" x14ac:dyDescent="0.25">
      <c r="A62" s="445">
        <v>52</v>
      </c>
      <c r="B62" s="529" t="s">
        <v>148</v>
      </c>
      <c r="C62" s="554" t="s">
        <v>149</v>
      </c>
      <c r="D62" s="521"/>
      <c r="E62" s="522"/>
      <c r="F62" s="517"/>
      <c r="G62" s="522"/>
      <c r="H62" s="581"/>
      <c r="I62" s="551"/>
      <c r="J62" s="580"/>
      <c r="K62" s="538"/>
    </row>
    <row r="63" spans="1:11" x14ac:dyDescent="0.25">
      <c r="A63" s="445">
        <v>53</v>
      </c>
      <c r="B63" s="553" t="s">
        <v>150</v>
      </c>
      <c r="C63" s="554" t="s">
        <v>151</v>
      </c>
      <c r="D63" s="521"/>
      <c r="E63" s="522"/>
      <c r="F63" s="517"/>
      <c r="G63" s="522"/>
      <c r="H63" s="581"/>
      <c r="I63" s="551"/>
      <c r="J63" s="580"/>
      <c r="K63" s="538"/>
    </row>
    <row r="64" spans="1:11" x14ac:dyDescent="0.25">
      <c r="A64" s="445">
        <v>54</v>
      </c>
      <c r="B64" s="550" t="s">
        <v>152</v>
      </c>
      <c r="C64" s="554" t="s">
        <v>153</v>
      </c>
      <c r="D64" s="521"/>
      <c r="E64" s="522"/>
      <c r="F64" s="517"/>
      <c r="G64" s="522"/>
      <c r="H64" s="581"/>
      <c r="I64" s="551"/>
      <c r="J64" s="580"/>
      <c r="K64" s="538"/>
    </row>
    <row r="65" spans="1:11" x14ac:dyDescent="0.25">
      <c r="A65" s="445">
        <v>55</v>
      </c>
      <c r="B65" s="553" t="s">
        <v>154</v>
      </c>
      <c r="C65" s="554" t="s">
        <v>155</v>
      </c>
      <c r="D65" s="521"/>
      <c r="E65" s="522"/>
      <c r="F65" s="517"/>
      <c r="G65" s="522"/>
      <c r="H65" s="581"/>
      <c r="I65" s="551"/>
      <c r="J65" s="580"/>
      <c r="K65" s="538"/>
    </row>
    <row r="66" spans="1:11" x14ac:dyDescent="0.25">
      <c r="A66" s="445">
        <v>56</v>
      </c>
      <c r="B66" s="529" t="s">
        <v>156</v>
      </c>
      <c r="C66" s="554" t="s">
        <v>157</v>
      </c>
      <c r="D66" s="521"/>
      <c r="E66" s="522"/>
      <c r="F66" s="517"/>
      <c r="G66" s="522"/>
      <c r="H66" s="581"/>
      <c r="I66" s="551"/>
      <c r="J66" s="580"/>
      <c r="K66" s="538"/>
    </row>
    <row r="67" spans="1:11" ht="25.5" x14ac:dyDescent="0.25">
      <c r="A67" s="445">
        <v>57</v>
      </c>
      <c r="B67" s="550" t="s">
        <v>158</v>
      </c>
      <c r="C67" s="554" t="s">
        <v>159</v>
      </c>
      <c r="D67" s="521"/>
      <c r="E67" s="522"/>
      <c r="F67" s="517"/>
      <c r="G67" s="522"/>
      <c r="H67" s="581"/>
      <c r="I67" s="551"/>
      <c r="J67" s="580"/>
      <c r="K67" s="538"/>
    </row>
    <row r="68" spans="1:11" ht="25.5" x14ac:dyDescent="0.25">
      <c r="A68" s="445">
        <v>58</v>
      </c>
      <c r="B68" s="550" t="s">
        <v>160</v>
      </c>
      <c r="C68" s="554" t="s">
        <v>161</v>
      </c>
      <c r="D68" s="521"/>
      <c r="E68" s="522"/>
      <c r="F68" s="517"/>
      <c r="G68" s="522"/>
      <c r="H68" s="581"/>
      <c r="I68" s="551"/>
      <c r="J68" s="580"/>
      <c r="K68" s="538"/>
    </row>
    <row r="69" spans="1:11" x14ac:dyDescent="0.25">
      <c r="A69" s="445">
        <v>59</v>
      </c>
      <c r="B69" s="553" t="s">
        <v>162</v>
      </c>
      <c r="C69" s="554" t="s">
        <v>163</v>
      </c>
      <c r="D69" s="521"/>
      <c r="E69" s="522"/>
      <c r="F69" s="517"/>
      <c r="G69" s="522"/>
      <c r="H69" s="581"/>
      <c r="I69" s="551"/>
      <c r="J69" s="580"/>
      <c r="K69" s="538"/>
    </row>
    <row r="70" spans="1:11" x14ac:dyDescent="0.25">
      <c r="A70" s="445">
        <v>60</v>
      </c>
      <c r="B70" s="553" t="s">
        <v>164</v>
      </c>
      <c r="C70" s="554" t="s">
        <v>165</v>
      </c>
      <c r="D70" s="521"/>
      <c r="E70" s="522"/>
      <c r="F70" s="517"/>
      <c r="G70" s="522"/>
      <c r="H70" s="581"/>
      <c r="I70" s="551"/>
      <c r="J70" s="580"/>
      <c r="K70" s="538"/>
    </row>
    <row r="71" spans="1:11" x14ac:dyDescent="0.25">
      <c r="A71" s="445">
        <v>61</v>
      </c>
      <c r="B71" s="553" t="s">
        <v>166</v>
      </c>
      <c r="C71" s="554" t="s">
        <v>167</v>
      </c>
      <c r="D71" s="521"/>
      <c r="E71" s="522"/>
      <c r="F71" s="517"/>
      <c r="G71" s="522"/>
      <c r="H71" s="581"/>
      <c r="I71" s="551"/>
      <c r="J71" s="580"/>
      <c r="K71" s="538"/>
    </row>
    <row r="72" spans="1:11" ht="25.5" x14ac:dyDescent="0.25">
      <c r="A72" s="445">
        <v>62</v>
      </c>
      <c r="B72" s="553" t="s">
        <v>168</v>
      </c>
      <c r="C72" s="554" t="s">
        <v>169</v>
      </c>
      <c r="D72" s="521"/>
      <c r="E72" s="522"/>
      <c r="F72" s="517"/>
      <c r="G72" s="522"/>
      <c r="H72" s="581"/>
      <c r="I72" s="551"/>
      <c r="J72" s="580"/>
      <c r="K72" s="538"/>
    </row>
    <row r="73" spans="1:11" ht="25.5" x14ac:dyDescent="0.25">
      <c r="A73" s="445">
        <v>63</v>
      </c>
      <c r="B73" s="550" t="s">
        <v>170</v>
      </c>
      <c r="C73" s="554" t="s">
        <v>171</v>
      </c>
      <c r="D73" s="521"/>
      <c r="E73" s="522"/>
      <c r="F73" s="517"/>
      <c r="G73" s="522"/>
      <c r="H73" s="581"/>
      <c r="I73" s="551"/>
      <c r="J73" s="580"/>
      <c r="K73" s="538"/>
    </row>
    <row r="74" spans="1:11" ht="25.5" x14ac:dyDescent="0.25">
      <c r="A74" s="445">
        <v>64</v>
      </c>
      <c r="B74" s="553" t="s">
        <v>172</v>
      </c>
      <c r="C74" s="554" t="s">
        <v>173</v>
      </c>
      <c r="D74" s="521"/>
      <c r="E74" s="522"/>
      <c r="F74" s="517"/>
      <c r="G74" s="522"/>
      <c r="H74" s="581"/>
      <c r="I74" s="551"/>
      <c r="J74" s="580"/>
      <c r="K74" s="538"/>
    </row>
    <row r="75" spans="1:11" ht="25.5" x14ac:dyDescent="0.25">
      <c r="A75" s="445">
        <v>65</v>
      </c>
      <c r="B75" s="553" t="s">
        <v>174</v>
      </c>
      <c r="C75" s="554" t="s">
        <v>175</v>
      </c>
      <c r="D75" s="521"/>
      <c r="E75" s="522"/>
      <c r="F75" s="517"/>
      <c r="G75" s="522"/>
      <c r="H75" s="581"/>
      <c r="I75" s="551"/>
      <c r="J75" s="580"/>
      <c r="K75" s="538"/>
    </row>
    <row r="76" spans="1:11" ht="25.5" x14ac:dyDescent="0.25">
      <c r="A76" s="445">
        <v>66</v>
      </c>
      <c r="B76" s="550" t="s">
        <v>176</v>
      </c>
      <c r="C76" s="554" t="s">
        <v>177</v>
      </c>
      <c r="D76" s="521"/>
      <c r="E76" s="522"/>
      <c r="F76" s="517"/>
      <c r="G76" s="522"/>
      <c r="H76" s="581"/>
      <c r="I76" s="551"/>
      <c r="J76" s="580"/>
      <c r="K76" s="538"/>
    </row>
    <row r="77" spans="1:11" ht="25.5" x14ac:dyDescent="0.25">
      <c r="A77" s="445">
        <v>67</v>
      </c>
      <c r="B77" s="550" t="s">
        <v>178</v>
      </c>
      <c r="C77" s="554" t="s">
        <v>179</v>
      </c>
      <c r="D77" s="521"/>
      <c r="E77" s="522"/>
      <c r="F77" s="517"/>
      <c r="G77" s="522"/>
      <c r="H77" s="581"/>
      <c r="I77" s="551"/>
      <c r="J77" s="580"/>
      <c r="K77" s="538"/>
    </row>
    <row r="78" spans="1:11" ht="25.5" x14ac:dyDescent="0.25">
      <c r="A78" s="445">
        <v>68</v>
      </c>
      <c r="B78" s="550" t="s">
        <v>180</v>
      </c>
      <c r="C78" s="554" t="s">
        <v>181</v>
      </c>
      <c r="D78" s="521"/>
      <c r="E78" s="522"/>
      <c r="F78" s="517"/>
      <c r="G78" s="522"/>
      <c r="H78" s="581"/>
      <c r="I78" s="551"/>
      <c r="J78" s="580"/>
      <c r="K78" s="538"/>
    </row>
    <row r="79" spans="1:11" x14ac:dyDescent="0.25">
      <c r="A79" s="445">
        <v>69</v>
      </c>
      <c r="B79" s="529" t="s">
        <v>182</v>
      </c>
      <c r="C79" s="554" t="s">
        <v>183</v>
      </c>
      <c r="D79" s="521"/>
      <c r="E79" s="522"/>
      <c r="F79" s="517"/>
      <c r="G79" s="522"/>
      <c r="H79" s="581"/>
      <c r="I79" s="551"/>
      <c r="J79" s="580"/>
      <c r="K79" s="538"/>
    </row>
    <row r="80" spans="1:11" x14ac:dyDescent="0.25">
      <c r="A80" s="445">
        <v>70</v>
      </c>
      <c r="B80" s="550" t="s">
        <v>184</v>
      </c>
      <c r="C80" s="554" t="s">
        <v>185</v>
      </c>
      <c r="D80" s="521"/>
      <c r="E80" s="522"/>
      <c r="F80" s="517"/>
      <c r="G80" s="522"/>
      <c r="H80" s="581"/>
      <c r="I80" s="551"/>
      <c r="J80" s="580"/>
      <c r="K80" s="538"/>
    </row>
    <row r="81" spans="1:11" x14ac:dyDescent="0.25">
      <c r="A81" s="445">
        <v>71</v>
      </c>
      <c r="B81" s="529" t="s">
        <v>186</v>
      </c>
      <c r="C81" s="554" t="s">
        <v>187</v>
      </c>
      <c r="D81" s="521"/>
      <c r="E81" s="522"/>
      <c r="F81" s="517"/>
      <c r="G81" s="522"/>
      <c r="H81" s="581"/>
      <c r="I81" s="551"/>
      <c r="J81" s="580"/>
      <c r="K81" s="538"/>
    </row>
    <row r="82" spans="1:11" x14ac:dyDescent="0.25">
      <c r="A82" s="445">
        <v>72</v>
      </c>
      <c r="B82" s="550" t="s">
        <v>188</v>
      </c>
      <c r="C82" s="554" t="s">
        <v>461</v>
      </c>
      <c r="D82" s="521"/>
      <c r="E82" s="522"/>
      <c r="F82" s="517"/>
      <c r="G82" s="522"/>
      <c r="H82" s="581"/>
      <c r="I82" s="551"/>
      <c r="J82" s="580"/>
      <c r="K82" s="538"/>
    </row>
    <row r="83" spans="1:11" x14ac:dyDescent="0.25">
      <c r="A83" s="445">
        <v>73</v>
      </c>
      <c r="B83" s="550" t="s">
        <v>190</v>
      </c>
      <c r="C83" s="554" t="s">
        <v>191</v>
      </c>
      <c r="D83" s="521"/>
      <c r="E83" s="522"/>
      <c r="F83" s="517"/>
      <c r="G83" s="522"/>
      <c r="H83" s="581"/>
      <c r="I83" s="551"/>
      <c r="J83" s="580"/>
      <c r="K83" s="538"/>
    </row>
    <row r="84" spans="1:11" x14ac:dyDescent="0.25">
      <c r="A84" s="445">
        <v>74</v>
      </c>
      <c r="B84" s="550" t="s">
        <v>192</v>
      </c>
      <c r="C84" s="554" t="s">
        <v>193</v>
      </c>
      <c r="D84" s="521"/>
      <c r="E84" s="522"/>
      <c r="F84" s="517"/>
      <c r="G84" s="522"/>
      <c r="H84" s="581"/>
      <c r="I84" s="551"/>
      <c r="J84" s="580"/>
      <c r="K84" s="538"/>
    </row>
    <row r="85" spans="1:11" x14ac:dyDescent="0.25">
      <c r="A85" s="445">
        <v>75</v>
      </c>
      <c r="B85" s="550" t="s">
        <v>194</v>
      </c>
      <c r="C85" s="554" t="s">
        <v>195</v>
      </c>
      <c r="D85" s="521"/>
      <c r="E85" s="522"/>
      <c r="F85" s="517"/>
      <c r="G85" s="522"/>
      <c r="H85" s="581"/>
      <c r="I85" s="551"/>
      <c r="J85" s="580"/>
      <c r="K85" s="538"/>
    </row>
    <row r="86" spans="1:11" x14ac:dyDescent="0.25">
      <c r="A86" s="445">
        <v>76</v>
      </c>
      <c r="B86" s="550" t="s">
        <v>196</v>
      </c>
      <c r="C86" s="554" t="s">
        <v>197</v>
      </c>
      <c r="D86" s="521"/>
      <c r="E86" s="522"/>
      <c r="F86" s="517"/>
      <c r="G86" s="522"/>
      <c r="H86" s="581"/>
      <c r="I86" s="551"/>
      <c r="J86" s="580"/>
      <c r="K86" s="538"/>
    </row>
    <row r="87" spans="1:11" x14ac:dyDescent="0.25">
      <c r="A87" s="445">
        <v>77</v>
      </c>
      <c r="B87" s="553" t="s">
        <v>30</v>
      </c>
      <c r="C87" s="554" t="s">
        <v>198</v>
      </c>
      <c r="D87" s="521"/>
      <c r="E87" s="522"/>
      <c r="F87" s="517"/>
      <c r="G87" s="522"/>
      <c r="H87" s="581"/>
      <c r="I87" s="551"/>
      <c r="J87" s="580"/>
      <c r="K87" s="538"/>
    </row>
    <row r="88" spans="1:11" ht="25.5" x14ac:dyDescent="0.25">
      <c r="A88" s="1221">
        <v>78</v>
      </c>
      <c r="B88" s="1321" t="s">
        <v>199</v>
      </c>
      <c r="C88" s="582" t="s">
        <v>200</v>
      </c>
      <c r="D88" s="521"/>
      <c r="E88" s="522"/>
      <c r="F88" s="517"/>
      <c r="G88" s="522"/>
      <c r="H88" s="581"/>
      <c r="I88" s="551"/>
      <c r="J88" s="580"/>
      <c r="K88" s="538"/>
    </row>
    <row r="89" spans="1:11" ht="38.25" x14ac:dyDescent="0.25">
      <c r="A89" s="1336"/>
      <c r="B89" s="1322"/>
      <c r="C89" s="554" t="s">
        <v>201</v>
      </c>
      <c r="D89" s="521"/>
      <c r="E89" s="522"/>
      <c r="F89" s="517"/>
      <c r="G89" s="522"/>
      <c r="H89" s="581"/>
      <c r="I89" s="551"/>
      <c r="J89" s="580"/>
      <c r="K89" s="538"/>
    </row>
    <row r="90" spans="1:11" ht="25.5" x14ac:dyDescent="0.25">
      <c r="A90" s="1336"/>
      <c r="B90" s="1322"/>
      <c r="C90" s="554" t="s">
        <v>202</v>
      </c>
      <c r="D90" s="521"/>
      <c r="E90" s="522"/>
      <c r="F90" s="517"/>
      <c r="G90" s="522"/>
      <c r="H90" s="581"/>
      <c r="I90" s="551"/>
      <c r="J90" s="580"/>
      <c r="K90" s="538"/>
    </row>
    <row r="91" spans="1:11" ht="38.25" x14ac:dyDescent="0.25">
      <c r="A91" s="1337"/>
      <c r="B91" s="1323"/>
      <c r="C91" s="488" t="s">
        <v>203</v>
      </c>
      <c r="D91" s="521"/>
      <c r="E91" s="522"/>
      <c r="F91" s="517"/>
      <c r="G91" s="522"/>
      <c r="H91" s="581"/>
      <c r="I91" s="551"/>
      <c r="J91" s="580"/>
      <c r="K91" s="538"/>
    </row>
    <row r="92" spans="1:11" ht="25.5" x14ac:dyDescent="0.25">
      <c r="A92" s="489">
        <v>79</v>
      </c>
      <c r="B92" s="553" t="s">
        <v>204</v>
      </c>
      <c r="C92" s="554" t="s">
        <v>205</v>
      </c>
      <c r="D92" s="521"/>
      <c r="E92" s="522"/>
      <c r="F92" s="517"/>
      <c r="G92" s="522"/>
      <c r="H92" s="581"/>
      <c r="I92" s="551"/>
      <c r="J92" s="580"/>
      <c r="K92" s="538"/>
    </row>
    <row r="93" spans="1:11" x14ac:dyDescent="0.25">
      <c r="A93" s="445">
        <v>80</v>
      </c>
      <c r="B93" s="553" t="s">
        <v>206</v>
      </c>
      <c r="C93" s="554" t="s">
        <v>207</v>
      </c>
      <c r="D93" s="521"/>
      <c r="E93" s="522"/>
      <c r="F93" s="517"/>
      <c r="G93" s="522"/>
      <c r="H93" s="581"/>
      <c r="I93" s="551"/>
      <c r="J93" s="580"/>
      <c r="K93" s="538"/>
    </row>
    <row r="94" spans="1:11" x14ac:dyDescent="0.25">
      <c r="A94" s="445">
        <v>81</v>
      </c>
      <c r="B94" s="529" t="s">
        <v>208</v>
      </c>
      <c r="C94" s="554" t="s">
        <v>209</v>
      </c>
      <c r="D94" s="521"/>
      <c r="E94" s="522"/>
      <c r="F94" s="517"/>
      <c r="G94" s="522"/>
      <c r="H94" s="581"/>
      <c r="I94" s="551"/>
      <c r="J94" s="580"/>
      <c r="K94" s="538"/>
    </row>
    <row r="95" spans="1:11" x14ac:dyDescent="0.25">
      <c r="A95" s="445">
        <v>82</v>
      </c>
      <c r="B95" s="553" t="s">
        <v>210</v>
      </c>
      <c r="C95" s="554" t="s">
        <v>211</v>
      </c>
      <c r="D95" s="521">
        <v>2475</v>
      </c>
      <c r="E95" s="522"/>
      <c r="F95" s="517">
        <f t="shared" ref="F95:F135" si="2">D95+E95</f>
        <v>2475</v>
      </c>
      <c r="G95" s="522">
        <v>413</v>
      </c>
      <c r="H95" s="581"/>
      <c r="I95" s="551"/>
      <c r="J95" s="580"/>
      <c r="K95" s="538"/>
    </row>
    <row r="96" spans="1:11" x14ac:dyDescent="0.25">
      <c r="A96" s="445">
        <v>83</v>
      </c>
      <c r="B96" s="529" t="s">
        <v>212</v>
      </c>
      <c r="C96" s="554" t="s">
        <v>213</v>
      </c>
      <c r="D96" s="521">
        <v>3375</v>
      </c>
      <c r="E96" s="522"/>
      <c r="F96" s="517">
        <f t="shared" si="2"/>
        <v>3375</v>
      </c>
      <c r="G96" s="522">
        <v>562</v>
      </c>
      <c r="H96" s="581"/>
      <c r="I96" s="551"/>
      <c r="J96" s="580"/>
      <c r="K96" s="538"/>
    </row>
    <row r="97" spans="1:11" x14ac:dyDescent="0.25">
      <c r="A97" s="445">
        <v>84</v>
      </c>
      <c r="B97" s="529" t="s">
        <v>214</v>
      </c>
      <c r="C97" s="554" t="s">
        <v>215</v>
      </c>
      <c r="D97" s="521">
        <v>6450</v>
      </c>
      <c r="E97" s="522"/>
      <c r="F97" s="517">
        <f t="shared" si="2"/>
        <v>6450</v>
      </c>
      <c r="G97" s="522">
        <v>1075</v>
      </c>
      <c r="H97" s="581"/>
      <c r="I97" s="551"/>
      <c r="J97" s="580"/>
      <c r="K97" s="538"/>
    </row>
    <row r="98" spans="1:11" x14ac:dyDescent="0.25">
      <c r="A98" s="445">
        <v>85</v>
      </c>
      <c r="B98" s="553" t="s">
        <v>216</v>
      </c>
      <c r="C98" s="554" t="s">
        <v>217</v>
      </c>
      <c r="D98" s="521">
        <v>3375</v>
      </c>
      <c r="E98" s="522"/>
      <c r="F98" s="517">
        <f t="shared" si="2"/>
        <v>3375</v>
      </c>
      <c r="G98" s="522">
        <v>562</v>
      </c>
      <c r="H98" s="581"/>
      <c r="I98" s="551"/>
      <c r="J98" s="580"/>
      <c r="K98" s="538"/>
    </row>
    <row r="99" spans="1:11" x14ac:dyDescent="0.25">
      <c r="A99" s="445">
        <v>86</v>
      </c>
      <c r="B99" s="550" t="s">
        <v>218</v>
      </c>
      <c r="C99" s="554" t="s">
        <v>219</v>
      </c>
      <c r="D99" s="521">
        <v>6125</v>
      </c>
      <c r="E99" s="522"/>
      <c r="F99" s="517">
        <f t="shared" si="2"/>
        <v>6125</v>
      </c>
      <c r="G99" s="522">
        <v>1028</v>
      </c>
      <c r="H99" s="581"/>
      <c r="I99" s="551"/>
      <c r="J99" s="580"/>
      <c r="K99" s="538"/>
    </row>
    <row r="100" spans="1:11" x14ac:dyDescent="0.25">
      <c r="A100" s="445">
        <v>88</v>
      </c>
      <c r="B100" s="550" t="s">
        <v>220</v>
      </c>
      <c r="C100" s="554" t="s">
        <v>221</v>
      </c>
      <c r="D100" s="521">
        <v>4125</v>
      </c>
      <c r="E100" s="522"/>
      <c r="F100" s="517">
        <f t="shared" si="2"/>
        <v>4125</v>
      </c>
      <c r="G100" s="522">
        <v>687</v>
      </c>
      <c r="H100" s="581"/>
      <c r="I100" s="551"/>
      <c r="J100" s="580"/>
      <c r="K100" s="538"/>
    </row>
    <row r="101" spans="1:11" x14ac:dyDescent="0.25">
      <c r="A101" s="445">
        <v>89</v>
      </c>
      <c r="B101" s="529" t="s">
        <v>222</v>
      </c>
      <c r="C101" s="554" t="s">
        <v>223</v>
      </c>
      <c r="D101" s="521">
        <v>2250</v>
      </c>
      <c r="E101" s="522"/>
      <c r="F101" s="517">
        <f t="shared" si="2"/>
        <v>2250</v>
      </c>
      <c r="G101" s="522">
        <v>375</v>
      </c>
      <c r="H101" s="581"/>
      <c r="I101" s="551"/>
      <c r="J101" s="580"/>
      <c r="K101" s="538"/>
    </row>
    <row r="102" spans="1:11" x14ac:dyDescent="0.25">
      <c r="A102" s="445">
        <v>90</v>
      </c>
      <c r="B102" s="550" t="s">
        <v>224</v>
      </c>
      <c r="C102" s="554" t="s">
        <v>225</v>
      </c>
      <c r="D102" s="521">
        <v>3000</v>
      </c>
      <c r="E102" s="522"/>
      <c r="F102" s="517">
        <f t="shared" si="2"/>
        <v>3000</v>
      </c>
      <c r="G102" s="522">
        <v>500</v>
      </c>
      <c r="H102" s="581"/>
      <c r="I102" s="551"/>
      <c r="J102" s="580"/>
      <c r="K102" s="538"/>
    </row>
    <row r="103" spans="1:11" x14ac:dyDescent="0.25">
      <c r="A103" s="445">
        <v>91</v>
      </c>
      <c r="B103" s="550" t="s">
        <v>226</v>
      </c>
      <c r="C103" s="554" t="s">
        <v>227</v>
      </c>
      <c r="D103" s="521">
        <v>3000</v>
      </c>
      <c r="E103" s="522"/>
      <c r="F103" s="517">
        <f t="shared" si="2"/>
        <v>3000</v>
      </c>
      <c r="G103" s="522">
        <v>500</v>
      </c>
      <c r="H103" s="581"/>
      <c r="I103" s="551"/>
      <c r="J103" s="580"/>
      <c r="K103" s="538"/>
    </row>
    <row r="104" spans="1:11" x14ac:dyDescent="0.25">
      <c r="A104" s="445">
        <v>92</v>
      </c>
      <c r="B104" s="553" t="s">
        <v>32</v>
      </c>
      <c r="C104" s="554" t="s">
        <v>33</v>
      </c>
      <c r="D104" s="521">
        <v>3750</v>
      </c>
      <c r="E104" s="522"/>
      <c r="F104" s="517">
        <f t="shared" si="2"/>
        <v>3750</v>
      </c>
      <c r="G104" s="522">
        <v>625</v>
      </c>
      <c r="H104" s="581"/>
      <c r="I104" s="551"/>
      <c r="J104" s="580"/>
      <c r="K104" s="538"/>
    </row>
    <row r="105" spans="1:11" x14ac:dyDescent="0.25">
      <c r="A105" s="445">
        <v>93</v>
      </c>
      <c r="B105" s="529" t="s">
        <v>228</v>
      </c>
      <c r="C105" s="554" t="s">
        <v>229</v>
      </c>
      <c r="D105" s="521">
        <v>2850</v>
      </c>
      <c r="E105" s="522"/>
      <c r="F105" s="517">
        <f t="shared" si="2"/>
        <v>2850</v>
      </c>
      <c r="G105" s="522">
        <v>475</v>
      </c>
      <c r="H105" s="581"/>
      <c r="I105" s="551"/>
      <c r="J105" s="580"/>
      <c r="K105" s="538"/>
    </row>
    <row r="106" spans="1:11" x14ac:dyDescent="0.25">
      <c r="A106" s="445">
        <v>94</v>
      </c>
      <c r="B106" s="550" t="s">
        <v>230</v>
      </c>
      <c r="C106" s="554" t="s">
        <v>231</v>
      </c>
      <c r="D106" s="521">
        <v>6750</v>
      </c>
      <c r="E106" s="522"/>
      <c r="F106" s="517">
        <f t="shared" si="2"/>
        <v>6750</v>
      </c>
      <c r="G106" s="522">
        <v>1125</v>
      </c>
      <c r="H106" s="581"/>
      <c r="I106" s="551"/>
      <c r="J106" s="580"/>
      <c r="K106" s="538"/>
    </row>
    <row r="107" spans="1:11" x14ac:dyDescent="0.25">
      <c r="A107" s="445">
        <v>96</v>
      </c>
      <c r="B107" s="550" t="s">
        <v>232</v>
      </c>
      <c r="C107" s="554" t="s">
        <v>233</v>
      </c>
      <c r="D107" s="521"/>
      <c r="E107" s="522"/>
      <c r="F107" s="517"/>
      <c r="G107" s="522"/>
      <c r="H107" s="581"/>
      <c r="I107" s="551"/>
      <c r="J107" s="580"/>
      <c r="K107" s="538"/>
    </row>
    <row r="108" spans="1:11" x14ac:dyDescent="0.25">
      <c r="A108" s="445">
        <v>98</v>
      </c>
      <c r="B108" s="550" t="s">
        <v>234</v>
      </c>
      <c r="C108" s="554" t="s">
        <v>235</v>
      </c>
      <c r="D108" s="521"/>
      <c r="E108" s="522"/>
      <c r="F108" s="517"/>
      <c r="G108" s="522"/>
      <c r="H108" s="581"/>
      <c r="I108" s="551"/>
      <c r="J108" s="580"/>
      <c r="K108" s="538"/>
    </row>
    <row r="109" spans="1:11" x14ac:dyDescent="0.25">
      <c r="A109" s="445">
        <v>99</v>
      </c>
      <c r="B109" s="529" t="s">
        <v>236</v>
      </c>
      <c r="C109" s="554" t="s">
        <v>237</v>
      </c>
      <c r="D109" s="521"/>
      <c r="E109" s="522"/>
      <c r="F109" s="517"/>
      <c r="G109" s="522"/>
      <c r="H109" s="581"/>
      <c r="I109" s="551"/>
      <c r="J109" s="580"/>
      <c r="K109" s="538"/>
    </row>
    <row r="110" spans="1:11" x14ac:dyDescent="0.25">
      <c r="A110" s="445">
        <v>100</v>
      </c>
      <c r="B110" s="529" t="s">
        <v>238</v>
      </c>
      <c r="C110" s="554" t="s">
        <v>239</v>
      </c>
      <c r="D110" s="521"/>
      <c r="E110" s="522"/>
      <c r="F110" s="517"/>
      <c r="G110" s="522"/>
      <c r="H110" s="581"/>
      <c r="I110" s="551"/>
      <c r="J110" s="580"/>
      <c r="K110" s="538"/>
    </row>
    <row r="111" spans="1:11" x14ac:dyDescent="0.25">
      <c r="A111" s="445">
        <v>101</v>
      </c>
      <c r="B111" s="529" t="s">
        <v>240</v>
      </c>
      <c r="C111" s="554" t="s">
        <v>241</v>
      </c>
      <c r="D111" s="521"/>
      <c r="E111" s="522"/>
      <c r="F111" s="517"/>
      <c r="G111" s="522"/>
      <c r="H111" s="581"/>
      <c r="I111" s="551"/>
      <c r="J111" s="580"/>
      <c r="K111" s="538"/>
    </row>
    <row r="112" spans="1:11" x14ac:dyDescent="0.25">
      <c r="A112" s="445">
        <v>102</v>
      </c>
      <c r="B112" s="529" t="s">
        <v>242</v>
      </c>
      <c r="C112" s="554" t="s">
        <v>243</v>
      </c>
      <c r="D112" s="521"/>
      <c r="E112" s="522"/>
      <c r="F112" s="517"/>
      <c r="G112" s="522"/>
      <c r="H112" s="581"/>
      <c r="I112" s="551"/>
      <c r="J112" s="580"/>
      <c r="K112" s="538"/>
    </row>
    <row r="113" spans="1:11" x14ac:dyDescent="0.25">
      <c r="A113" s="445">
        <v>103</v>
      </c>
      <c r="B113" s="529" t="s">
        <v>244</v>
      </c>
      <c r="C113" s="554" t="s">
        <v>245</v>
      </c>
      <c r="D113" s="521"/>
      <c r="E113" s="522"/>
      <c r="F113" s="517"/>
      <c r="G113" s="522"/>
      <c r="H113" s="581"/>
      <c r="I113" s="551"/>
      <c r="J113" s="580"/>
      <c r="K113" s="538"/>
    </row>
    <row r="114" spans="1:11" x14ac:dyDescent="0.25">
      <c r="A114" s="445">
        <v>104</v>
      </c>
      <c r="B114" s="490" t="s">
        <v>246</v>
      </c>
      <c r="C114" s="439" t="s">
        <v>247</v>
      </c>
      <c r="D114" s="521"/>
      <c r="E114" s="522"/>
      <c r="F114" s="517"/>
      <c r="G114" s="522"/>
      <c r="H114" s="581"/>
      <c r="I114" s="551"/>
      <c r="J114" s="580"/>
      <c r="K114" s="538"/>
    </row>
    <row r="115" spans="1:11" x14ac:dyDescent="0.25">
      <c r="A115" s="445">
        <v>105</v>
      </c>
      <c r="B115" s="553" t="s">
        <v>248</v>
      </c>
      <c r="C115" s="554" t="s">
        <v>249</v>
      </c>
      <c r="D115" s="521"/>
      <c r="E115" s="522"/>
      <c r="F115" s="517"/>
      <c r="G115" s="522"/>
      <c r="H115" s="581"/>
      <c r="I115" s="551"/>
      <c r="J115" s="580"/>
      <c r="K115" s="538"/>
    </row>
    <row r="116" spans="1:11" x14ac:dyDescent="0.25">
      <c r="A116" s="445">
        <v>106</v>
      </c>
      <c r="B116" s="529" t="s">
        <v>250</v>
      </c>
      <c r="C116" s="554" t="s">
        <v>251</v>
      </c>
      <c r="D116" s="521"/>
      <c r="E116" s="522"/>
      <c r="F116" s="517"/>
      <c r="G116" s="522"/>
      <c r="H116" s="581"/>
      <c r="I116" s="551"/>
      <c r="J116" s="580"/>
      <c r="K116" s="538"/>
    </row>
    <row r="117" spans="1:11" x14ac:dyDescent="0.25">
      <c r="A117" s="445">
        <v>107</v>
      </c>
      <c r="B117" s="550" t="s">
        <v>252</v>
      </c>
      <c r="C117" s="583" t="s">
        <v>253</v>
      </c>
      <c r="D117" s="521"/>
      <c r="E117" s="522"/>
      <c r="F117" s="517"/>
      <c r="G117" s="522"/>
      <c r="H117" s="581"/>
      <c r="I117" s="551"/>
      <c r="J117" s="580"/>
      <c r="K117" s="538"/>
    </row>
    <row r="118" spans="1:11" x14ac:dyDescent="0.25">
      <c r="A118" s="445">
        <v>108</v>
      </c>
      <c r="B118" s="529" t="s">
        <v>254</v>
      </c>
      <c r="C118" s="554" t="s">
        <v>255</v>
      </c>
      <c r="D118" s="521"/>
      <c r="E118" s="522"/>
      <c r="F118" s="517"/>
      <c r="G118" s="522"/>
      <c r="H118" s="581"/>
      <c r="I118" s="551"/>
      <c r="J118" s="580"/>
      <c r="K118" s="538"/>
    </row>
    <row r="119" spans="1:11" x14ac:dyDescent="0.25">
      <c r="A119" s="445">
        <v>109</v>
      </c>
      <c r="B119" s="553" t="s">
        <v>256</v>
      </c>
      <c r="C119" s="554" t="s">
        <v>257</v>
      </c>
      <c r="D119" s="521"/>
      <c r="E119" s="522"/>
      <c r="F119" s="517"/>
      <c r="G119" s="522"/>
      <c r="H119" s="581"/>
      <c r="I119" s="551"/>
      <c r="J119" s="580"/>
      <c r="K119" s="538"/>
    </row>
    <row r="120" spans="1:11" x14ac:dyDescent="0.25">
      <c r="A120" s="445">
        <v>110</v>
      </c>
      <c r="B120" s="550" t="s">
        <v>258</v>
      </c>
      <c r="C120" s="554" t="s">
        <v>259</v>
      </c>
      <c r="D120" s="521"/>
      <c r="E120" s="522"/>
      <c r="F120" s="517"/>
      <c r="G120" s="522"/>
      <c r="H120" s="581"/>
      <c r="I120" s="551"/>
      <c r="J120" s="580"/>
      <c r="K120" s="538"/>
    </row>
    <row r="121" spans="1:11" x14ac:dyDescent="0.25">
      <c r="A121" s="445">
        <v>111</v>
      </c>
      <c r="B121" s="529" t="s">
        <v>551</v>
      </c>
      <c r="C121" s="495" t="s">
        <v>552</v>
      </c>
      <c r="D121" s="521"/>
      <c r="E121" s="522"/>
      <c r="F121" s="517"/>
      <c r="G121" s="522"/>
      <c r="H121" s="581"/>
      <c r="I121" s="551"/>
      <c r="J121" s="580"/>
      <c r="K121" s="538"/>
    </row>
    <row r="122" spans="1:11" x14ac:dyDescent="0.25">
      <c r="A122" s="445">
        <v>112</v>
      </c>
      <c r="B122" s="553" t="s">
        <v>260</v>
      </c>
      <c r="C122" s="554" t="s">
        <v>261</v>
      </c>
      <c r="D122" s="521"/>
      <c r="E122" s="522"/>
      <c r="F122" s="517"/>
      <c r="G122" s="522"/>
      <c r="H122" s="581"/>
      <c r="I122" s="551"/>
      <c r="J122" s="580"/>
      <c r="K122" s="538"/>
    </row>
    <row r="123" spans="1:11" x14ac:dyDescent="0.25">
      <c r="A123" s="445">
        <v>113</v>
      </c>
      <c r="B123" s="529" t="s">
        <v>262</v>
      </c>
      <c r="C123" s="554" t="s">
        <v>263</v>
      </c>
      <c r="D123" s="521"/>
      <c r="E123" s="522"/>
      <c r="F123" s="517"/>
      <c r="G123" s="522"/>
      <c r="H123" s="581"/>
      <c r="I123" s="551"/>
      <c r="J123" s="580"/>
      <c r="K123" s="538"/>
    </row>
    <row r="124" spans="1:11" ht="25.5" x14ac:dyDescent="0.25">
      <c r="A124" s="445">
        <v>114</v>
      </c>
      <c r="B124" s="529" t="s">
        <v>264</v>
      </c>
      <c r="C124" s="584" t="s">
        <v>265</v>
      </c>
      <c r="D124" s="521"/>
      <c r="E124" s="522"/>
      <c r="F124" s="517"/>
      <c r="G124" s="522"/>
      <c r="H124" s="581"/>
      <c r="I124" s="551"/>
      <c r="J124" s="580"/>
      <c r="K124" s="538"/>
    </row>
    <row r="125" spans="1:11" x14ac:dyDescent="0.25">
      <c r="A125" s="445">
        <v>115</v>
      </c>
      <c r="B125" s="529" t="s">
        <v>266</v>
      </c>
      <c r="C125" s="554" t="s">
        <v>267</v>
      </c>
      <c r="D125" s="521"/>
      <c r="E125" s="522"/>
      <c r="F125" s="517"/>
      <c r="G125" s="522"/>
      <c r="H125" s="581"/>
      <c r="I125" s="551"/>
      <c r="J125" s="580"/>
      <c r="K125" s="538"/>
    </row>
    <row r="126" spans="1:11" x14ac:dyDescent="0.25">
      <c r="A126" s="445">
        <v>116</v>
      </c>
      <c r="B126" s="529" t="s">
        <v>268</v>
      </c>
      <c r="C126" s="554" t="s">
        <v>269</v>
      </c>
      <c r="D126" s="521"/>
      <c r="E126" s="522"/>
      <c r="F126" s="517"/>
      <c r="G126" s="522"/>
      <c r="H126" s="581"/>
      <c r="I126" s="551"/>
      <c r="J126" s="580"/>
      <c r="K126" s="538"/>
    </row>
    <row r="127" spans="1:11" x14ac:dyDescent="0.25">
      <c r="A127" s="445">
        <v>117</v>
      </c>
      <c r="B127" s="529" t="s">
        <v>270</v>
      </c>
      <c r="C127" s="554" t="s">
        <v>271</v>
      </c>
      <c r="D127" s="521"/>
      <c r="E127" s="522"/>
      <c r="F127" s="517"/>
      <c r="G127" s="522"/>
      <c r="H127" s="581"/>
      <c r="I127" s="551"/>
      <c r="J127" s="580"/>
      <c r="K127" s="538"/>
    </row>
    <row r="128" spans="1:11" x14ac:dyDescent="0.25">
      <c r="A128" s="445">
        <v>118</v>
      </c>
      <c r="B128" s="550" t="s">
        <v>272</v>
      </c>
      <c r="C128" s="554" t="s">
        <v>273</v>
      </c>
      <c r="D128" s="521"/>
      <c r="E128" s="522"/>
      <c r="F128" s="517"/>
      <c r="G128" s="522"/>
      <c r="H128" s="581"/>
      <c r="I128" s="551"/>
      <c r="J128" s="580"/>
      <c r="K128" s="538"/>
    </row>
    <row r="129" spans="1:11" x14ac:dyDescent="0.25">
      <c r="A129" s="445">
        <v>119</v>
      </c>
      <c r="B129" s="550" t="s">
        <v>274</v>
      </c>
      <c r="C129" s="554" t="s">
        <v>275</v>
      </c>
      <c r="D129" s="521"/>
      <c r="E129" s="522"/>
      <c r="F129" s="517"/>
      <c r="G129" s="522"/>
      <c r="H129" s="581"/>
      <c r="I129" s="551"/>
      <c r="J129" s="580"/>
      <c r="K129" s="538"/>
    </row>
    <row r="130" spans="1:11" x14ac:dyDescent="0.25">
      <c r="A130" s="445">
        <v>120</v>
      </c>
      <c r="B130" s="550" t="s">
        <v>276</v>
      </c>
      <c r="C130" s="554" t="s">
        <v>277</v>
      </c>
      <c r="D130" s="521"/>
      <c r="E130" s="522"/>
      <c r="F130" s="517"/>
      <c r="G130" s="522"/>
      <c r="H130" s="581"/>
      <c r="I130" s="551"/>
      <c r="J130" s="580"/>
      <c r="K130" s="538"/>
    </row>
    <row r="131" spans="1:11" x14ac:dyDescent="0.25">
      <c r="A131" s="445">
        <v>121</v>
      </c>
      <c r="B131" s="529" t="s">
        <v>278</v>
      </c>
      <c r="C131" s="554" t="s">
        <v>279</v>
      </c>
      <c r="D131" s="521"/>
      <c r="E131" s="522"/>
      <c r="F131" s="517"/>
      <c r="G131" s="522"/>
      <c r="H131" s="581"/>
      <c r="I131" s="551"/>
      <c r="J131" s="580"/>
      <c r="K131" s="538"/>
    </row>
    <row r="132" spans="1:11" x14ac:dyDescent="0.25">
      <c r="A132" s="445">
        <v>122</v>
      </c>
      <c r="B132" s="529" t="s">
        <v>280</v>
      </c>
      <c r="C132" s="554" t="s">
        <v>281</v>
      </c>
      <c r="D132" s="521"/>
      <c r="E132" s="522"/>
      <c r="F132" s="517"/>
      <c r="G132" s="522"/>
      <c r="H132" s="581"/>
      <c r="I132" s="551"/>
      <c r="J132" s="580"/>
      <c r="K132" s="538"/>
    </row>
    <row r="133" spans="1:11" x14ac:dyDescent="0.25">
      <c r="A133" s="445">
        <v>123</v>
      </c>
      <c r="B133" s="529" t="s">
        <v>282</v>
      </c>
      <c r="C133" s="554" t="s">
        <v>783</v>
      </c>
      <c r="D133" s="521"/>
      <c r="E133" s="522"/>
      <c r="F133" s="517"/>
      <c r="G133" s="522"/>
      <c r="H133" s="581"/>
      <c r="I133" s="551"/>
      <c r="J133" s="580"/>
      <c r="K133" s="538"/>
    </row>
    <row r="134" spans="1:11" x14ac:dyDescent="0.25">
      <c r="A134" s="445">
        <v>124</v>
      </c>
      <c r="B134" s="550" t="s">
        <v>283</v>
      </c>
      <c r="C134" s="554" t="s">
        <v>284</v>
      </c>
      <c r="D134" s="521"/>
      <c r="E134" s="522"/>
      <c r="F134" s="517"/>
      <c r="G134" s="522"/>
      <c r="H134" s="581"/>
      <c r="I134" s="551"/>
      <c r="J134" s="580"/>
      <c r="K134" s="538"/>
    </row>
    <row r="135" spans="1:11" ht="27" customHeight="1" x14ac:dyDescent="0.25">
      <c r="A135" s="445">
        <v>125</v>
      </c>
      <c r="B135" s="553" t="s">
        <v>285</v>
      </c>
      <c r="C135" s="554" t="s">
        <v>737</v>
      </c>
      <c r="D135" s="521">
        <v>4080</v>
      </c>
      <c r="E135" s="522"/>
      <c r="F135" s="517">
        <f t="shared" si="2"/>
        <v>4080</v>
      </c>
      <c r="G135" s="522">
        <v>684</v>
      </c>
      <c r="H135" s="581"/>
      <c r="I135" s="551"/>
      <c r="J135" s="580"/>
      <c r="K135" s="538"/>
    </row>
    <row r="136" spans="1:11" x14ac:dyDescent="0.25">
      <c r="A136" s="445">
        <v>126</v>
      </c>
      <c r="B136" s="529" t="s">
        <v>286</v>
      </c>
      <c r="C136" s="554" t="s">
        <v>287</v>
      </c>
      <c r="D136" s="521"/>
      <c r="E136" s="522"/>
      <c r="F136" s="517"/>
      <c r="G136" s="522"/>
      <c r="H136" s="581"/>
      <c r="I136" s="551"/>
      <c r="J136" s="580"/>
      <c r="K136" s="538"/>
    </row>
    <row r="137" spans="1:11" x14ac:dyDescent="0.25">
      <c r="A137" s="445">
        <v>127</v>
      </c>
      <c r="B137" s="550" t="s">
        <v>288</v>
      </c>
      <c r="C137" s="554" t="s">
        <v>289</v>
      </c>
      <c r="D137" s="521"/>
      <c r="E137" s="522"/>
      <c r="F137" s="517"/>
      <c r="G137" s="522"/>
      <c r="H137" s="581"/>
      <c r="I137" s="551"/>
      <c r="J137" s="580"/>
      <c r="K137" s="538"/>
    </row>
    <row r="138" spans="1:11" x14ac:dyDescent="0.25">
      <c r="A138" s="445">
        <v>128</v>
      </c>
      <c r="B138" s="529" t="s">
        <v>290</v>
      </c>
      <c r="C138" s="554" t="s">
        <v>291</v>
      </c>
      <c r="D138" s="521"/>
      <c r="E138" s="522"/>
      <c r="F138" s="517"/>
      <c r="G138" s="522"/>
      <c r="H138" s="581"/>
      <c r="I138" s="551"/>
      <c r="J138" s="580"/>
      <c r="K138" s="538"/>
    </row>
    <row r="139" spans="1:11" x14ac:dyDescent="0.25">
      <c r="A139" s="445">
        <v>129</v>
      </c>
      <c r="B139" s="555" t="s">
        <v>292</v>
      </c>
      <c r="C139" s="498" t="s">
        <v>293</v>
      </c>
      <c r="D139" s="521"/>
      <c r="E139" s="522"/>
      <c r="F139" s="517"/>
      <c r="G139" s="538"/>
      <c r="H139" s="579"/>
      <c r="I139" s="551"/>
      <c r="J139" s="580"/>
      <c r="K139" s="538"/>
    </row>
    <row r="140" spans="1:11" x14ac:dyDescent="0.25">
      <c r="A140" s="445">
        <v>130</v>
      </c>
      <c r="B140" s="556" t="s">
        <v>294</v>
      </c>
      <c r="C140" s="498" t="s">
        <v>295</v>
      </c>
      <c r="D140" s="521"/>
      <c r="E140" s="522"/>
      <c r="F140" s="517"/>
      <c r="G140" s="538"/>
      <c r="H140" s="579"/>
      <c r="I140" s="551"/>
      <c r="J140" s="580"/>
      <c r="K140" s="538"/>
    </row>
    <row r="141" spans="1:11" x14ac:dyDescent="0.25">
      <c r="A141" s="445">
        <v>131</v>
      </c>
      <c r="B141" s="573" t="s">
        <v>296</v>
      </c>
      <c r="C141" s="585" t="s">
        <v>462</v>
      </c>
      <c r="D141" s="521">
        <v>422615</v>
      </c>
      <c r="E141" s="522">
        <v>99924</v>
      </c>
      <c r="F141" s="517">
        <f t="shared" ref="F141" si="3">D141+E141</f>
        <v>522539</v>
      </c>
      <c r="G141" s="538">
        <v>152406</v>
      </c>
      <c r="H141" s="537">
        <v>5657</v>
      </c>
      <c r="I141" s="551">
        <v>525590</v>
      </c>
      <c r="J141" s="521">
        <v>799</v>
      </c>
      <c r="K141" s="538">
        <v>41540</v>
      </c>
    </row>
    <row r="142" spans="1:11" x14ac:dyDescent="0.25">
      <c r="A142" s="445">
        <v>132</v>
      </c>
      <c r="B142" s="502" t="s">
        <v>298</v>
      </c>
      <c r="C142" s="557" t="s">
        <v>299</v>
      </c>
      <c r="D142" s="521"/>
      <c r="E142" s="522"/>
      <c r="F142" s="517"/>
      <c r="G142" s="538"/>
      <c r="H142" s="579"/>
      <c r="I142" s="551"/>
      <c r="J142" s="580"/>
      <c r="K142" s="538"/>
    </row>
    <row r="143" spans="1:11" x14ac:dyDescent="0.25">
      <c r="A143" s="445">
        <v>133</v>
      </c>
      <c r="B143" s="438" t="s">
        <v>300</v>
      </c>
      <c r="C143" s="557" t="s">
        <v>301</v>
      </c>
      <c r="D143" s="521"/>
      <c r="E143" s="522"/>
      <c r="F143" s="517"/>
      <c r="G143" s="538"/>
      <c r="H143" s="579"/>
      <c r="I143" s="551"/>
      <c r="J143" s="580"/>
      <c r="K143" s="538"/>
    </row>
    <row r="144" spans="1:11" x14ac:dyDescent="0.25">
      <c r="A144" s="445">
        <v>134</v>
      </c>
      <c r="B144" s="438" t="s">
        <v>302</v>
      </c>
      <c r="C144" s="557" t="s">
        <v>303</v>
      </c>
      <c r="D144" s="521"/>
      <c r="E144" s="522"/>
      <c r="F144" s="517"/>
      <c r="G144" s="538"/>
      <c r="H144" s="579"/>
      <c r="I144" s="551"/>
      <c r="J144" s="580"/>
      <c r="K144" s="538"/>
    </row>
    <row r="145" spans="1:11" ht="15.75" thickBot="1" x14ac:dyDescent="0.3">
      <c r="A145" s="426">
        <v>135</v>
      </c>
      <c r="B145" s="427" t="s">
        <v>304</v>
      </c>
      <c r="C145" s="428" t="s">
        <v>305</v>
      </c>
      <c r="D145" s="558"/>
      <c r="E145" s="542"/>
      <c r="F145" s="543"/>
      <c r="G145" s="544"/>
      <c r="H145" s="586"/>
      <c r="I145" s="544"/>
      <c r="J145" s="587"/>
      <c r="K145" s="544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zoomScaleNormal="100" workbookViewId="0">
      <pane xSplit="3" ySplit="4" topLeftCell="D122" activePane="bottomRight" state="frozen"/>
      <selection pane="topRight" activeCell="D1" sqref="D1"/>
      <selection pane="bottomLeft" activeCell="A6" sqref="A6"/>
      <selection pane="bottomRight" activeCell="C130" sqref="C130"/>
    </sheetView>
  </sheetViews>
  <sheetFormatPr defaultRowHeight="12" x14ac:dyDescent="0.25"/>
  <cols>
    <col min="1" max="1" width="4" style="643" customWidth="1"/>
    <col min="2" max="2" width="9.28515625" style="643" customWidth="1"/>
    <col min="3" max="3" width="31" style="644" customWidth="1"/>
    <col min="4" max="4" width="13.140625" style="643" customWidth="1"/>
    <col min="5" max="5" width="12.42578125" style="643" customWidth="1"/>
    <col min="6" max="6" width="10.140625" style="643" customWidth="1"/>
    <col min="7" max="7" width="9.28515625" style="643" customWidth="1"/>
    <col min="8" max="8" width="11.28515625" style="643" customWidth="1"/>
    <col min="9" max="9" width="12.85546875" style="643" customWidth="1"/>
    <col min="10" max="10" width="12.140625" style="643" customWidth="1"/>
    <col min="11" max="11" width="10.7109375" style="643" customWidth="1"/>
    <col min="12" max="12" width="12" style="643" customWidth="1"/>
    <col min="13" max="16384" width="9.140625" style="617"/>
  </cols>
  <sheetData>
    <row r="1" spans="1:13" s="368" customFormat="1" ht="20.25" customHeight="1" x14ac:dyDescent="0.25">
      <c r="A1" s="878" t="s">
        <v>652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</row>
    <row r="2" spans="1:13" s="618" customFormat="1" ht="13.5" customHeight="1" x14ac:dyDescent="0.25">
      <c r="A2" s="614"/>
      <c r="B2" s="614"/>
      <c r="C2" s="614"/>
      <c r="D2" s="615"/>
      <c r="E2" s="614"/>
      <c r="F2" s="614"/>
      <c r="G2" s="614"/>
      <c r="H2" s="616"/>
      <c r="I2" s="616"/>
      <c r="J2" s="616"/>
      <c r="K2" s="616"/>
      <c r="L2" s="616"/>
      <c r="M2" s="617"/>
    </row>
    <row r="3" spans="1:13" s="618" customFormat="1" ht="13.5" customHeight="1" x14ac:dyDescent="0.25">
      <c r="A3" s="879" t="s">
        <v>0</v>
      </c>
      <c r="B3" s="879" t="s">
        <v>1</v>
      </c>
      <c r="C3" s="879" t="s">
        <v>2</v>
      </c>
      <c r="D3" s="879" t="s">
        <v>734</v>
      </c>
      <c r="E3" s="879" t="s">
        <v>735</v>
      </c>
      <c r="F3" s="881" t="s">
        <v>449</v>
      </c>
      <c r="G3" s="881"/>
      <c r="H3" s="881"/>
      <c r="I3" s="881"/>
      <c r="J3" s="881"/>
      <c r="K3" s="882" t="s">
        <v>653</v>
      </c>
      <c r="L3" s="882" t="s">
        <v>654</v>
      </c>
      <c r="M3" s="617"/>
    </row>
    <row r="4" spans="1:13" s="620" customFormat="1" ht="70.5" customHeight="1" x14ac:dyDescent="0.25">
      <c r="A4" s="880"/>
      <c r="B4" s="880"/>
      <c r="C4" s="880"/>
      <c r="D4" s="880"/>
      <c r="E4" s="880"/>
      <c r="F4" s="683" t="s">
        <v>655</v>
      </c>
      <c r="G4" s="683" t="s">
        <v>656</v>
      </c>
      <c r="H4" s="683" t="s">
        <v>779</v>
      </c>
      <c r="I4" s="683" t="s">
        <v>732</v>
      </c>
      <c r="J4" s="683" t="s">
        <v>733</v>
      </c>
      <c r="K4" s="883"/>
      <c r="L4" s="883"/>
      <c r="M4" s="619"/>
    </row>
    <row r="5" spans="1:13" s="618" customFormat="1" ht="12" customHeight="1" x14ac:dyDescent="0.25">
      <c r="A5" s="613">
        <v>1</v>
      </c>
      <c r="B5" s="369" t="s">
        <v>54</v>
      </c>
      <c r="C5" s="621" t="s">
        <v>55</v>
      </c>
      <c r="D5" s="622">
        <v>758</v>
      </c>
      <c r="E5" s="622">
        <v>758</v>
      </c>
      <c r="F5" s="613"/>
      <c r="G5" s="613"/>
      <c r="H5" s="613"/>
      <c r="I5" s="613"/>
      <c r="J5" s="613"/>
      <c r="K5" s="613"/>
      <c r="L5" s="613"/>
      <c r="M5" s="617"/>
    </row>
    <row r="6" spans="1:13" s="618" customFormat="1" x14ac:dyDescent="0.25">
      <c r="A6" s="613">
        <v>2</v>
      </c>
      <c r="B6" s="369" t="s">
        <v>56</v>
      </c>
      <c r="C6" s="623" t="s">
        <v>57</v>
      </c>
      <c r="D6" s="622">
        <v>761</v>
      </c>
      <c r="E6" s="622">
        <v>761</v>
      </c>
      <c r="F6" s="613"/>
      <c r="G6" s="613"/>
      <c r="H6" s="613"/>
      <c r="I6" s="613"/>
      <c r="J6" s="613"/>
      <c r="K6" s="613"/>
      <c r="L6" s="613"/>
      <c r="M6" s="617"/>
    </row>
    <row r="7" spans="1:13" s="618" customFormat="1" x14ac:dyDescent="0.25">
      <c r="A7" s="613">
        <v>3</v>
      </c>
      <c r="B7" s="624" t="s">
        <v>16</v>
      </c>
      <c r="C7" s="625" t="s">
        <v>17</v>
      </c>
      <c r="D7" s="622">
        <v>2650</v>
      </c>
      <c r="E7" s="622">
        <v>2480</v>
      </c>
      <c r="F7" s="613"/>
      <c r="G7" s="613"/>
      <c r="H7" s="613"/>
      <c r="I7" s="613"/>
      <c r="J7" s="613">
        <v>25</v>
      </c>
      <c r="K7" s="613"/>
      <c r="L7" s="613">
        <v>170</v>
      </c>
      <c r="M7" s="617"/>
    </row>
    <row r="8" spans="1:13" s="618" customFormat="1" ht="11.25" customHeight="1" x14ac:dyDescent="0.25">
      <c r="A8" s="613">
        <v>4</v>
      </c>
      <c r="B8" s="369" t="s">
        <v>58</v>
      </c>
      <c r="C8" s="623" t="s">
        <v>59</v>
      </c>
      <c r="D8" s="622">
        <v>798</v>
      </c>
      <c r="E8" s="622">
        <v>798</v>
      </c>
      <c r="F8" s="613"/>
      <c r="G8" s="613"/>
      <c r="H8" s="613"/>
      <c r="I8" s="613"/>
      <c r="J8" s="613"/>
      <c r="K8" s="613"/>
      <c r="L8" s="613"/>
      <c r="M8" s="617"/>
    </row>
    <row r="9" spans="1:13" s="618" customFormat="1" ht="12.75" customHeight="1" x14ac:dyDescent="0.25">
      <c r="A9" s="613">
        <v>5</v>
      </c>
      <c r="B9" s="369" t="s">
        <v>60</v>
      </c>
      <c r="C9" s="623" t="s">
        <v>61</v>
      </c>
      <c r="D9" s="622">
        <v>908</v>
      </c>
      <c r="E9" s="622">
        <v>908</v>
      </c>
      <c r="F9" s="613"/>
      <c r="G9" s="613"/>
      <c r="H9" s="613"/>
      <c r="I9" s="613"/>
      <c r="J9" s="613"/>
      <c r="K9" s="613"/>
      <c r="L9" s="613"/>
      <c r="M9" s="617"/>
    </row>
    <row r="10" spans="1:13" s="618" customFormat="1" x14ac:dyDescent="0.25">
      <c r="A10" s="613">
        <v>6</v>
      </c>
      <c r="B10" s="624" t="s">
        <v>18</v>
      </c>
      <c r="C10" s="625" t="s">
        <v>19</v>
      </c>
      <c r="D10" s="622">
        <v>8123</v>
      </c>
      <c r="E10" s="622">
        <v>7831</v>
      </c>
      <c r="F10" s="613"/>
      <c r="G10" s="613"/>
      <c r="H10" s="613">
        <v>675</v>
      </c>
      <c r="I10" s="613"/>
      <c r="J10" s="613">
        <v>60</v>
      </c>
      <c r="K10" s="613"/>
      <c r="L10" s="613">
        <v>292</v>
      </c>
      <c r="M10" s="617"/>
    </row>
    <row r="11" spans="1:13" s="618" customFormat="1" x14ac:dyDescent="0.25">
      <c r="A11" s="613">
        <v>7</v>
      </c>
      <c r="B11" s="626" t="s">
        <v>62</v>
      </c>
      <c r="C11" s="627" t="s">
        <v>63</v>
      </c>
      <c r="D11" s="622">
        <v>2691</v>
      </c>
      <c r="E11" s="622">
        <v>2391</v>
      </c>
      <c r="F11" s="613"/>
      <c r="G11" s="613"/>
      <c r="H11" s="613"/>
      <c r="I11" s="613"/>
      <c r="J11" s="613"/>
      <c r="K11" s="613"/>
      <c r="L11" s="613">
        <v>300</v>
      </c>
      <c r="M11" s="617"/>
    </row>
    <row r="12" spans="1:13" s="618" customFormat="1" x14ac:dyDescent="0.25">
      <c r="A12" s="613">
        <v>8</v>
      </c>
      <c r="B12" s="624" t="s">
        <v>64</v>
      </c>
      <c r="C12" s="625" t="s">
        <v>65</v>
      </c>
      <c r="D12" s="622">
        <v>958</v>
      </c>
      <c r="E12" s="622">
        <v>958</v>
      </c>
      <c r="F12" s="613"/>
      <c r="G12" s="613"/>
      <c r="H12" s="613"/>
      <c r="I12" s="613"/>
      <c r="J12" s="613"/>
      <c r="K12" s="613"/>
      <c r="L12" s="613"/>
      <c r="M12" s="617"/>
    </row>
    <row r="13" spans="1:13" s="618" customFormat="1" x14ac:dyDescent="0.25">
      <c r="A13" s="613">
        <v>9</v>
      </c>
      <c r="B13" s="624" t="s">
        <v>66</v>
      </c>
      <c r="C13" s="625" t="s">
        <v>67</v>
      </c>
      <c r="D13" s="622">
        <v>847</v>
      </c>
      <c r="E13" s="622">
        <v>847</v>
      </c>
      <c r="F13" s="613"/>
      <c r="G13" s="613"/>
      <c r="H13" s="613"/>
      <c r="I13" s="613"/>
      <c r="J13" s="613"/>
      <c r="K13" s="613"/>
      <c r="L13" s="613"/>
      <c r="M13" s="617"/>
    </row>
    <row r="14" spans="1:13" s="618" customFormat="1" x14ac:dyDescent="0.25">
      <c r="A14" s="613">
        <v>10</v>
      </c>
      <c r="B14" s="624" t="s">
        <v>68</v>
      </c>
      <c r="C14" s="625" t="s">
        <v>69</v>
      </c>
      <c r="D14" s="622">
        <v>1157</v>
      </c>
      <c r="E14" s="622">
        <v>1157</v>
      </c>
      <c r="F14" s="613"/>
      <c r="G14" s="613"/>
      <c r="H14" s="613"/>
      <c r="I14" s="613"/>
      <c r="J14" s="613"/>
      <c r="K14" s="613"/>
      <c r="L14" s="613"/>
      <c r="M14" s="617"/>
    </row>
    <row r="15" spans="1:13" s="618" customFormat="1" x14ac:dyDescent="0.25">
      <c r="A15" s="613">
        <v>11</v>
      </c>
      <c r="B15" s="624" t="s">
        <v>70</v>
      </c>
      <c r="C15" s="625" t="s">
        <v>71</v>
      </c>
      <c r="D15" s="622">
        <v>864</v>
      </c>
      <c r="E15" s="622">
        <v>864</v>
      </c>
      <c r="F15" s="613"/>
      <c r="G15" s="613"/>
      <c r="H15" s="613"/>
      <c r="I15" s="613"/>
      <c r="J15" s="613"/>
      <c r="K15" s="613"/>
      <c r="L15" s="613"/>
      <c r="M15" s="617"/>
    </row>
    <row r="16" spans="1:13" s="618" customFormat="1" x14ac:dyDescent="0.25">
      <c r="A16" s="613">
        <v>12</v>
      </c>
      <c r="B16" s="624" t="s">
        <v>72</v>
      </c>
      <c r="C16" s="625" t="s">
        <v>73</v>
      </c>
      <c r="D16" s="622">
        <v>1779</v>
      </c>
      <c r="E16" s="622">
        <v>1779</v>
      </c>
      <c r="F16" s="613"/>
      <c r="G16" s="613"/>
      <c r="H16" s="613"/>
      <c r="I16" s="613"/>
      <c r="J16" s="613"/>
      <c r="K16" s="613"/>
      <c r="L16" s="613"/>
      <c r="M16" s="617"/>
    </row>
    <row r="17" spans="1:13" s="618" customFormat="1" x14ac:dyDescent="0.25">
      <c r="A17" s="613">
        <v>13</v>
      </c>
      <c r="B17" s="666" t="s">
        <v>74</v>
      </c>
      <c r="C17" s="667" t="s">
        <v>75</v>
      </c>
      <c r="D17" s="622">
        <v>0</v>
      </c>
      <c r="E17" s="622"/>
      <c r="F17" s="613"/>
      <c r="G17" s="613"/>
      <c r="H17" s="613"/>
      <c r="I17" s="613"/>
      <c r="J17" s="613"/>
      <c r="K17" s="613"/>
      <c r="L17" s="613"/>
      <c r="M17" s="617"/>
    </row>
    <row r="18" spans="1:13" s="618" customFormat="1" x14ac:dyDescent="0.25">
      <c r="A18" s="613">
        <v>14</v>
      </c>
      <c r="B18" s="624" t="s">
        <v>76</v>
      </c>
      <c r="C18" s="625" t="s">
        <v>77</v>
      </c>
      <c r="D18" s="622">
        <v>1692</v>
      </c>
      <c r="E18" s="622">
        <v>1692</v>
      </c>
      <c r="F18" s="613"/>
      <c r="G18" s="613"/>
      <c r="H18" s="613">
        <v>550</v>
      </c>
      <c r="I18" s="613"/>
      <c r="J18" s="613"/>
      <c r="K18" s="613"/>
      <c r="L18" s="613"/>
      <c r="M18" s="617"/>
    </row>
    <row r="19" spans="1:13" s="618" customFormat="1" x14ac:dyDescent="0.25">
      <c r="A19" s="613">
        <v>15</v>
      </c>
      <c r="B19" s="624" t="s">
        <v>78</v>
      </c>
      <c r="C19" s="625" t="s">
        <v>79</v>
      </c>
      <c r="D19" s="622">
        <v>1742</v>
      </c>
      <c r="E19" s="622">
        <v>1742</v>
      </c>
      <c r="F19" s="613"/>
      <c r="G19" s="613"/>
      <c r="H19" s="613"/>
      <c r="I19" s="613"/>
      <c r="J19" s="613"/>
      <c r="K19" s="613"/>
      <c r="L19" s="613"/>
      <c r="M19" s="617"/>
    </row>
    <row r="20" spans="1:13" s="618" customFormat="1" x14ac:dyDescent="0.25">
      <c r="A20" s="613">
        <v>16</v>
      </c>
      <c r="B20" s="624" t="s">
        <v>80</v>
      </c>
      <c r="C20" s="625" t="s">
        <v>81</v>
      </c>
      <c r="D20" s="622">
        <v>2301</v>
      </c>
      <c r="E20" s="622">
        <v>2301</v>
      </c>
      <c r="F20" s="613"/>
      <c r="G20" s="613"/>
      <c r="H20" s="613"/>
      <c r="I20" s="613"/>
      <c r="J20" s="613"/>
      <c r="K20" s="613"/>
      <c r="L20" s="613"/>
      <c r="M20" s="617"/>
    </row>
    <row r="21" spans="1:13" s="618" customFormat="1" x14ac:dyDescent="0.25">
      <c r="A21" s="613">
        <v>17</v>
      </c>
      <c r="B21" s="624" t="s">
        <v>20</v>
      </c>
      <c r="C21" s="625" t="s">
        <v>21</v>
      </c>
      <c r="D21" s="622">
        <v>5666</v>
      </c>
      <c r="E21" s="622">
        <v>5209</v>
      </c>
      <c r="F21" s="613"/>
      <c r="G21" s="613"/>
      <c r="H21" s="613"/>
      <c r="I21" s="613"/>
      <c r="J21" s="613">
        <v>30</v>
      </c>
      <c r="K21" s="613"/>
      <c r="L21" s="613">
        <v>457</v>
      </c>
      <c r="M21" s="617"/>
    </row>
    <row r="22" spans="1:13" s="618" customFormat="1" x14ac:dyDescent="0.25">
      <c r="A22" s="613">
        <v>18</v>
      </c>
      <c r="B22" s="369" t="s">
        <v>82</v>
      </c>
      <c r="C22" s="623" t="s">
        <v>83</v>
      </c>
      <c r="D22" s="622">
        <v>722</v>
      </c>
      <c r="E22" s="622">
        <v>722</v>
      </c>
      <c r="F22" s="613"/>
      <c r="G22" s="613"/>
      <c r="H22" s="613"/>
      <c r="I22" s="613"/>
      <c r="J22" s="613"/>
      <c r="K22" s="613"/>
      <c r="L22" s="613"/>
      <c r="M22" s="617"/>
    </row>
    <row r="23" spans="1:13" s="618" customFormat="1" x14ac:dyDescent="0.25">
      <c r="A23" s="613">
        <v>19</v>
      </c>
      <c r="B23" s="369" t="s">
        <v>84</v>
      </c>
      <c r="C23" s="623" t="s">
        <v>85</v>
      </c>
      <c r="D23" s="622">
        <v>554</v>
      </c>
      <c r="E23" s="622">
        <v>554</v>
      </c>
      <c r="F23" s="613"/>
      <c r="G23" s="613"/>
      <c r="H23" s="613"/>
      <c r="I23" s="613"/>
      <c r="J23" s="613"/>
      <c r="K23" s="613"/>
      <c r="L23" s="613"/>
      <c r="M23" s="617"/>
    </row>
    <row r="24" spans="1:13" s="618" customFormat="1" x14ac:dyDescent="0.25">
      <c r="A24" s="613">
        <v>20</v>
      </c>
      <c r="B24" s="369" t="s">
        <v>86</v>
      </c>
      <c r="C24" s="623" t="s">
        <v>87</v>
      </c>
      <c r="D24" s="622">
        <v>3161</v>
      </c>
      <c r="E24" s="622">
        <v>3161</v>
      </c>
      <c r="F24" s="613"/>
      <c r="G24" s="613"/>
      <c r="H24" s="613"/>
      <c r="I24" s="613"/>
      <c r="J24" s="613"/>
      <c r="K24" s="613"/>
      <c r="L24" s="613"/>
      <c r="M24" s="617"/>
    </row>
    <row r="25" spans="1:13" s="618" customFormat="1" x14ac:dyDescent="0.25">
      <c r="A25" s="613">
        <v>21</v>
      </c>
      <c r="B25" s="369" t="s">
        <v>22</v>
      </c>
      <c r="C25" s="623" t="s">
        <v>23</v>
      </c>
      <c r="D25" s="622">
        <v>3109</v>
      </c>
      <c r="E25" s="622">
        <v>3109</v>
      </c>
      <c r="F25" s="613"/>
      <c r="G25" s="613"/>
      <c r="H25" s="613"/>
      <c r="I25" s="613"/>
      <c r="J25" s="613">
        <v>25</v>
      </c>
      <c r="K25" s="613"/>
      <c r="L25" s="613"/>
      <c r="M25" s="617"/>
    </row>
    <row r="26" spans="1:13" s="618" customFormat="1" x14ac:dyDescent="0.25">
      <c r="A26" s="613">
        <v>22</v>
      </c>
      <c r="B26" s="624" t="s">
        <v>24</v>
      </c>
      <c r="C26" s="625" t="s">
        <v>25</v>
      </c>
      <c r="D26" s="622">
        <v>582</v>
      </c>
      <c r="E26" s="622">
        <v>582</v>
      </c>
      <c r="F26" s="613"/>
      <c r="G26" s="613"/>
      <c r="H26" s="613"/>
      <c r="I26" s="613"/>
      <c r="J26" s="613"/>
      <c r="K26" s="613"/>
      <c r="L26" s="613"/>
      <c r="M26" s="617"/>
    </row>
    <row r="27" spans="1:13" s="618" customFormat="1" x14ac:dyDescent="0.25">
      <c r="A27" s="613">
        <v>23</v>
      </c>
      <c r="B27" s="666" t="s">
        <v>88</v>
      </c>
      <c r="C27" s="667" t="s">
        <v>89</v>
      </c>
      <c r="D27" s="622">
        <v>0</v>
      </c>
      <c r="E27" s="622"/>
      <c r="F27" s="613"/>
      <c r="G27" s="613"/>
      <c r="H27" s="613"/>
      <c r="I27" s="613"/>
      <c r="J27" s="613"/>
      <c r="K27" s="613"/>
      <c r="L27" s="613"/>
      <c r="M27" s="617"/>
    </row>
    <row r="28" spans="1:13" s="618" customFormat="1" ht="24" x14ac:dyDescent="0.25">
      <c r="A28" s="613">
        <v>24</v>
      </c>
      <c r="B28" s="624" t="s">
        <v>90</v>
      </c>
      <c r="C28" s="625" t="s">
        <v>91</v>
      </c>
      <c r="D28" s="622">
        <v>530</v>
      </c>
      <c r="E28" s="622">
        <v>0</v>
      </c>
      <c r="F28" s="613"/>
      <c r="G28" s="613"/>
      <c r="H28" s="613"/>
      <c r="I28" s="613"/>
      <c r="J28" s="613"/>
      <c r="K28" s="613"/>
      <c r="L28" s="613">
        <v>530</v>
      </c>
      <c r="M28" s="617"/>
    </row>
    <row r="29" spans="1:13" s="618" customFormat="1" x14ac:dyDescent="0.25">
      <c r="A29" s="613">
        <v>25</v>
      </c>
      <c r="B29" s="369" t="s">
        <v>92</v>
      </c>
      <c r="C29" s="627" t="s">
        <v>93</v>
      </c>
      <c r="D29" s="622">
        <v>14000</v>
      </c>
      <c r="E29" s="622">
        <v>14000</v>
      </c>
      <c r="F29" s="613"/>
      <c r="G29" s="613"/>
      <c r="H29" s="613"/>
      <c r="I29" s="613"/>
      <c r="J29" s="613">
        <v>134</v>
      </c>
      <c r="K29" s="613"/>
      <c r="L29" s="613"/>
      <c r="M29" s="617"/>
    </row>
    <row r="30" spans="1:13" s="618" customFormat="1" ht="13.5" customHeight="1" x14ac:dyDescent="0.25">
      <c r="A30" s="613">
        <v>26</v>
      </c>
      <c r="B30" s="624" t="s">
        <v>94</v>
      </c>
      <c r="C30" s="625" t="s">
        <v>95</v>
      </c>
      <c r="D30" s="622">
        <v>0</v>
      </c>
      <c r="E30" s="622">
        <v>0</v>
      </c>
      <c r="F30" s="613"/>
      <c r="G30" s="613"/>
      <c r="H30" s="613"/>
      <c r="I30" s="613"/>
      <c r="J30" s="613">
        <v>0</v>
      </c>
      <c r="K30" s="613"/>
      <c r="L30" s="613"/>
      <c r="M30" s="617"/>
    </row>
    <row r="31" spans="1:13" s="618" customFormat="1" ht="13.5" customHeight="1" x14ac:dyDescent="0.25">
      <c r="A31" s="613">
        <v>27</v>
      </c>
      <c r="B31" s="668" t="s">
        <v>96</v>
      </c>
      <c r="C31" s="667" t="s">
        <v>97</v>
      </c>
      <c r="D31" s="622">
        <v>0</v>
      </c>
      <c r="E31" s="622"/>
      <c r="F31" s="613"/>
      <c r="G31" s="613"/>
      <c r="H31" s="613"/>
      <c r="I31" s="613"/>
      <c r="J31" s="613"/>
      <c r="K31" s="613"/>
      <c r="L31" s="613"/>
      <c r="M31" s="617"/>
    </row>
    <row r="32" spans="1:13" s="618" customFormat="1" x14ac:dyDescent="0.25">
      <c r="A32" s="613">
        <v>28</v>
      </c>
      <c r="B32" s="624" t="s">
        <v>26</v>
      </c>
      <c r="C32" s="625" t="s">
        <v>27</v>
      </c>
      <c r="D32" s="622">
        <v>3431</v>
      </c>
      <c r="E32" s="622">
        <v>3431</v>
      </c>
      <c r="F32" s="613"/>
      <c r="G32" s="613"/>
      <c r="H32" s="613"/>
      <c r="I32" s="613"/>
      <c r="J32" s="613">
        <v>20</v>
      </c>
      <c r="K32" s="613"/>
      <c r="L32" s="613"/>
      <c r="M32" s="617"/>
    </row>
    <row r="33" spans="1:13" s="618" customFormat="1" x14ac:dyDescent="0.25">
      <c r="A33" s="613">
        <v>29</v>
      </c>
      <c r="B33" s="369" t="s">
        <v>98</v>
      </c>
      <c r="C33" s="623" t="s">
        <v>99</v>
      </c>
      <c r="D33" s="622">
        <v>5760</v>
      </c>
      <c r="E33" s="622">
        <v>5760</v>
      </c>
      <c r="F33" s="613"/>
      <c r="G33" s="613"/>
      <c r="H33" s="613"/>
      <c r="I33" s="613"/>
      <c r="J33" s="613">
        <v>30</v>
      </c>
      <c r="K33" s="613"/>
      <c r="L33" s="613"/>
      <c r="M33" s="617"/>
    </row>
    <row r="34" spans="1:13" s="618" customFormat="1" x14ac:dyDescent="0.25">
      <c r="A34" s="613">
        <v>30</v>
      </c>
      <c r="B34" s="626" t="s">
        <v>100</v>
      </c>
      <c r="C34" s="627" t="s">
        <v>101</v>
      </c>
      <c r="D34" s="622">
        <v>986</v>
      </c>
      <c r="E34" s="622">
        <v>986</v>
      </c>
      <c r="F34" s="613"/>
      <c r="G34" s="613"/>
      <c r="H34" s="613"/>
      <c r="I34" s="613"/>
      <c r="J34" s="613"/>
      <c r="K34" s="613"/>
      <c r="L34" s="613"/>
      <c r="M34" s="617"/>
    </row>
    <row r="35" spans="1:13" s="618" customFormat="1" x14ac:dyDescent="0.25">
      <c r="A35" s="613">
        <v>31</v>
      </c>
      <c r="B35" s="369" t="s">
        <v>102</v>
      </c>
      <c r="C35" s="623" t="s">
        <v>103</v>
      </c>
      <c r="D35" s="622">
        <v>4129</v>
      </c>
      <c r="E35" s="622">
        <v>3569</v>
      </c>
      <c r="F35" s="613"/>
      <c r="G35" s="613"/>
      <c r="H35" s="613"/>
      <c r="I35" s="613"/>
      <c r="J35" s="613">
        <v>30</v>
      </c>
      <c r="K35" s="613"/>
      <c r="L35" s="613">
        <v>560</v>
      </c>
      <c r="M35" s="617"/>
    </row>
    <row r="36" spans="1:13" s="618" customFormat="1" x14ac:dyDescent="0.25">
      <c r="A36" s="613">
        <v>32</v>
      </c>
      <c r="B36" s="369" t="s">
        <v>104</v>
      </c>
      <c r="C36" s="623" t="s">
        <v>105</v>
      </c>
      <c r="D36" s="622">
        <v>1310</v>
      </c>
      <c r="E36" s="622">
        <v>1310</v>
      </c>
      <c r="F36" s="613"/>
      <c r="G36" s="613"/>
      <c r="H36" s="613"/>
      <c r="I36" s="613"/>
      <c r="J36" s="613"/>
      <c r="K36" s="613"/>
      <c r="L36" s="613"/>
      <c r="M36" s="617"/>
    </row>
    <row r="37" spans="1:13" s="618" customFormat="1" x14ac:dyDescent="0.25">
      <c r="A37" s="613">
        <v>33</v>
      </c>
      <c r="B37" s="624" t="s">
        <v>106</v>
      </c>
      <c r="C37" s="625" t="s">
        <v>107</v>
      </c>
      <c r="D37" s="622">
        <v>3700</v>
      </c>
      <c r="E37" s="622">
        <v>3700</v>
      </c>
      <c r="F37" s="613"/>
      <c r="G37" s="613"/>
      <c r="H37" s="613"/>
      <c r="I37" s="613"/>
      <c r="J37" s="613">
        <v>15</v>
      </c>
      <c r="K37" s="613"/>
      <c r="L37" s="613"/>
      <c r="M37" s="617"/>
    </row>
    <row r="38" spans="1:13" s="618" customFormat="1" x14ac:dyDescent="0.25">
      <c r="A38" s="613">
        <v>34</v>
      </c>
      <c r="B38" s="369" t="s">
        <v>108</v>
      </c>
      <c r="C38" s="623" t="s">
        <v>109</v>
      </c>
      <c r="D38" s="622">
        <v>1160</v>
      </c>
      <c r="E38" s="622">
        <v>1160</v>
      </c>
      <c r="F38" s="613"/>
      <c r="G38" s="613"/>
      <c r="H38" s="613"/>
      <c r="I38" s="613"/>
      <c r="J38" s="613"/>
      <c r="K38" s="613"/>
      <c r="L38" s="613"/>
      <c r="M38" s="617"/>
    </row>
    <row r="39" spans="1:13" s="618" customFormat="1" x14ac:dyDescent="0.25">
      <c r="A39" s="613">
        <v>35</v>
      </c>
      <c r="B39" s="369" t="s">
        <v>110</v>
      </c>
      <c r="C39" s="623" t="s">
        <v>111</v>
      </c>
      <c r="D39" s="622">
        <v>713</v>
      </c>
      <c r="E39" s="622">
        <v>713</v>
      </c>
      <c r="F39" s="613"/>
      <c r="G39" s="613"/>
      <c r="H39" s="613"/>
      <c r="I39" s="613"/>
      <c r="J39" s="613"/>
      <c r="K39" s="613"/>
      <c r="L39" s="613"/>
      <c r="M39" s="617"/>
    </row>
    <row r="40" spans="1:13" s="618" customFormat="1" x14ac:dyDescent="0.25">
      <c r="A40" s="613">
        <v>36</v>
      </c>
      <c r="B40" s="628" t="s">
        <v>112</v>
      </c>
      <c r="C40" s="629" t="s">
        <v>113</v>
      </c>
      <c r="D40" s="622">
        <v>1348</v>
      </c>
      <c r="E40" s="622">
        <v>1348</v>
      </c>
      <c r="F40" s="613"/>
      <c r="G40" s="613"/>
      <c r="H40" s="613"/>
      <c r="I40" s="613"/>
      <c r="J40" s="613"/>
      <c r="K40" s="613"/>
      <c r="L40" s="613"/>
      <c r="M40" s="617"/>
    </row>
    <row r="41" spans="1:13" s="618" customFormat="1" x14ac:dyDescent="0.25">
      <c r="A41" s="613">
        <v>37</v>
      </c>
      <c r="B41" s="369" t="s">
        <v>114</v>
      </c>
      <c r="C41" s="623" t="s">
        <v>115</v>
      </c>
      <c r="D41" s="622">
        <v>557</v>
      </c>
      <c r="E41" s="622">
        <v>557</v>
      </c>
      <c r="F41" s="613"/>
      <c r="G41" s="613"/>
      <c r="H41" s="613"/>
      <c r="I41" s="613"/>
      <c r="J41" s="613"/>
      <c r="K41" s="613"/>
      <c r="L41" s="613"/>
      <c r="M41" s="617"/>
    </row>
    <row r="42" spans="1:13" s="618" customFormat="1" x14ac:dyDescent="0.25">
      <c r="A42" s="613">
        <v>38</v>
      </c>
      <c r="B42" s="626" t="s">
        <v>116</v>
      </c>
      <c r="C42" s="627" t="s">
        <v>117</v>
      </c>
      <c r="D42" s="622">
        <v>777</v>
      </c>
      <c r="E42" s="622">
        <v>777</v>
      </c>
      <c r="F42" s="613"/>
      <c r="G42" s="613"/>
      <c r="H42" s="613"/>
      <c r="I42" s="613">
        <v>127</v>
      </c>
      <c r="J42" s="613"/>
      <c r="K42" s="613"/>
      <c r="L42" s="613"/>
      <c r="M42" s="617"/>
    </row>
    <row r="43" spans="1:13" s="618" customFormat="1" x14ac:dyDescent="0.25">
      <c r="A43" s="613">
        <v>39</v>
      </c>
      <c r="B43" s="624" t="s">
        <v>28</v>
      </c>
      <c r="C43" s="625" t="s">
        <v>29</v>
      </c>
      <c r="D43" s="622">
        <v>5071</v>
      </c>
      <c r="E43" s="622">
        <v>4771</v>
      </c>
      <c r="F43" s="613"/>
      <c r="G43" s="613"/>
      <c r="H43" s="613"/>
      <c r="I43" s="613"/>
      <c r="J43" s="613">
        <v>80</v>
      </c>
      <c r="K43" s="613"/>
      <c r="L43" s="613">
        <v>300</v>
      </c>
      <c r="M43" s="617"/>
    </row>
    <row r="44" spans="1:13" s="618" customFormat="1" x14ac:dyDescent="0.25">
      <c r="A44" s="613">
        <v>40</v>
      </c>
      <c r="B44" s="369" t="s">
        <v>118</v>
      </c>
      <c r="C44" s="623" t="s">
        <v>119</v>
      </c>
      <c r="D44" s="622">
        <v>1027</v>
      </c>
      <c r="E44" s="622">
        <v>1027</v>
      </c>
      <c r="F44" s="613"/>
      <c r="G44" s="613"/>
      <c r="H44" s="613"/>
      <c r="I44" s="613"/>
      <c r="J44" s="613"/>
      <c r="K44" s="613"/>
      <c r="L44" s="613"/>
      <c r="M44" s="617"/>
    </row>
    <row r="45" spans="1:13" s="618" customFormat="1" x14ac:dyDescent="0.25">
      <c r="A45" s="613">
        <v>41</v>
      </c>
      <c r="B45" s="624" t="s">
        <v>120</v>
      </c>
      <c r="C45" s="625" t="s">
        <v>121</v>
      </c>
      <c r="D45" s="622">
        <v>3914</v>
      </c>
      <c r="E45" s="622">
        <v>3914</v>
      </c>
      <c r="F45" s="613"/>
      <c r="G45" s="613"/>
      <c r="H45" s="613"/>
      <c r="I45" s="613"/>
      <c r="J45" s="613"/>
      <c r="K45" s="613"/>
      <c r="L45" s="613"/>
      <c r="M45" s="617"/>
    </row>
    <row r="46" spans="1:13" s="618" customFormat="1" x14ac:dyDescent="0.25">
      <c r="A46" s="613">
        <v>42</v>
      </c>
      <c r="B46" s="369" t="s">
        <v>122</v>
      </c>
      <c r="C46" s="623" t="s">
        <v>123</v>
      </c>
      <c r="D46" s="622">
        <v>780</v>
      </c>
      <c r="E46" s="622">
        <v>780</v>
      </c>
      <c r="F46" s="613"/>
      <c r="G46" s="613"/>
      <c r="H46" s="613"/>
      <c r="I46" s="613"/>
      <c r="J46" s="613"/>
      <c r="K46" s="613"/>
      <c r="L46" s="613"/>
      <c r="M46" s="617"/>
    </row>
    <row r="47" spans="1:13" s="618" customFormat="1" ht="14.25" customHeight="1" x14ac:dyDescent="0.25">
      <c r="A47" s="613">
        <v>43</v>
      </c>
      <c r="B47" s="369" t="s">
        <v>124</v>
      </c>
      <c r="C47" s="625" t="s">
        <v>125</v>
      </c>
      <c r="D47" s="622">
        <v>1051</v>
      </c>
      <c r="E47" s="622">
        <v>1051</v>
      </c>
      <c r="F47" s="613"/>
      <c r="G47" s="613"/>
      <c r="H47" s="613"/>
      <c r="I47" s="613"/>
      <c r="J47" s="613"/>
      <c r="K47" s="613"/>
      <c r="L47" s="613"/>
      <c r="M47" s="617"/>
    </row>
    <row r="48" spans="1:13" s="618" customFormat="1" ht="10.5" customHeight="1" x14ac:dyDescent="0.25">
      <c r="A48" s="613">
        <v>44</v>
      </c>
      <c r="B48" s="369" t="s">
        <v>126</v>
      </c>
      <c r="C48" s="623" t="s">
        <v>127</v>
      </c>
      <c r="D48" s="622">
        <v>1261</v>
      </c>
      <c r="E48" s="622">
        <v>1261</v>
      </c>
      <c r="F48" s="613"/>
      <c r="G48" s="613"/>
      <c r="H48" s="613"/>
      <c r="I48" s="613"/>
      <c r="J48" s="613"/>
      <c r="K48" s="613"/>
      <c r="L48" s="613"/>
      <c r="M48" s="617"/>
    </row>
    <row r="49" spans="1:13" s="618" customFormat="1" x14ac:dyDescent="0.25">
      <c r="A49" s="613">
        <v>45</v>
      </c>
      <c r="B49" s="630" t="s">
        <v>128</v>
      </c>
      <c r="C49" s="631" t="s">
        <v>129</v>
      </c>
      <c r="D49" s="622">
        <v>1512</v>
      </c>
      <c r="E49" s="622">
        <v>1512</v>
      </c>
      <c r="F49" s="613"/>
      <c r="G49" s="613"/>
      <c r="H49" s="613"/>
      <c r="I49" s="613"/>
      <c r="J49" s="613"/>
      <c r="K49" s="613"/>
      <c r="L49" s="613"/>
      <c r="M49" s="617"/>
    </row>
    <row r="50" spans="1:13" s="618" customFormat="1" x14ac:dyDescent="0.25">
      <c r="A50" s="613">
        <v>46</v>
      </c>
      <c r="B50" s="624" t="s">
        <v>130</v>
      </c>
      <c r="C50" s="625" t="s">
        <v>131</v>
      </c>
      <c r="D50" s="622">
        <v>503</v>
      </c>
      <c r="E50" s="622">
        <v>503</v>
      </c>
      <c r="F50" s="613"/>
      <c r="G50" s="613"/>
      <c r="H50" s="613"/>
      <c r="I50" s="613"/>
      <c r="J50" s="613"/>
      <c r="K50" s="613"/>
      <c r="L50" s="613"/>
      <c r="M50" s="617"/>
    </row>
    <row r="51" spans="1:13" s="618" customFormat="1" x14ac:dyDescent="0.25">
      <c r="A51" s="613">
        <v>47</v>
      </c>
      <c r="B51" s="369" t="s">
        <v>132</v>
      </c>
      <c r="C51" s="623" t="s">
        <v>133</v>
      </c>
      <c r="D51" s="622">
        <v>974</v>
      </c>
      <c r="E51" s="622">
        <v>974</v>
      </c>
      <c r="F51" s="613"/>
      <c r="G51" s="613"/>
      <c r="H51" s="613"/>
      <c r="I51" s="613"/>
      <c r="J51" s="613"/>
      <c r="K51" s="613"/>
      <c r="L51" s="613"/>
      <c r="M51" s="617"/>
    </row>
    <row r="52" spans="1:13" s="618" customFormat="1" ht="10.5" customHeight="1" x14ac:dyDescent="0.25">
      <c r="A52" s="613">
        <v>48</v>
      </c>
      <c r="B52" s="624" t="s">
        <v>134</v>
      </c>
      <c r="C52" s="625" t="s">
        <v>135</v>
      </c>
      <c r="D52" s="622">
        <v>1518</v>
      </c>
      <c r="E52" s="622">
        <v>1518</v>
      </c>
      <c r="F52" s="613"/>
      <c r="G52" s="613"/>
      <c r="H52" s="613"/>
      <c r="I52" s="613"/>
      <c r="J52" s="613"/>
      <c r="K52" s="613"/>
      <c r="L52" s="613"/>
      <c r="M52" s="617"/>
    </row>
    <row r="53" spans="1:13" s="618" customFormat="1" x14ac:dyDescent="0.25">
      <c r="A53" s="613">
        <v>49</v>
      </c>
      <c r="B53" s="369" t="s">
        <v>136</v>
      </c>
      <c r="C53" s="623" t="s">
        <v>137</v>
      </c>
      <c r="D53" s="622">
        <v>5734</v>
      </c>
      <c r="E53" s="622">
        <v>5734</v>
      </c>
      <c r="F53" s="613"/>
      <c r="G53" s="613"/>
      <c r="H53" s="613"/>
      <c r="I53" s="613"/>
      <c r="J53" s="613">
        <v>61</v>
      </c>
      <c r="K53" s="613"/>
      <c r="L53" s="613"/>
      <c r="M53" s="617"/>
    </row>
    <row r="54" spans="1:13" s="618" customFormat="1" x14ac:dyDescent="0.25">
      <c r="A54" s="613">
        <v>50</v>
      </c>
      <c r="B54" s="624" t="s">
        <v>138</v>
      </c>
      <c r="C54" s="625" t="s">
        <v>139</v>
      </c>
      <c r="D54" s="622">
        <v>1095</v>
      </c>
      <c r="E54" s="622">
        <v>1095</v>
      </c>
      <c r="F54" s="613"/>
      <c r="G54" s="613"/>
      <c r="H54" s="613"/>
      <c r="I54" s="613"/>
      <c r="J54" s="613"/>
      <c r="K54" s="613"/>
      <c r="L54" s="613"/>
      <c r="M54" s="617"/>
    </row>
    <row r="55" spans="1:13" s="618" customFormat="1" x14ac:dyDescent="0.25">
      <c r="A55" s="613">
        <v>51</v>
      </c>
      <c r="B55" s="624" t="s">
        <v>140</v>
      </c>
      <c r="C55" s="625" t="s">
        <v>141</v>
      </c>
      <c r="D55" s="622">
        <v>799</v>
      </c>
      <c r="E55" s="622">
        <v>799</v>
      </c>
      <c r="F55" s="613"/>
      <c r="G55" s="613"/>
      <c r="H55" s="613"/>
      <c r="I55" s="613"/>
      <c r="J55" s="613"/>
      <c r="K55" s="613"/>
      <c r="L55" s="613"/>
      <c r="M55" s="617"/>
    </row>
    <row r="56" spans="1:13" s="618" customFormat="1" x14ac:dyDescent="0.25">
      <c r="A56" s="613">
        <v>52</v>
      </c>
      <c r="B56" s="369" t="s">
        <v>142</v>
      </c>
      <c r="C56" s="627" t="s">
        <v>143</v>
      </c>
      <c r="D56" s="622">
        <v>880</v>
      </c>
      <c r="E56" s="622">
        <v>880</v>
      </c>
      <c r="F56" s="613"/>
      <c r="G56" s="613"/>
      <c r="H56" s="613"/>
      <c r="I56" s="613"/>
      <c r="J56" s="613"/>
      <c r="K56" s="613"/>
      <c r="L56" s="613"/>
      <c r="M56" s="617"/>
    </row>
    <row r="57" spans="1:13" s="618" customFormat="1" x14ac:dyDescent="0.25">
      <c r="A57" s="613">
        <v>53</v>
      </c>
      <c r="B57" s="666" t="s">
        <v>144</v>
      </c>
      <c r="C57" s="667" t="s">
        <v>145</v>
      </c>
      <c r="D57" s="622">
        <v>0</v>
      </c>
      <c r="E57" s="622"/>
      <c r="F57" s="613"/>
      <c r="G57" s="613"/>
      <c r="H57" s="613"/>
      <c r="I57" s="613"/>
      <c r="J57" s="613"/>
      <c r="K57" s="613"/>
      <c r="L57" s="613"/>
      <c r="M57" s="617"/>
    </row>
    <row r="58" spans="1:13" s="618" customFormat="1" x14ac:dyDescent="0.25">
      <c r="A58" s="613">
        <v>54</v>
      </c>
      <c r="B58" s="370" t="s">
        <v>146</v>
      </c>
      <c r="C58" s="625" t="s">
        <v>147</v>
      </c>
      <c r="D58" s="622">
        <v>280</v>
      </c>
      <c r="E58" s="622">
        <v>0</v>
      </c>
      <c r="F58" s="613"/>
      <c r="G58" s="613"/>
      <c r="H58" s="613"/>
      <c r="I58" s="613"/>
      <c r="J58" s="613"/>
      <c r="K58" s="613"/>
      <c r="L58" s="613">
        <v>280</v>
      </c>
      <c r="M58" s="617"/>
    </row>
    <row r="59" spans="1:13" s="618" customFormat="1" ht="12" customHeight="1" x14ac:dyDescent="0.25">
      <c r="A59" s="613">
        <v>55</v>
      </c>
      <c r="B59" s="624" t="s">
        <v>148</v>
      </c>
      <c r="C59" s="625" t="s">
        <v>149</v>
      </c>
      <c r="D59" s="622">
        <v>1843</v>
      </c>
      <c r="E59" s="622">
        <v>1843</v>
      </c>
      <c r="F59" s="613"/>
      <c r="G59" s="613"/>
      <c r="H59" s="613"/>
      <c r="I59" s="613"/>
      <c r="J59" s="613"/>
      <c r="K59" s="613"/>
      <c r="L59" s="613"/>
      <c r="M59" s="617"/>
    </row>
    <row r="60" spans="1:13" s="618" customFormat="1" ht="12.75" customHeight="1" x14ac:dyDescent="0.25">
      <c r="A60" s="613">
        <v>56</v>
      </c>
      <c r="B60" s="624" t="s">
        <v>150</v>
      </c>
      <c r="C60" s="625" t="s">
        <v>151</v>
      </c>
      <c r="D60" s="622">
        <v>1416</v>
      </c>
      <c r="E60" s="622">
        <v>1416</v>
      </c>
      <c r="F60" s="613"/>
      <c r="G60" s="613"/>
      <c r="H60" s="613"/>
      <c r="I60" s="613"/>
      <c r="J60" s="613"/>
      <c r="K60" s="613"/>
      <c r="L60" s="613"/>
      <c r="M60" s="617"/>
    </row>
    <row r="61" spans="1:13" s="618" customFormat="1" ht="11.25" customHeight="1" x14ac:dyDescent="0.25">
      <c r="A61" s="613">
        <v>57</v>
      </c>
      <c r="B61" s="624" t="s">
        <v>152</v>
      </c>
      <c r="C61" s="625" t="s">
        <v>557</v>
      </c>
      <c r="D61" s="622">
        <v>0</v>
      </c>
      <c r="E61" s="622"/>
      <c r="F61" s="613"/>
      <c r="G61" s="613"/>
      <c r="H61" s="613"/>
      <c r="I61" s="613"/>
      <c r="J61" s="613"/>
      <c r="K61" s="613"/>
      <c r="L61" s="613"/>
      <c r="M61" s="617"/>
    </row>
    <row r="62" spans="1:13" s="618" customFormat="1" ht="11.25" customHeight="1" x14ac:dyDescent="0.25">
      <c r="A62" s="613">
        <v>58</v>
      </c>
      <c r="B62" s="369" t="s">
        <v>154</v>
      </c>
      <c r="C62" s="625" t="s">
        <v>155</v>
      </c>
      <c r="D62" s="622">
        <v>2714</v>
      </c>
      <c r="E62" s="622">
        <v>2714</v>
      </c>
      <c r="F62" s="613"/>
      <c r="G62" s="613"/>
      <c r="H62" s="613"/>
      <c r="I62" s="613"/>
      <c r="J62" s="613"/>
      <c r="K62" s="613"/>
      <c r="L62" s="613"/>
      <c r="M62" s="617"/>
    </row>
    <row r="63" spans="1:13" s="618" customFormat="1" ht="11.25" customHeight="1" x14ac:dyDescent="0.25">
      <c r="A63" s="613">
        <v>59</v>
      </c>
      <c r="B63" s="626" t="s">
        <v>156</v>
      </c>
      <c r="C63" s="625" t="s">
        <v>157</v>
      </c>
      <c r="D63" s="622">
        <v>0</v>
      </c>
      <c r="E63" s="622"/>
      <c r="F63" s="613"/>
      <c r="G63" s="613"/>
      <c r="H63" s="613"/>
      <c r="I63" s="613"/>
      <c r="J63" s="613"/>
      <c r="K63" s="613"/>
      <c r="L63" s="613"/>
      <c r="M63" s="617"/>
    </row>
    <row r="64" spans="1:13" s="618" customFormat="1" ht="11.25" customHeight="1" x14ac:dyDescent="0.25">
      <c r="A64" s="613">
        <v>60</v>
      </c>
      <c r="B64" s="669" t="s">
        <v>158</v>
      </c>
      <c r="C64" s="667" t="s">
        <v>159</v>
      </c>
      <c r="D64" s="622">
        <v>0</v>
      </c>
      <c r="E64" s="622"/>
      <c r="F64" s="613"/>
      <c r="G64" s="613"/>
      <c r="H64" s="613"/>
      <c r="I64" s="613"/>
      <c r="J64" s="613"/>
      <c r="K64" s="613"/>
      <c r="L64" s="613"/>
      <c r="M64" s="617"/>
    </row>
    <row r="65" spans="1:13" s="618" customFormat="1" ht="11.25" customHeight="1" x14ac:dyDescent="0.25">
      <c r="A65" s="613">
        <v>61</v>
      </c>
      <c r="B65" s="669" t="s">
        <v>160</v>
      </c>
      <c r="C65" s="667" t="s">
        <v>161</v>
      </c>
      <c r="D65" s="622">
        <v>0</v>
      </c>
      <c r="E65" s="622"/>
      <c r="F65" s="613"/>
      <c r="G65" s="613"/>
      <c r="H65" s="613"/>
      <c r="I65" s="613"/>
      <c r="J65" s="613"/>
      <c r="K65" s="613"/>
      <c r="L65" s="613"/>
      <c r="M65" s="617"/>
    </row>
    <row r="66" spans="1:13" s="618" customFormat="1" ht="11.25" customHeight="1" x14ac:dyDescent="0.25">
      <c r="A66" s="613">
        <v>62</v>
      </c>
      <c r="B66" s="369" t="s">
        <v>162</v>
      </c>
      <c r="C66" s="625" t="s">
        <v>163</v>
      </c>
      <c r="D66" s="622">
        <v>3684</v>
      </c>
      <c r="E66" s="622">
        <v>3684</v>
      </c>
      <c r="F66" s="613"/>
      <c r="G66" s="613"/>
      <c r="H66" s="613"/>
      <c r="I66" s="613"/>
      <c r="J66" s="613"/>
      <c r="K66" s="613"/>
      <c r="L66" s="613"/>
      <c r="M66" s="617"/>
    </row>
    <row r="67" spans="1:13" s="618" customFormat="1" ht="11.25" customHeight="1" x14ac:dyDescent="0.25">
      <c r="A67" s="613">
        <v>63</v>
      </c>
      <c r="B67" s="369" t="s">
        <v>164</v>
      </c>
      <c r="C67" s="625" t="s">
        <v>165</v>
      </c>
      <c r="D67" s="622">
        <v>2261</v>
      </c>
      <c r="E67" s="622">
        <v>1901</v>
      </c>
      <c r="F67" s="613"/>
      <c r="G67" s="613"/>
      <c r="H67" s="613"/>
      <c r="I67" s="613"/>
      <c r="J67" s="613"/>
      <c r="K67" s="613"/>
      <c r="L67" s="613">
        <v>360</v>
      </c>
      <c r="M67" s="617"/>
    </row>
    <row r="68" spans="1:13" s="618" customFormat="1" x14ac:dyDescent="0.25">
      <c r="A68" s="613">
        <v>64</v>
      </c>
      <c r="B68" s="369" t="s">
        <v>166</v>
      </c>
      <c r="C68" s="625" t="s">
        <v>167</v>
      </c>
      <c r="D68" s="622">
        <v>4822</v>
      </c>
      <c r="E68" s="622">
        <v>4822</v>
      </c>
      <c r="F68" s="613"/>
      <c r="G68" s="613"/>
      <c r="H68" s="613"/>
      <c r="I68" s="613"/>
      <c r="J68" s="613"/>
      <c r="K68" s="613"/>
      <c r="L68" s="613"/>
      <c r="M68" s="617"/>
    </row>
    <row r="69" spans="1:13" s="618" customFormat="1" ht="24" x14ac:dyDescent="0.25">
      <c r="A69" s="613">
        <v>65</v>
      </c>
      <c r="B69" s="668" t="s">
        <v>168</v>
      </c>
      <c r="C69" s="667" t="s">
        <v>169</v>
      </c>
      <c r="D69" s="622">
        <v>0</v>
      </c>
      <c r="E69" s="622"/>
      <c r="F69" s="613"/>
      <c r="G69" s="613"/>
      <c r="H69" s="613"/>
      <c r="I69" s="613"/>
      <c r="J69" s="613"/>
      <c r="K69" s="613"/>
      <c r="L69" s="613"/>
      <c r="M69" s="617"/>
    </row>
    <row r="70" spans="1:13" s="618" customFormat="1" ht="24" x14ac:dyDescent="0.25">
      <c r="A70" s="613">
        <v>66</v>
      </c>
      <c r="B70" s="669" t="s">
        <v>170</v>
      </c>
      <c r="C70" s="667" t="s">
        <v>171</v>
      </c>
      <c r="D70" s="622">
        <v>0</v>
      </c>
      <c r="E70" s="622"/>
      <c r="F70" s="613"/>
      <c r="G70" s="613"/>
      <c r="H70" s="613"/>
      <c r="I70" s="613"/>
      <c r="J70" s="613"/>
      <c r="K70" s="613"/>
      <c r="L70" s="613"/>
      <c r="M70" s="617"/>
    </row>
    <row r="71" spans="1:13" s="618" customFormat="1" ht="24" x14ac:dyDescent="0.25">
      <c r="A71" s="613">
        <v>67</v>
      </c>
      <c r="B71" s="668" t="s">
        <v>172</v>
      </c>
      <c r="C71" s="667" t="s">
        <v>173</v>
      </c>
      <c r="D71" s="622">
        <v>0</v>
      </c>
      <c r="E71" s="622"/>
      <c r="F71" s="613"/>
      <c r="G71" s="613"/>
      <c r="H71" s="613"/>
      <c r="I71" s="613"/>
      <c r="J71" s="613"/>
      <c r="K71" s="613"/>
      <c r="L71" s="613"/>
      <c r="M71" s="617"/>
    </row>
    <row r="72" spans="1:13" s="618" customFormat="1" ht="24" x14ac:dyDescent="0.25">
      <c r="A72" s="613">
        <v>68</v>
      </c>
      <c r="B72" s="668" t="s">
        <v>174</v>
      </c>
      <c r="C72" s="667" t="s">
        <v>175</v>
      </c>
      <c r="D72" s="622">
        <v>0</v>
      </c>
      <c r="E72" s="622"/>
      <c r="F72" s="613"/>
      <c r="G72" s="613"/>
      <c r="H72" s="613"/>
      <c r="I72" s="613"/>
      <c r="J72" s="613"/>
      <c r="K72" s="613"/>
      <c r="L72" s="613"/>
      <c r="M72" s="617"/>
    </row>
    <row r="73" spans="1:13" s="618" customFormat="1" ht="24" x14ac:dyDescent="0.25">
      <c r="A73" s="613">
        <v>69</v>
      </c>
      <c r="B73" s="669" t="s">
        <v>176</v>
      </c>
      <c r="C73" s="667" t="s">
        <v>177</v>
      </c>
      <c r="D73" s="622">
        <v>0</v>
      </c>
      <c r="E73" s="622"/>
      <c r="F73" s="613"/>
      <c r="G73" s="613"/>
      <c r="H73" s="613"/>
      <c r="I73" s="613"/>
      <c r="J73" s="613"/>
      <c r="K73" s="613"/>
      <c r="L73" s="613"/>
      <c r="M73" s="617"/>
    </row>
    <row r="74" spans="1:13" s="618" customFormat="1" ht="24" x14ac:dyDescent="0.25">
      <c r="A74" s="613">
        <v>70</v>
      </c>
      <c r="B74" s="669" t="s">
        <v>178</v>
      </c>
      <c r="C74" s="667" t="s">
        <v>179</v>
      </c>
      <c r="D74" s="622">
        <v>0</v>
      </c>
      <c r="E74" s="622"/>
      <c r="F74" s="613"/>
      <c r="G74" s="613"/>
      <c r="H74" s="613"/>
      <c r="I74" s="613"/>
      <c r="J74" s="613"/>
      <c r="K74" s="613"/>
      <c r="L74" s="613"/>
      <c r="M74" s="617"/>
    </row>
    <row r="75" spans="1:13" s="618" customFormat="1" ht="24" x14ac:dyDescent="0.25">
      <c r="A75" s="613">
        <v>71</v>
      </c>
      <c r="B75" s="669" t="s">
        <v>180</v>
      </c>
      <c r="C75" s="667" t="s">
        <v>181</v>
      </c>
      <c r="D75" s="622">
        <v>0</v>
      </c>
      <c r="E75" s="622"/>
      <c r="F75" s="613"/>
      <c r="G75" s="613"/>
      <c r="H75" s="613"/>
      <c r="I75" s="613"/>
      <c r="J75" s="613"/>
      <c r="K75" s="613"/>
      <c r="L75" s="613"/>
      <c r="M75" s="617"/>
    </row>
    <row r="76" spans="1:13" s="618" customFormat="1" x14ac:dyDescent="0.25">
      <c r="A76" s="613">
        <v>72</v>
      </c>
      <c r="B76" s="369" t="s">
        <v>182</v>
      </c>
      <c r="C76" s="625" t="s">
        <v>183</v>
      </c>
      <c r="D76" s="622">
        <v>4072</v>
      </c>
      <c r="E76" s="622">
        <v>4072</v>
      </c>
      <c r="F76" s="613"/>
      <c r="G76" s="613"/>
      <c r="H76" s="613"/>
      <c r="I76" s="613"/>
      <c r="J76" s="613"/>
      <c r="K76" s="613"/>
      <c r="L76" s="613"/>
      <c r="M76" s="617"/>
    </row>
    <row r="77" spans="1:13" s="618" customFormat="1" x14ac:dyDescent="0.25">
      <c r="A77" s="613">
        <v>73</v>
      </c>
      <c r="B77" s="624" t="s">
        <v>184</v>
      </c>
      <c r="C77" s="625" t="s">
        <v>185</v>
      </c>
      <c r="D77" s="622">
        <v>7260</v>
      </c>
      <c r="E77" s="622">
        <v>6808</v>
      </c>
      <c r="F77" s="613"/>
      <c r="G77" s="613"/>
      <c r="H77" s="613"/>
      <c r="I77" s="613"/>
      <c r="J77" s="613"/>
      <c r="K77" s="613"/>
      <c r="L77" s="613">
        <v>452</v>
      </c>
      <c r="M77" s="617"/>
    </row>
    <row r="78" spans="1:13" s="618" customFormat="1" x14ac:dyDescent="0.25">
      <c r="A78" s="613">
        <v>74</v>
      </c>
      <c r="B78" s="624" t="s">
        <v>186</v>
      </c>
      <c r="C78" s="625" t="s">
        <v>187</v>
      </c>
      <c r="D78" s="622">
        <v>7007</v>
      </c>
      <c r="E78" s="622">
        <v>6760</v>
      </c>
      <c r="F78" s="613"/>
      <c r="G78" s="613"/>
      <c r="H78" s="613"/>
      <c r="I78" s="613"/>
      <c r="J78" s="613"/>
      <c r="K78" s="613"/>
      <c r="L78" s="613">
        <v>247</v>
      </c>
      <c r="M78" s="617"/>
    </row>
    <row r="79" spans="1:13" s="618" customFormat="1" x14ac:dyDescent="0.25">
      <c r="A79" s="613">
        <v>75</v>
      </c>
      <c r="B79" s="632" t="s">
        <v>188</v>
      </c>
      <c r="C79" s="631" t="s">
        <v>461</v>
      </c>
      <c r="D79" s="622">
        <v>4125</v>
      </c>
      <c r="E79" s="622">
        <v>4125</v>
      </c>
      <c r="F79" s="613"/>
      <c r="G79" s="613"/>
      <c r="H79" s="613"/>
      <c r="I79" s="613"/>
      <c r="J79" s="613"/>
      <c r="K79" s="613"/>
      <c r="L79" s="613"/>
      <c r="M79" s="617"/>
    </row>
    <row r="80" spans="1:13" s="618" customFormat="1" x14ac:dyDescent="0.25">
      <c r="A80" s="613">
        <v>76</v>
      </c>
      <c r="B80" s="369" t="s">
        <v>190</v>
      </c>
      <c r="C80" s="625" t="s">
        <v>191</v>
      </c>
      <c r="D80" s="622">
        <v>7567</v>
      </c>
      <c r="E80" s="622">
        <v>7034</v>
      </c>
      <c r="F80" s="613">
        <v>606</v>
      </c>
      <c r="G80" s="613"/>
      <c r="H80" s="613"/>
      <c r="I80" s="613"/>
      <c r="J80" s="613"/>
      <c r="K80" s="613"/>
      <c r="L80" s="613">
        <v>533</v>
      </c>
      <c r="M80" s="617"/>
    </row>
    <row r="81" spans="1:13" s="618" customFormat="1" x14ac:dyDescent="0.25">
      <c r="A81" s="613">
        <v>77</v>
      </c>
      <c r="B81" s="369" t="s">
        <v>192</v>
      </c>
      <c r="C81" s="625" t="s">
        <v>193</v>
      </c>
      <c r="D81" s="622">
        <v>4162</v>
      </c>
      <c r="E81" s="622">
        <v>3934</v>
      </c>
      <c r="F81" s="613"/>
      <c r="G81" s="613"/>
      <c r="H81" s="613"/>
      <c r="I81" s="613"/>
      <c r="J81" s="613">
        <v>460</v>
      </c>
      <c r="K81" s="613"/>
      <c r="L81" s="613">
        <v>228</v>
      </c>
      <c r="M81" s="617"/>
    </row>
    <row r="82" spans="1:13" s="618" customFormat="1" x14ac:dyDescent="0.25">
      <c r="A82" s="613">
        <v>78</v>
      </c>
      <c r="B82" s="369" t="s">
        <v>194</v>
      </c>
      <c r="C82" s="625" t="s">
        <v>195</v>
      </c>
      <c r="D82" s="622">
        <v>4729</v>
      </c>
      <c r="E82" s="622">
        <v>4729</v>
      </c>
      <c r="F82" s="613"/>
      <c r="G82" s="613"/>
      <c r="H82" s="613"/>
      <c r="I82" s="613"/>
      <c r="J82" s="613"/>
      <c r="K82" s="613"/>
      <c r="L82" s="613"/>
      <c r="M82" s="617"/>
    </row>
    <row r="83" spans="1:13" s="618" customFormat="1" x14ac:dyDescent="0.25">
      <c r="A83" s="613">
        <v>79</v>
      </c>
      <c r="B83" s="369" t="s">
        <v>196</v>
      </c>
      <c r="C83" s="625" t="s">
        <v>197</v>
      </c>
      <c r="D83" s="622">
        <v>820</v>
      </c>
      <c r="E83" s="622">
        <v>820</v>
      </c>
      <c r="F83" s="613"/>
      <c r="G83" s="613"/>
      <c r="H83" s="613"/>
      <c r="I83" s="613"/>
      <c r="J83" s="613"/>
      <c r="K83" s="613"/>
      <c r="L83" s="613"/>
      <c r="M83" s="617"/>
    </row>
    <row r="84" spans="1:13" s="618" customFormat="1" x14ac:dyDescent="0.25">
      <c r="A84" s="613">
        <v>80</v>
      </c>
      <c r="B84" s="668" t="s">
        <v>30</v>
      </c>
      <c r="C84" s="667" t="s">
        <v>198</v>
      </c>
      <c r="D84" s="622">
        <v>0</v>
      </c>
      <c r="E84" s="622"/>
      <c r="F84" s="613"/>
      <c r="G84" s="613"/>
      <c r="H84" s="613"/>
      <c r="I84" s="613"/>
      <c r="J84" s="613"/>
      <c r="K84" s="613"/>
      <c r="L84" s="613"/>
      <c r="M84" s="617"/>
    </row>
    <row r="85" spans="1:13" s="618" customFormat="1" ht="24" x14ac:dyDescent="0.25">
      <c r="A85" s="871">
        <v>81</v>
      </c>
      <c r="B85" s="874" t="s">
        <v>199</v>
      </c>
      <c r="C85" s="670" t="s">
        <v>200</v>
      </c>
      <c r="D85" s="622">
        <v>2913</v>
      </c>
      <c r="E85" s="622">
        <v>2913</v>
      </c>
      <c r="F85" s="613"/>
      <c r="G85" s="613"/>
      <c r="H85" s="613"/>
      <c r="I85" s="613"/>
      <c r="J85" s="613"/>
      <c r="K85" s="613"/>
      <c r="L85" s="613"/>
      <c r="M85" s="617"/>
    </row>
    <row r="86" spans="1:13" s="618" customFormat="1" ht="48" x14ac:dyDescent="0.25">
      <c r="A86" s="872"/>
      <c r="B86" s="875"/>
      <c r="C86" s="667" t="s">
        <v>201</v>
      </c>
      <c r="D86" s="622">
        <v>0</v>
      </c>
      <c r="E86" s="622"/>
      <c r="F86" s="613"/>
      <c r="G86" s="613"/>
      <c r="H86" s="613"/>
      <c r="I86" s="613"/>
      <c r="J86" s="613"/>
      <c r="K86" s="613"/>
      <c r="L86" s="613"/>
      <c r="M86" s="617"/>
    </row>
    <row r="87" spans="1:13" s="618" customFormat="1" ht="24" x14ac:dyDescent="0.25">
      <c r="A87" s="872"/>
      <c r="B87" s="875"/>
      <c r="C87" s="667" t="s">
        <v>202</v>
      </c>
      <c r="D87" s="622">
        <v>0</v>
      </c>
      <c r="E87" s="622"/>
      <c r="F87" s="613"/>
      <c r="G87" s="613"/>
      <c r="H87" s="613"/>
      <c r="I87" s="613"/>
      <c r="J87" s="613"/>
      <c r="K87" s="613"/>
      <c r="L87" s="613"/>
      <c r="M87" s="617"/>
    </row>
    <row r="88" spans="1:13" s="618" customFormat="1" ht="36" x14ac:dyDescent="0.25">
      <c r="A88" s="873"/>
      <c r="B88" s="876"/>
      <c r="C88" s="58" t="s">
        <v>203</v>
      </c>
      <c r="D88" s="622">
        <v>2913</v>
      </c>
      <c r="E88" s="622">
        <v>2913</v>
      </c>
      <c r="F88" s="613"/>
      <c r="G88" s="613"/>
      <c r="H88" s="613"/>
      <c r="I88" s="613"/>
      <c r="J88" s="613"/>
      <c r="K88" s="613"/>
      <c r="L88" s="613"/>
      <c r="M88" s="617"/>
    </row>
    <row r="89" spans="1:13" s="618" customFormat="1" ht="24" x14ac:dyDescent="0.25">
      <c r="A89" s="613">
        <v>82</v>
      </c>
      <c r="B89" s="668" t="s">
        <v>204</v>
      </c>
      <c r="C89" s="667" t="s">
        <v>205</v>
      </c>
      <c r="D89" s="622">
        <v>0</v>
      </c>
      <c r="E89" s="622"/>
      <c r="F89" s="613"/>
      <c r="G89" s="613"/>
      <c r="H89" s="613"/>
      <c r="I89" s="613"/>
      <c r="J89" s="613"/>
      <c r="K89" s="613"/>
      <c r="L89" s="613"/>
      <c r="M89" s="617"/>
    </row>
    <row r="90" spans="1:13" s="618" customFormat="1" x14ac:dyDescent="0.25">
      <c r="A90" s="613">
        <v>83</v>
      </c>
      <c r="B90" s="369" t="s">
        <v>206</v>
      </c>
      <c r="C90" s="625" t="s">
        <v>207</v>
      </c>
      <c r="D90" s="622">
        <v>193</v>
      </c>
      <c r="E90" s="622">
        <v>193</v>
      </c>
      <c r="F90" s="613"/>
      <c r="G90" s="613"/>
      <c r="H90" s="613"/>
      <c r="I90" s="613"/>
      <c r="J90" s="613"/>
      <c r="K90" s="613"/>
      <c r="L90" s="613"/>
      <c r="M90" s="617"/>
    </row>
    <row r="91" spans="1:13" s="618" customFormat="1" x14ac:dyDescent="0.25">
      <c r="A91" s="613">
        <v>84</v>
      </c>
      <c r="B91" s="624" t="s">
        <v>208</v>
      </c>
      <c r="C91" s="625" t="s">
        <v>209</v>
      </c>
      <c r="D91" s="622">
        <v>1745</v>
      </c>
      <c r="E91" s="622">
        <v>1329</v>
      </c>
      <c r="F91" s="613"/>
      <c r="G91" s="613"/>
      <c r="H91" s="613"/>
      <c r="I91" s="613"/>
      <c r="J91" s="613"/>
      <c r="K91" s="613"/>
      <c r="L91" s="613">
        <v>416</v>
      </c>
      <c r="M91" s="617"/>
    </row>
    <row r="92" spans="1:13" s="618" customFormat="1" x14ac:dyDescent="0.25">
      <c r="A92" s="613">
        <v>85</v>
      </c>
      <c r="B92" s="626" t="s">
        <v>210</v>
      </c>
      <c r="C92" s="627" t="s">
        <v>211</v>
      </c>
      <c r="D92" s="622">
        <v>681</v>
      </c>
      <c r="E92" s="622">
        <v>681</v>
      </c>
      <c r="F92" s="613"/>
      <c r="G92" s="613"/>
      <c r="H92" s="613"/>
      <c r="I92" s="613"/>
      <c r="J92" s="613"/>
      <c r="K92" s="613"/>
      <c r="L92" s="613"/>
      <c r="M92" s="617"/>
    </row>
    <row r="93" spans="1:13" s="618" customFormat="1" x14ac:dyDescent="0.25">
      <c r="A93" s="613">
        <v>86</v>
      </c>
      <c r="B93" s="369" t="s">
        <v>212</v>
      </c>
      <c r="C93" s="625" t="s">
        <v>213</v>
      </c>
      <c r="D93" s="622">
        <v>721</v>
      </c>
      <c r="E93" s="622">
        <v>721</v>
      </c>
      <c r="F93" s="613"/>
      <c r="G93" s="613"/>
      <c r="H93" s="613"/>
      <c r="I93" s="613"/>
      <c r="J93" s="613"/>
      <c r="K93" s="613"/>
      <c r="L93" s="613"/>
      <c r="M93" s="617"/>
    </row>
    <row r="94" spans="1:13" s="618" customFormat="1" x14ac:dyDescent="0.25">
      <c r="A94" s="613">
        <v>87</v>
      </c>
      <c r="B94" s="369" t="s">
        <v>214</v>
      </c>
      <c r="C94" s="625" t="s">
        <v>215</v>
      </c>
      <c r="D94" s="622">
        <v>2058</v>
      </c>
      <c r="E94" s="622">
        <v>2058</v>
      </c>
      <c r="F94" s="613"/>
      <c r="G94" s="613"/>
      <c r="H94" s="613"/>
      <c r="I94" s="613"/>
      <c r="J94" s="613"/>
      <c r="K94" s="613"/>
      <c r="L94" s="613"/>
      <c r="M94" s="617"/>
    </row>
    <row r="95" spans="1:13" s="618" customFormat="1" ht="13.5" customHeight="1" x14ac:dyDescent="0.25">
      <c r="A95" s="613">
        <v>88</v>
      </c>
      <c r="B95" s="626" t="s">
        <v>216</v>
      </c>
      <c r="C95" s="627" t="s">
        <v>217</v>
      </c>
      <c r="D95" s="622">
        <v>841</v>
      </c>
      <c r="E95" s="622">
        <v>841</v>
      </c>
      <c r="F95" s="613"/>
      <c r="G95" s="613"/>
      <c r="H95" s="613"/>
      <c r="I95" s="613"/>
      <c r="J95" s="613"/>
      <c r="K95" s="613"/>
      <c r="L95" s="613"/>
      <c r="M95" s="617"/>
    </row>
    <row r="96" spans="1:13" s="618" customFormat="1" x14ac:dyDescent="0.25">
      <c r="A96" s="613">
        <v>89</v>
      </c>
      <c r="B96" s="626" t="s">
        <v>218</v>
      </c>
      <c r="C96" s="627" t="s">
        <v>219</v>
      </c>
      <c r="D96" s="622">
        <v>2692</v>
      </c>
      <c r="E96" s="622">
        <v>2692</v>
      </c>
      <c r="F96" s="613"/>
      <c r="G96" s="613"/>
      <c r="H96" s="613"/>
      <c r="I96" s="613"/>
      <c r="J96" s="613"/>
      <c r="K96" s="613"/>
      <c r="L96" s="613"/>
      <c r="M96" s="617"/>
    </row>
    <row r="97" spans="1:13" s="618" customFormat="1" x14ac:dyDescent="0.25">
      <c r="A97" s="613">
        <v>90</v>
      </c>
      <c r="B97" s="369" t="s">
        <v>220</v>
      </c>
      <c r="C97" s="625" t="s">
        <v>221</v>
      </c>
      <c r="D97" s="622">
        <v>1922</v>
      </c>
      <c r="E97" s="622">
        <v>1922</v>
      </c>
      <c r="F97" s="613"/>
      <c r="G97" s="613"/>
      <c r="H97" s="613"/>
      <c r="I97" s="613"/>
      <c r="J97" s="613"/>
      <c r="K97" s="613"/>
      <c r="L97" s="613"/>
      <c r="M97" s="617"/>
    </row>
    <row r="98" spans="1:13" s="618" customFormat="1" ht="12" customHeight="1" x14ac:dyDescent="0.25">
      <c r="A98" s="613">
        <v>91</v>
      </c>
      <c r="B98" s="624" t="s">
        <v>222</v>
      </c>
      <c r="C98" s="625" t="s">
        <v>223</v>
      </c>
      <c r="D98" s="622">
        <v>653</v>
      </c>
      <c r="E98" s="622">
        <v>653</v>
      </c>
      <c r="F98" s="613"/>
      <c r="G98" s="613"/>
      <c r="H98" s="613"/>
      <c r="I98" s="613"/>
      <c r="J98" s="613"/>
      <c r="K98" s="613"/>
      <c r="L98" s="613"/>
      <c r="M98" s="617"/>
    </row>
    <row r="99" spans="1:13" s="618" customFormat="1" x14ac:dyDescent="0.25">
      <c r="A99" s="613">
        <v>92</v>
      </c>
      <c r="B99" s="369" t="s">
        <v>224</v>
      </c>
      <c r="C99" s="623" t="s">
        <v>225</v>
      </c>
      <c r="D99" s="622">
        <v>1029</v>
      </c>
      <c r="E99" s="622">
        <v>1029</v>
      </c>
      <c r="F99" s="613"/>
      <c r="G99" s="613"/>
      <c r="H99" s="613"/>
      <c r="I99" s="613"/>
      <c r="J99" s="613"/>
      <c r="K99" s="613"/>
      <c r="L99" s="613"/>
      <c r="M99" s="617"/>
    </row>
    <row r="100" spans="1:13" s="618" customFormat="1" x14ac:dyDescent="0.25">
      <c r="A100" s="613">
        <v>93</v>
      </c>
      <c r="B100" s="369" t="s">
        <v>226</v>
      </c>
      <c r="C100" s="627" t="s">
        <v>227</v>
      </c>
      <c r="D100" s="622">
        <v>979</v>
      </c>
      <c r="E100" s="622">
        <v>979</v>
      </c>
      <c r="F100" s="613"/>
      <c r="G100" s="613"/>
      <c r="H100" s="613"/>
      <c r="I100" s="613"/>
      <c r="J100" s="613"/>
      <c r="K100" s="613"/>
      <c r="L100" s="613"/>
      <c r="M100" s="617"/>
    </row>
    <row r="101" spans="1:13" s="618" customFormat="1" x14ac:dyDescent="0.25">
      <c r="A101" s="613">
        <v>94</v>
      </c>
      <c r="B101" s="624" t="s">
        <v>32</v>
      </c>
      <c r="C101" s="625" t="s">
        <v>33</v>
      </c>
      <c r="D101" s="622">
        <v>1813</v>
      </c>
      <c r="E101" s="622">
        <v>1413</v>
      </c>
      <c r="F101" s="613"/>
      <c r="G101" s="613"/>
      <c r="H101" s="613">
        <v>174</v>
      </c>
      <c r="I101" s="613"/>
      <c r="J101" s="613">
        <v>30</v>
      </c>
      <c r="K101" s="613"/>
      <c r="L101" s="613">
        <v>400</v>
      </c>
      <c r="M101" s="617"/>
    </row>
    <row r="102" spans="1:13" s="618" customFormat="1" x14ac:dyDescent="0.25">
      <c r="A102" s="613">
        <v>95</v>
      </c>
      <c r="B102" s="369" t="s">
        <v>228</v>
      </c>
      <c r="C102" s="633" t="s">
        <v>229</v>
      </c>
      <c r="D102" s="622">
        <v>753</v>
      </c>
      <c r="E102" s="622">
        <v>753</v>
      </c>
      <c r="F102" s="613"/>
      <c r="G102" s="613"/>
      <c r="H102" s="613"/>
      <c r="I102" s="613"/>
      <c r="J102" s="613"/>
      <c r="K102" s="613"/>
      <c r="L102" s="613"/>
      <c r="M102" s="617"/>
    </row>
    <row r="103" spans="1:13" s="618" customFormat="1" x14ac:dyDescent="0.25">
      <c r="A103" s="613">
        <v>96</v>
      </c>
      <c r="B103" s="624" t="s">
        <v>230</v>
      </c>
      <c r="C103" s="625" t="s">
        <v>231</v>
      </c>
      <c r="D103" s="622">
        <v>1959</v>
      </c>
      <c r="E103" s="622">
        <v>1959</v>
      </c>
      <c r="F103" s="613"/>
      <c r="G103" s="613"/>
      <c r="H103" s="613"/>
      <c r="I103" s="613"/>
      <c r="J103" s="613"/>
      <c r="K103" s="613"/>
      <c r="L103" s="613"/>
      <c r="M103" s="617"/>
    </row>
    <row r="104" spans="1:13" s="618" customFormat="1" x14ac:dyDescent="0.25">
      <c r="A104" s="613">
        <v>97</v>
      </c>
      <c r="B104" s="624">
        <v>20251</v>
      </c>
      <c r="C104" s="625" t="s">
        <v>736</v>
      </c>
      <c r="D104" s="622">
        <v>69</v>
      </c>
      <c r="E104" s="622">
        <v>69</v>
      </c>
      <c r="F104" s="613"/>
      <c r="G104" s="613"/>
      <c r="H104" s="613"/>
      <c r="I104" s="613">
        <v>69</v>
      </c>
      <c r="J104" s="613"/>
      <c r="K104" s="613"/>
      <c r="L104" s="613"/>
      <c r="M104" s="617"/>
    </row>
    <row r="105" spans="1:13" s="618" customFormat="1" x14ac:dyDescent="0.25">
      <c r="A105" s="613">
        <v>98</v>
      </c>
      <c r="B105" s="369" t="s">
        <v>234</v>
      </c>
      <c r="C105" s="623" t="s">
        <v>235</v>
      </c>
      <c r="D105" s="622">
        <v>950</v>
      </c>
      <c r="E105" s="622">
        <v>950</v>
      </c>
      <c r="F105" s="613"/>
      <c r="G105" s="613">
        <v>950</v>
      </c>
      <c r="H105" s="613"/>
      <c r="I105" s="613"/>
      <c r="J105" s="613"/>
      <c r="K105" s="613"/>
      <c r="L105" s="613"/>
      <c r="M105" s="617"/>
    </row>
    <row r="106" spans="1:13" s="618" customFormat="1" x14ac:dyDescent="0.25">
      <c r="A106" s="613">
        <v>99</v>
      </c>
      <c r="B106" s="666" t="s">
        <v>236</v>
      </c>
      <c r="C106" s="667" t="s">
        <v>237</v>
      </c>
      <c r="D106" s="622">
        <v>0</v>
      </c>
      <c r="E106" s="622"/>
      <c r="F106" s="613"/>
      <c r="G106" s="613"/>
      <c r="H106" s="613"/>
      <c r="I106" s="613"/>
      <c r="J106" s="613"/>
      <c r="K106" s="613"/>
      <c r="L106" s="613"/>
      <c r="M106" s="617"/>
    </row>
    <row r="107" spans="1:13" s="618" customFormat="1" x14ac:dyDescent="0.25">
      <c r="A107" s="613">
        <v>100</v>
      </c>
      <c r="B107" s="626" t="s">
        <v>238</v>
      </c>
      <c r="C107" s="627" t="s">
        <v>239</v>
      </c>
      <c r="D107" s="622">
        <v>5</v>
      </c>
      <c r="E107" s="622">
        <v>5</v>
      </c>
      <c r="F107" s="613"/>
      <c r="G107" s="613"/>
      <c r="H107" s="613"/>
      <c r="I107" s="613"/>
      <c r="J107" s="613"/>
      <c r="K107" s="613"/>
      <c r="L107" s="613"/>
      <c r="M107" s="617"/>
    </row>
    <row r="108" spans="1:13" s="618" customFormat="1" ht="24" customHeight="1" x14ac:dyDescent="0.25">
      <c r="A108" s="613">
        <v>101</v>
      </c>
      <c r="B108" s="369" t="s">
        <v>240</v>
      </c>
      <c r="C108" s="623" t="s">
        <v>241</v>
      </c>
      <c r="D108" s="622">
        <v>5</v>
      </c>
      <c r="E108" s="622">
        <v>5</v>
      </c>
      <c r="F108" s="613"/>
      <c r="G108" s="613"/>
      <c r="H108" s="613"/>
      <c r="I108" s="613"/>
      <c r="J108" s="613"/>
      <c r="K108" s="613"/>
      <c r="L108" s="613"/>
      <c r="M108" s="617"/>
    </row>
    <row r="109" spans="1:13" s="618" customFormat="1" ht="24" customHeight="1" x14ac:dyDescent="0.25">
      <c r="A109" s="613">
        <v>102</v>
      </c>
      <c r="B109" s="666" t="s">
        <v>242</v>
      </c>
      <c r="C109" s="667" t="s">
        <v>243</v>
      </c>
      <c r="D109" s="622">
        <v>0</v>
      </c>
      <c r="E109" s="622"/>
      <c r="F109" s="613"/>
      <c r="G109" s="613"/>
      <c r="H109" s="613"/>
      <c r="I109" s="613"/>
      <c r="J109" s="613"/>
      <c r="K109" s="613"/>
      <c r="L109" s="613"/>
      <c r="M109" s="617"/>
    </row>
    <row r="110" spans="1:13" s="618" customFormat="1" x14ac:dyDescent="0.25">
      <c r="A110" s="613">
        <v>103</v>
      </c>
      <c r="B110" s="624" t="s">
        <v>244</v>
      </c>
      <c r="C110" s="625" t="s">
        <v>245</v>
      </c>
      <c r="D110" s="622">
        <v>629</v>
      </c>
      <c r="E110" s="622">
        <v>629</v>
      </c>
      <c r="F110" s="613"/>
      <c r="G110" s="613"/>
      <c r="H110" s="613"/>
      <c r="I110" s="613">
        <v>629</v>
      </c>
      <c r="J110" s="613"/>
      <c r="K110" s="613"/>
      <c r="L110" s="613"/>
      <c r="M110" s="617"/>
    </row>
    <row r="111" spans="1:13" s="618" customFormat="1" x14ac:dyDescent="0.25">
      <c r="A111" s="613">
        <v>104</v>
      </c>
      <c r="B111" s="671" t="s">
        <v>246</v>
      </c>
      <c r="C111" s="672" t="s">
        <v>247</v>
      </c>
      <c r="D111" s="622">
        <v>0</v>
      </c>
      <c r="E111" s="622"/>
      <c r="F111" s="613"/>
      <c r="G111" s="613"/>
      <c r="H111" s="613"/>
      <c r="I111" s="613"/>
      <c r="J111" s="613"/>
      <c r="K111" s="613"/>
      <c r="L111" s="613"/>
      <c r="M111" s="617"/>
    </row>
    <row r="112" spans="1:13" s="618" customFormat="1" x14ac:dyDescent="0.25">
      <c r="A112" s="613">
        <v>105</v>
      </c>
      <c r="B112" s="369" t="s">
        <v>248</v>
      </c>
      <c r="C112" s="623" t="s">
        <v>249</v>
      </c>
      <c r="D112" s="622">
        <v>336</v>
      </c>
      <c r="E112" s="622">
        <v>336</v>
      </c>
      <c r="F112" s="613">
        <v>56</v>
      </c>
      <c r="G112" s="613">
        <v>280</v>
      </c>
      <c r="H112" s="613"/>
      <c r="I112" s="613"/>
      <c r="J112" s="613"/>
      <c r="K112" s="613"/>
      <c r="L112" s="613"/>
      <c r="M112" s="617"/>
    </row>
    <row r="113" spans="1:13" s="618" customFormat="1" x14ac:dyDescent="0.25">
      <c r="A113" s="613">
        <v>106</v>
      </c>
      <c r="B113" s="666" t="s">
        <v>250</v>
      </c>
      <c r="C113" s="667" t="s">
        <v>251</v>
      </c>
      <c r="D113" s="622">
        <v>0</v>
      </c>
      <c r="E113" s="622"/>
      <c r="F113" s="613"/>
      <c r="G113" s="613"/>
      <c r="H113" s="613"/>
      <c r="I113" s="613"/>
      <c r="J113" s="613"/>
      <c r="K113" s="613"/>
      <c r="L113" s="613"/>
      <c r="M113" s="617"/>
    </row>
    <row r="114" spans="1:13" s="618" customFormat="1" x14ac:dyDescent="0.25">
      <c r="A114" s="613">
        <v>107</v>
      </c>
      <c r="B114" s="369" t="s">
        <v>252</v>
      </c>
      <c r="C114" s="623" t="s">
        <v>253</v>
      </c>
      <c r="D114" s="622">
        <v>125</v>
      </c>
      <c r="E114" s="622">
        <v>125</v>
      </c>
      <c r="F114" s="613"/>
      <c r="G114" s="613">
        <v>125</v>
      </c>
      <c r="H114" s="613"/>
      <c r="I114" s="613"/>
      <c r="J114" s="613"/>
      <c r="K114" s="613"/>
      <c r="L114" s="613"/>
      <c r="M114" s="617"/>
    </row>
    <row r="115" spans="1:13" s="618" customFormat="1" ht="15.75" customHeight="1" x14ac:dyDescent="0.25">
      <c r="A115" s="613">
        <v>108</v>
      </c>
      <c r="B115" s="624" t="s">
        <v>254</v>
      </c>
      <c r="C115" s="371" t="s">
        <v>255</v>
      </c>
      <c r="D115" s="622">
        <v>5</v>
      </c>
      <c r="E115" s="622">
        <v>5</v>
      </c>
      <c r="F115" s="613"/>
      <c r="G115" s="613"/>
      <c r="H115" s="613"/>
      <c r="I115" s="613"/>
      <c r="J115" s="613"/>
      <c r="K115" s="613"/>
      <c r="L115" s="613"/>
      <c r="M115" s="617"/>
    </row>
    <row r="116" spans="1:13" s="618" customFormat="1" x14ac:dyDescent="0.25">
      <c r="A116" s="613">
        <v>109</v>
      </c>
      <c r="B116" s="624" t="s">
        <v>256</v>
      </c>
      <c r="C116" s="625" t="s">
        <v>257</v>
      </c>
      <c r="D116" s="622">
        <v>5</v>
      </c>
      <c r="E116" s="622">
        <v>5</v>
      </c>
      <c r="F116" s="613"/>
      <c r="G116" s="613"/>
      <c r="H116" s="613"/>
      <c r="I116" s="613"/>
      <c r="J116" s="613"/>
      <c r="K116" s="613"/>
      <c r="L116" s="613"/>
      <c r="M116" s="617"/>
    </row>
    <row r="117" spans="1:13" s="618" customFormat="1" x14ac:dyDescent="0.25">
      <c r="A117" s="613">
        <v>110</v>
      </c>
      <c r="B117" s="669" t="s">
        <v>258</v>
      </c>
      <c r="C117" s="667" t="s">
        <v>259</v>
      </c>
      <c r="D117" s="622">
        <v>0</v>
      </c>
      <c r="E117" s="622"/>
      <c r="F117" s="613"/>
      <c r="G117" s="613"/>
      <c r="H117" s="613"/>
      <c r="I117" s="613"/>
      <c r="J117" s="613"/>
      <c r="K117" s="613"/>
      <c r="L117" s="613"/>
      <c r="M117" s="617"/>
    </row>
    <row r="118" spans="1:13" s="618" customFormat="1" x14ac:dyDescent="0.25">
      <c r="A118" s="613">
        <v>111</v>
      </c>
      <c r="B118" s="637" t="s">
        <v>551</v>
      </c>
      <c r="C118" s="672" t="s">
        <v>552</v>
      </c>
      <c r="D118" s="622">
        <v>0</v>
      </c>
      <c r="E118" s="622"/>
      <c r="F118" s="613"/>
      <c r="G118" s="613"/>
      <c r="H118" s="613"/>
      <c r="I118" s="613"/>
      <c r="J118" s="613"/>
      <c r="K118" s="613"/>
      <c r="L118" s="613"/>
      <c r="M118" s="617"/>
    </row>
    <row r="119" spans="1:13" s="618" customFormat="1" x14ac:dyDescent="0.25">
      <c r="A119" s="613">
        <v>112</v>
      </c>
      <c r="B119" s="634" t="s">
        <v>260</v>
      </c>
      <c r="C119" s="371" t="s">
        <v>261</v>
      </c>
      <c r="D119" s="622">
        <v>375</v>
      </c>
      <c r="E119" s="622">
        <v>375</v>
      </c>
      <c r="F119" s="613"/>
      <c r="G119" s="613">
        <v>375</v>
      </c>
      <c r="H119" s="613"/>
      <c r="I119" s="613"/>
      <c r="J119" s="613"/>
      <c r="K119" s="613"/>
      <c r="L119" s="613"/>
      <c r="M119" s="617"/>
    </row>
    <row r="120" spans="1:13" s="618" customFormat="1" x14ac:dyDescent="0.25">
      <c r="A120" s="613">
        <v>113</v>
      </c>
      <c r="B120" s="666" t="s">
        <v>262</v>
      </c>
      <c r="C120" s="667" t="s">
        <v>263</v>
      </c>
      <c r="D120" s="622">
        <v>0</v>
      </c>
      <c r="E120" s="622"/>
      <c r="F120" s="613"/>
      <c r="G120" s="613"/>
      <c r="H120" s="613"/>
      <c r="I120" s="613"/>
      <c r="J120" s="613"/>
      <c r="K120" s="613"/>
      <c r="L120" s="613"/>
      <c r="M120" s="617"/>
    </row>
    <row r="121" spans="1:13" s="618" customFormat="1" ht="25.5" customHeight="1" x14ac:dyDescent="0.25">
      <c r="A121" s="613">
        <v>114</v>
      </c>
      <c r="B121" s="624" t="s">
        <v>264</v>
      </c>
      <c r="C121" s="625" t="s">
        <v>265</v>
      </c>
      <c r="D121" s="622">
        <v>4</v>
      </c>
      <c r="E121" s="622">
        <v>4</v>
      </c>
      <c r="F121" s="613"/>
      <c r="G121" s="613"/>
      <c r="H121" s="613"/>
      <c r="I121" s="613"/>
      <c r="J121" s="613"/>
      <c r="K121" s="613"/>
      <c r="L121" s="613"/>
      <c r="M121" s="617"/>
    </row>
    <row r="122" spans="1:13" s="618" customFormat="1" ht="14.25" customHeight="1" x14ac:dyDescent="0.25">
      <c r="A122" s="613">
        <v>115</v>
      </c>
      <c r="B122" s="369" t="s">
        <v>266</v>
      </c>
      <c r="C122" s="625" t="s">
        <v>267</v>
      </c>
      <c r="D122" s="622">
        <v>2350</v>
      </c>
      <c r="E122" s="622">
        <v>2350</v>
      </c>
      <c r="F122" s="613">
        <v>350</v>
      </c>
      <c r="G122" s="613"/>
      <c r="H122" s="613"/>
      <c r="I122" s="613">
        <v>20</v>
      </c>
      <c r="J122" s="613"/>
      <c r="K122" s="613"/>
      <c r="L122" s="613"/>
      <c r="M122" s="617"/>
    </row>
    <row r="123" spans="1:13" s="618" customFormat="1" x14ac:dyDescent="0.25">
      <c r="A123" s="613">
        <v>116</v>
      </c>
      <c r="B123" s="624" t="s">
        <v>268</v>
      </c>
      <c r="C123" s="625" t="s">
        <v>269</v>
      </c>
      <c r="D123" s="622">
        <v>51477</v>
      </c>
      <c r="E123" s="622">
        <v>51368</v>
      </c>
      <c r="F123" s="613">
        <v>51288</v>
      </c>
      <c r="G123" s="613"/>
      <c r="H123" s="613"/>
      <c r="I123" s="613"/>
      <c r="J123" s="613"/>
      <c r="K123" s="613">
        <v>109</v>
      </c>
      <c r="L123" s="613"/>
      <c r="M123" s="617"/>
    </row>
    <row r="124" spans="1:13" s="618" customFormat="1" ht="13.5" customHeight="1" x14ac:dyDescent="0.25">
      <c r="A124" s="613">
        <v>117</v>
      </c>
      <c r="B124" s="624" t="s">
        <v>270</v>
      </c>
      <c r="C124" s="625" t="s">
        <v>271</v>
      </c>
      <c r="D124" s="622">
        <v>930</v>
      </c>
      <c r="E124" s="622">
        <v>930</v>
      </c>
      <c r="F124" s="613"/>
      <c r="G124" s="613"/>
      <c r="H124" s="613"/>
      <c r="I124" s="613"/>
      <c r="J124" s="613"/>
      <c r="K124" s="613"/>
      <c r="L124" s="613"/>
      <c r="M124" s="617"/>
    </row>
    <row r="125" spans="1:13" s="618" customFormat="1" x14ac:dyDescent="0.25">
      <c r="A125" s="613">
        <v>118</v>
      </c>
      <c r="B125" s="369" t="s">
        <v>272</v>
      </c>
      <c r="C125" s="625" t="s">
        <v>273</v>
      </c>
      <c r="D125" s="622">
        <v>4619</v>
      </c>
      <c r="E125" s="622">
        <v>4119</v>
      </c>
      <c r="F125" s="613">
        <v>323</v>
      </c>
      <c r="G125" s="613"/>
      <c r="H125" s="613"/>
      <c r="I125" s="613"/>
      <c r="J125" s="613">
        <v>200</v>
      </c>
      <c r="K125" s="613"/>
      <c r="L125" s="613">
        <v>500</v>
      </c>
      <c r="M125" s="617"/>
    </row>
    <row r="126" spans="1:13" s="618" customFormat="1" x14ac:dyDescent="0.25">
      <c r="A126" s="613">
        <v>119</v>
      </c>
      <c r="B126" s="624" t="s">
        <v>274</v>
      </c>
      <c r="C126" s="625" t="s">
        <v>275</v>
      </c>
      <c r="D126" s="622">
        <v>2167</v>
      </c>
      <c r="E126" s="622">
        <v>2167</v>
      </c>
      <c r="F126" s="613"/>
      <c r="G126" s="613"/>
      <c r="H126" s="613"/>
      <c r="I126" s="613"/>
      <c r="J126" s="613"/>
      <c r="K126" s="613"/>
      <c r="L126" s="613"/>
      <c r="M126" s="617"/>
    </row>
    <row r="127" spans="1:13" s="618" customFormat="1" ht="12.75" customHeight="1" x14ac:dyDescent="0.25">
      <c r="A127" s="613">
        <v>120</v>
      </c>
      <c r="B127" s="369" t="s">
        <v>276</v>
      </c>
      <c r="C127" s="623" t="s">
        <v>277</v>
      </c>
      <c r="D127" s="622">
        <v>3043</v>
      </c>
      <c r="E127" s="622">
        <v>3043</v>
      </c>
      <c r="F127" s="613"/>
      <c r="G127" s="613"/>
      <c r="H127" s="613"/>
      <c r="I127" s="613"/>
      <c r="J127" s="613">
        <v>300</v>
      </c>
      <c r="K127" s="613"/>
      <c r="L127" s="613"/>
      <c r="M127" s="617"/>
    </row>
    <row r="128" spans="1:13" s="618" customFormat="1" x14ac:dyDescent="0.25">
      <c r="A128" s="613">
        <v>121</v>
      </c>
      <c r="B128" s="369" t="s">
        <v>278</v>
      </c>
      <c r="C128" s="623" t="s">
        <v>279</v>
      </c>
      <c r="D128" s="622">
        <v>2741</v>
      </c>
      <c r="E128" s="622">
        <v>2741</v>
      </c>
      <c r="F128" s="613"/>
      <c r="G128" s="613">
        <v>1112</v>
      </c>
      <c r="H128" s="613"/>
      <c r="I128" s="613"/>
      <c r="J128" s="613"/>
      <c r="K128" s="613"/>
      <c r="L128" s="613"/>
      <c r="M128" s="617"/>
    </row>
    <row r="129" spans="1:13" s="618" customFormat="1" x14ac:dyDescent="0.25">
      <c r="A129" s="613">
        <v>122</v>
      </c>
      <c r="B129" s="624" t="s">
        <v>280</v>
      </c>
      <c r="C129" s="625" t="s">
        <v>281</v>
      </c>
      <c r="D129" s="622">
        <v>2572</v>
      </c>
      <c r="E129" s="622">
        <v>0</v>
      </c>
      <c r="F129" s="613"/>
      <c r="G129" s="613"/>
      <c r="H129" s="613"/>
      <c r="I129" s="613"/>
      <c r="J129" s="613"/>
      <c r="K129" s="613"/>
      <c r="L129" s="613">
        <v>2572</v>
      </c>
      <c r="M129" s="617"/>
    </row>
    <row r="130" spans="1:13" s="618" customFormat="1" x14ac:dyDescent="0.25">
      <c r="A130" s="613">
        <v>123</v>
      </c>
      <c r="B130" s="624" t="s">
        <v>282</v>
      </c>
      <c r="C130" s="625" t="s">
        <v>783</v>
      </c>
      <c r="D130" s="622">
        <v>2602</v>
      </c>
      <c r="E130" s="622">
        <v>852</v>
      </c>
      <c r="F130" s="613"/>
      <c r="G130" s="613"/>
      <c r="H130" s="613"/>
      <c r="I130" s="613"/>
      <c r="J130" s="613"/>
      <c r="K130" s="613"/>
      <c r="L130" s="613">
        <v>1750</v>
      </c>
      <c r="M130" s="617"/>
    </row>
    <row r="131" spans="1:13" s="618" customFormat="1" ht="13.5" customHeight="1" x14ac:dyDescent="0.25">
      <c r="A131" s="613">
        <v>124</v>
      </c>
      <c r="B131" s="624" t="s">
        <v>283</v>
      </c>
      <c r="C131" s="625" t="s">
        <v>284</v>
      </c>
      <c r="D131" s="622">
        <v>2340</v>
      </c>
      <c r="E131" s="622">
        <v>2340</v>
      </c>
      <c r="F131" s="613"/>
      <c r="G131" s="635"/>
      <c r="H131" s="636"/>
      <c r="I131" s="636"/>
      <c r="J131" s="613"/>
      <c r="K131" s="613"/>
      <c r="L131" s="613"/>
      <c r="M131" s="617"/>
    </row>
    <row r="132" spans="1:13" s="618" customFormat="1" ht="24" x14ac:dyDescent="0.25">
      <c r="A132" s="613">
        <v>125</v>
      </c>
      <c r="B132" s="624" t="s">
        <v>285</v>
      </c>
      <c r="C132" s="667" t="s">
        <v>737</v>
      </c>
      <c r="D132" s="622">
        <v>4536</v>
      </c>
      <c r="E132" s="622">
        <v>4092</v>
      </c>
      <c r="F132" s="613"/>
      <c r="G132" s="613"/>
      <c r="H132" s="613"/>
      <c r="I132" s="613"/>
      <c r="J132" s="613"/>
      <c r="K132" s="613"/>
      <c r="L132" s="613">
        <v>444</v>
      </c>
      <c r="M132" s="617"/>
    </row>
    <row r="133" spans="1:13" s="618" customFormat="1" x14ac:dyDescent="0.25">
      <c r="A133" s="613">
        <v>126</v>
      </c>
      <c r="B133" s="624" t="s">
        <v>286</v>
      </c>
      <c r="C133" s="625" t="s">
        <v>287</v>
      </c>
      <c r="D133" s="622">
        <v>3501</v>
      </c>
      <c r="E133" s="622">
        <v>3501</v>
      </c>
      <c r="F133" s="613"/>
      <c r="G133" s="613"/>
      <c r="H133" s="613">
        <v>3461</v>
      </c>
      <c r="I133" s="613"/>
      <c r="J133" s="613"/>
      <c r="K133" s="613"/>
      <c r="L133" s="613"/>
      <c r="M133" s="617"/>
    </row>
    <row r="134" spans="1:13" s="618" customFormat="1" x14ac:dyDescent="0.25">
      <c r="A134" s="613">
        <v>127</v>
      </c>
      <c r="B134" s="669" t="s">
        <v>288</v>
      </c>
      <c r="C134" s="667" t="s">
        <v>289</v>
      </c>
      <c r="D134" s="622">
        <v>0</v>
      </c>
      <c r="E134" s="622"/>
      <c r="F134" s="613"/>
      <c r="G134" s="613"/>
      <c r="H134" s="613"/>
      <c r="I134" s="613"/>
      <c r="J134" s="613"/>
      <c r="K134" s="613"/>
      <c r="L134" s="613"/>
      <c r="M134" s="617"/>
    </row>
    <row r="135" spans="1:13" s="618" customFormat="1" ht="13.5" customHeight="1" x14ac:dyDescent="0.25">
      <c r="A135" s="613">
        <v>128</v>
      </c>
      <c r="B135" s="624" t="s">
        <v>290</v>
      </c>
      <c r="C135" s="625" t="s">
        <v>291</v>
      </c>
      <c r="D135" s="622">
        <v>2110</v>
      </c>
      <c r="E135" s="622">
        <v>2000</v>
      </c>
      <c r="F135" s="613">
        <v>2000</v>
      </c>
      <c r="G135" s="613"/>
      <c r="H135" s="613"/>
      <c r="I135" s="613"/>
      <c r="J135" s="613"/>
      <c r="K135" s="613">
        <v>110</v>
      </c>
      <c r="L135" s="613"/>
      <c r="M135" s="617"/>
    </row>
    <row r="136" spans="1:13" s="618" customFormat="1" ht="13.5" customHeight="1" x14ac:dyDescent="0.25">
      <c r="A136" s="613">
        <v>129</v>
      </c>
      <c r="B136" s="673" t="s">
        <v>292</v>
      </c>
      <c r="C136" s="674" t="s">
        <v>293</v>
      </c>
      <c r="D136" s="622">
        <v>0</v>
      </c>
      <c r="E136" s="622"/>
      <c r="F136" s="613"/>
      <c r="G136" s="613"/>
      <c r="H136" s="613"/>
      <c r="I136" s="613"/>
      <c r="J136" s="613"/>
      <c r="K136" s="613"/>
      <c r="L136" s="613"/>
      <c r="M136" s="617"/>
    </row>
    <row r="137" spans="1:13" s="618" customFormat="1" ht="13.5" customHeight="1" x14ac:dyDescent="0.25">
      <c r="A137" s="613">
        <v>130</v>
      </c>
      <c r="B137" s="675" t="s">
        <v>294</v>
      </c>
      <c r="C137" s="676" t="s">
        <v>295</v>
      </c>
      <c r="D137" s="622">
        <v>0</v>
      </c>
      <c r="E137" s="622"/>
      <c r="F137" s="613"/>
      <c r="G137" s="613"/>
      <c r="H137" s="613"/>
      <c r="I137" s="613"/>
      <c r="J137" s="613"/>
      <c r="K137" s="613"/>
      <c r="L137" s="613"/>
      <c r="M137" s="617"/>
    </row>
    <row r="138" spans="1:13" s="618" customFormat="1" ht="13.5" customHeight="1" x14ac:dyDescent="0.2">
      <c r="A138" s="613">
        <v>131</v>
      </c>
      <c r="B138" s="677" t="s">
        <v>296</v>
      </c>
      <c r="C138" s="678" t="s">
        <v>462</v>
      </c>
      <c r="D138" s="622">
        <v>0</v>
      </c>
      <c r="E138" s="622"/>
      <c r="F138" s="613"/>
      <c r="G138" s="613"/>
      <c r="H138" s="613"/>
      <c r="I138" s="613"/>
      <c r="J138" s="613"/>
      <c r="K138" s="613"/>
      <c r="L138" s="613"/>
      <c r="M138" s="617"/>
    </row>
    <row r="139" spans="1:13" s="618" customFormat="1" ht="13.5" customHeight="1" x14ac:dyDescent="0.25">
      <c r="A139" s="613">
        <v>132</v>
      </c>
      <c r="B139" s="679" t="s">
        <v>298</v>
      </c>
      <c r="C139" s="638" t="s">
        <v>299</v>
      </c>
      <c r="D139" s="622">
        <v>0</v>
      </c>
      <c r="E139" s="622"/>
      <c r="F139" s="613"/>
      <c r="G139" s="613"/>
      <c r="H139" s="613"/>
      <c r="I139" s="613"/>
      <c r="J139" s="613"/>
      <c r="K139" s="613"/>
      <c r="L139" s="613"/>
      <c r="M139" s="617"/>
    </row>
    <row r="140" spans="1:13" s="618" customFormat="1" ht="13.5" customHeight="1" x14ac:dyDescent="0.25">
      <c r="A140" s="613">
        <v>133</v>
      </c>
      <c r="B140" s="637" t="s">
        <v>300</v>
      </c>
      <c r="C140" s="638" t="s">
        <v>301</v>
      </c>
      <c r="D140" s="622">
        <v>0</v>
      </c>
      <c r="E140" s="622"/>
      <c r="F140" s="613"/>
      <c r="G140" s="613"/>
      <c r="H140" s="613"/>
      <c r="I140" s="613"/>
      <c r="J140" s="613"/>
      <c r="K140" s="613"/>
      <c r="L140" s="613"/>
      <c r="M140" s="617"/>
    </row>
    <row r="141" spans="1:13" s="618" customFormat="1" ht="13.5" customHeight="1" x14ac:dyDescent="0.25">
      <c r="A141" s="613">
        <v>134</v>
      </c>
      <c r="B141" s="637" t="s">
        <v>302</v>
      </c>
      <c r="C141" s="638" t="s">
        <v>303</v>
      </c>
      <c r="D141" s="622">
        <v>81</v>
      </c>
      <c r="E141" s="622">
        <v>81</v>
      </c>
      <c r="F141" s="613"/>
      <c r="G141" s="613"/>
      <c r="H141" s="613">
        <v>81</v>
      </c>
      <c r="I141" s="613"/>
      <c r="J141" s="613"/>
      <c r="K141" s="613"/>
      <c r="L141" s="613"/>
      <c r="M141" s="617"/>
    </row>
    <row r="142" spans="1:13" s="618" customFormat="1" ht="13.5" customHeight="1" x14ac:dyDescent="0.25">
      <c r="A142" s="613">
        <v>135</v>
      </c>
      <c r="B142" s="637" t="s">
        <v>304</v>
      </c>
      <c r="C142" s="639" t="s">
        <v>305</v>
      </c>
      <c r="D142" s="622">
        <v>4</v>
      </c>
      <c r="E142" s="622">
        <v>4</v>
      </c>
      <c r="F142" s="613"/>
      <c r="G142" s="613"/>
      <c r="H142" s="613"/>
      <c r="I142" s="613"/>
      <c r="J142" s="613"/>
      <c r="K142" s="613"/>
      <c r="L142" s="613"/>
      <c r="M142" s="617"/>
    </row>
    <row r="143" spans="1:13" s="373" customFormat="1" ht="12.75" x14ac:dyDescent="0.25">
      <c r="A143" s="613"/>
      <c r="B143" s="372"/>
      <c r="C143" s="640" t="s">
        <v>15</v>
      </c>
      <c r="D143" s="612">
        <f>SUM(D5:D142)-D85</f>
        <v>271638</v>
      </c>
      <c r="E143" s="612">
        <f t="shared" ref="E143:L143" si="0">SUM(E5:E142)-E85</f>
        <v>260628</v>
      </c>
      <c r="F143" s="612">
        <f t="shared" si="0"/>
        <v>54623</v>
      </c>
      <c r="G143" s="612">
        <f t="shared" si="0"/>
        <v>2842</v>
      </c>
      <c r="H143" s="612">
        <f t="shared" si="0"/>
        <v>4941</v>
      </c>
      <c r="I143" s="612">
        <f t="shared" si="0"/>
        <v>845</v>
      </c>
      <c r="J143" s="612">
        <f t="shared" si="0"/>
        <v>1500</v>
      </c>
      <c r="K143" s="612">
        <f t="shared" si="0"/>
        <v>219</v>
      </c>
      <c r="L143" s="612">
        <f t="shared" si="0"/>
        <v>10791</v>
      </c>
    </row>
    <row r="144" spans="1:13" s="373" customFormat="1" ht="24" x14ac:dyDescent="0.25">
      <c r="A144" s="374"/>
      <c r="B144" s="372"/>
      <c r="C144" s="375" t="s">
        <v>14</v>
      </c>
      <c r="D144" s="641">
        <v>5157</v>
      </c>
      <c r="E144" s="641">
        <v>5157</v>
      </c>
      <c r="F144" s="612">
        <v>351</v>
      </c>
      <c r="G144" s="612"/>
      <c r="H144" s="612"/>
      <c r="I144" s="612"/>
      <c r="J144" s="612"/>
      <c r="K144" s="612"/>
      <c r="L144" s="612"/>
    </row>
    <row r="145" spans="1:12" s="373" customFormat="1" ht="12.75" x14ac:dyDescent="0.25">
      <c r="A145" s="682"/>
      <c r="B145" s="642"/>
      <c r="C145" s="375" t="s">
        <v>728</v>
      </c>
      <c r="D145" s="641">
        <v>5</v>
      </c>
      <c r="E145" s="641">
        <v>5</v>
      </c>
      <c r="F145" s="612"/>
      <c r="G145" s="612"/>
      <c r="H145" s="612"/>
      <c r="I145" s="612"/>
      <c r="J145" s="612"/>
      <c r="K145" s="612"/>
      <c r="L145" s="612"/>
    </row>
    <row r="146" spans="1:12" s="373" customFormat="1" x14ac:dyDescent="0.25">
      <c r="A146" s="877" t="s">
        <v>44</v>
      </c>
      <c r="B146" s="877"/>
      <c r="C146" s="877"/>
      <c r="D146" s="612">
        <f>SUM(D143:D145)</f>
        <v>276800</v>
      </c>
      <c r="E146" s="612">
        <f>SUM(E143:E145)</f>
        <v>265790</v>
      </c>
      <c r="F146" s="612">
        <f t="shared" ref="F146:L146" si="1">SUM(F143:F144)</f>
        <v>54974</v>
      </c>
      <c r="G146" s="612">
        <f t="shared" si="1"/>
        <v>2842</v>
      </c>
      <c r="H146" s="612">
        <f t="shared" si="1"/>
        <v>4941</v>
      </c>
      <c r="I146" s="612">
        <f t="shared" si="1"/>
        <v>845</v>
      </c>
      <c r="J146" s="612">
        <f t="shared" si="1"/>
        <v>1500</v>
      </c>
      <c r="K146" s="612">
        <f t="shared" si="1"/>
        <v>219</v>
      </c>
      <c r="L146" s="612">
        <f t="shared" si="1"/>
        <v>10791</v>
      </c>
    </row>
  </sheetData>
  <mergeCells count="12">
    <mergeCell ref="A85:A88"/>
    <mergeCell ref="B85:B88"/>
    <mergeCell ref="A146:C146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5" t="s">
        <v>34</v>
      </c>
      <c r="D2" s="885"/>
      <c r="E2" s="885"/>
      <c r="F2" s="885"/>
      <c r="G2" s="885"/>
      <c r="H2" s="885"/>
      <c r="I2" s="885"/>
      <c r="J2" s="885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86" t="s">
        <v>0</v>
      </c>
      <c r="B4" s="886" t="s">
        <v>1</v>
      </c>
      <c r="C4" s="887" t="s">
        <v>2</v>
      </c>
      <c r="D4" s="886" t="s">
        <v>3</v>
      </c>
      <c r="E4" s="888" t="s">
        <v>4</v>
      </c>
      <c r="F4" s="888"/>
      <c r="G4" s="888"/>
      <c r="H4" s="888"/>
      <c r="I4" s="888"/>
      <c r="J4" s="888"/>
      <c r="K4" s="888"/>
    </row>
    <row r="5" spans="1:12" ht="11.25" customHeight="1" x14ac:dyDescent="0.25">
      <c r="A5" s="886"/>
      <c r="B5" s="886"/>
      <c r="C5" s="887"/>
      <c r="D5" s="886"/>
      <c r="E5" s="888"/>
      <c r="F5" s="888"/>
      <c r="G5" s="888"/>
      <c r="H5" s="888"/>
      <c r="I5" s="888"/>
      <c r="J5" s="888"/>
      <c r="K5" s="888"/>
    </row>
    <row r="6" spans="1:12" ht="11.25" customHeight="1" x14ac:dyDescent="0.25">
      <c r="A6" s="886"/>
      <c r="B6" s="886"/>
      <c r="C6" s="887"/>
      <c r="D6" s="886"/>
      <c r="E6" s="889" t="s">
        <v>5</v>
      </c>
      <c r="F6" s="891" t="s">
        <v>6</v>
      </c>
      <c r="G6" s="891"/>
      <c r="H6" s="891"/>
      <c r="I6" s="891"/>
      <c r="J6" s="892"/>
      <c r="K6" s="893" t="s">
        <v>7</v>
      </c>
    </row>
    <row r="7" spans="1:12" ht="90.75" customHeight="1" x14ac:dyDescent="0.25">
      <c r="A7" s="886"/>
      <c r="B7" s="886"/>
      <c r="C7" s="887"/>
      <c r="D7" s="886"/>
      <c r="E7" s="890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90"/>
    </row>
    <row r="8" spans="1:12" s="10" customFormat="1" ht="12" customHeight="1" x14ac:dyDescent="0.25">
      <c r="A8" s="884" t="s">
        <v>13</v>
      </c>
      <c r="B8" s="884"/>
      <c r="C8" s="884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4" t="s">
        <v>15</v>
      </c>
      <c r="B10" s="884"/>
      <c r="C10" s="884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3"/>
  <sheetViews>
    <sheetView zoomScale="90" zoomScaleNormal="90" workbookViewId="0">
      <pane xSplit="3" ySplit="10" topLeftCell="D133" activePane="bottomRight" state="frozen"/>
      <selection pane="topRight" activeCell="D1" sqref="D1"/>
      <selection pane="bottomLeft" activeCell="A14" sqref="A14"/>
      <selection pane="bottomRight" activeCell="C137" sqref="C137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8" bestFit="1" customWidth="1"/>
    <col min="4" max="4" width="9.7109375" style="36" customWidth="1"/>
    <col min="5" max="5" width="14.42578125" style="36" customWidth="1"/>
    <col min="6" max="6" width="14.5703125" style="36" customWidth="1"/>
    <col min="7" max="8" width="14" style="36" customWidth="1"/>
    <col min="9" max="9" width="16.28515625" style="36" customWidth="1"/>
    <col min="10" max="10" width="11.5703125" style="36" customWidth="1"/>
    <col min="11" max="11" width="10.5703125" style="36" customWidth="1"/>
    <col min="12" max="12" width="13.28515625" style="36" customWidth="1"/>
    <col min="13" max="13" width="14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3" width="10.28515625" style="36" customWidth="1"/>
    <col min="24" max="24" width="13.85546875" style="36" customWidth="1"/>
    <col min="25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94" t="s">
        <v>727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4"/>
      <c r="O2" s="894"/>
      <c r="P2" s="894"/>
      <c r="Q2" s="894"/>
      <c r="R2" s="894"/>
      <c r="S2" s="894"/>
      <c r="T2" s="894"/>
      <c r="U2" s="894"/>
      <c r="V2" s="894"/>
      <c r="W2" s="894"/>
      <c r="X2" s="894"/>
      <c r="Y2" s="687"/>
      <c r="Z2" s="687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95" t="s">
        <v>0</v>
      </c>
      <c r="B4" s="895" t="s">
        <v>1</v>
      </c>
      <c r="C4" s="895" t="s">
        <v>2</v>
      </c>
      <c r="D4" s="896" t="s">
        <v>35</v>
      </c>
      <c r="E4" s="896"/>
      <c r="F4" s="896"/>
      <c r="G4" s="896"/>
      <c r="H4" s="896"/>
      <c r="I4" s="896"/>
      <c r="J4" s="896"/>
      <c r="K4" s="896"/>
      <c r="L4" s="896"/>
      <c r="M4" s="896"/>
      <c r="N4" s="896"/>
      <c r="O4" s="896"/>
      <c r="P4" s="896"/>
      <c r="Q4" s="896"/>
      <c r="R4" s="896"/>
      <c r="S4" s="896"/>
      <c r="T4" s="896"/>
      <c r="U4" s="896"/>
      <c r="V4" s="896"/>
      <c r="W4" s="896"/>
      <c r="X4" s="896"/>
      <c r="Y4" s="39"/>
      <c r="Z4" s="39"/>
    </row>
    <row r="5" spans="1:30" ht="57" customHeight="1" x14ac:dyDescent="0.25">
      <c r="A5" s="895"/>
      <c r="B5" s="895"/>
      <c r="C5" s="895"/>
      <c r="D5" s="896" t="s">
        <v>36</v>
      </c>
      <c r="E5" s="897" t="s">
        <v>747</v>
      </c>
      <c r="F5" s="897" t="s">
        <v>748</v>
      </c>
      <c r="G5" s="897" t="s">
        <v>37</v>
      </c>
      <c r="H5" s="897" t="s">
        <v>38</v>
      </c>
      <c r="I5" s="897" t="s">
        <v>39</v>
      </c>
      <c r="J5" s="896" t="s">
        <v>40</v>
      </c>
      <c r="K5" s="900" t="s">
        <v>41</v>
      </c>
      <c r="L5" s="901"/>
      <c r="M5" s="902"/>
      <c r="N5" s="900" t="s">
        <v>306</v>
      </c>
      <c r="O5" s="901"/>
      <c r="P5" s="901"/>
      <c r="Q5" s="902"/>
      <c r="R5" s="896" t="s">
        <v>42</v>
      </c>
      <c r="S5" s="896" t="s">
        <v>43</v>
      </c>
      <c r="T5" s="896"/>
      <c r="U5" s="896"/>
      <c r="V5" s="896"/>
      <c r="W5" s="896"/>
      <c r="X5" s="896"/>
      <c r="Y5" s="39"/>
      <c r="Z5" s="39"/>
    </row>
    <row r="6" spans="1:30" ht="33.75" customHeight="1" x14ac:dyDescent="0.25">
      <c r="A6" s="895"/>
      <c r="B6" s="895"/>
      <c r="C6" s="895"/>
      <c r="D6" s="896"/>
      <c r="E6" s="898"/>
      <c r="F6" s="898"/>
      <c r="G6" s="898"/>
      <c r="H6" s="898"/>
      <c r="I6" s="898"/>
      <c r="J6" s="896"/>
      <c r="K6" s="684" t="s">
        <v>44</v>
      </c>
      <c r="L6" s="69" t="s">
        <v>45</v>
      </c>
      <c r="M6" s="897" t="s">
        <v>651</v>
      </c>
      <c r="N6" s="897" t="s">
        <v>46</v>
      </c>
      <c r="O6" s="900" t="s">
        <v>47</v>
      </c>
      <c r="P6" s="901"/>
      <c r="Q6" s="902"/>
      <c r="R6" s="896"/>
      <c r="S6" s="896" t="s">
        <v>46</v>
      </c>
      <c r="T6" s="896" t="s">
        <v>48</v>
      </c>
      <c r="U6" s="896"/>
      <c r="V6" s="900" t="s">
        <v>49</v>
      </c>
      <c r="W6" s="901"/>
      <c r="X6" s="902"/>
      <c r="Y6" s="39"/>
      <c r="Z6" s="39"/>
    </row>
    <row r="7" spans="1:30" ht="90" customHeight="1" x14ac:dyDescent="0.25">
      <c r="A7" s="895"/>
      <c r="B7" s="895"/>
      <c r="C7" s="895"/>
      <c r="D7" s="896"/>
      <c r="E7" s="899"/>
      <c r="F7" s="899"/>
      <c r="G7" s="899"/>
      <c r="H7" s="899"/>
      <c r="I7" s="899"/>
      <c r="J7" s="896"/>
      <c r="K7" s="685"/>
      <c r="L7" s="686" t="s">
        <v>650</v>
      </c>
      <c r="M7" s="899"/>
      <c r="N7" s="899"/>
      <c r="O7" s="686" t="s">
        <v>50</v>
      </c>
      <c r="P7" s="686" t="s">
        <v>51</v>
      </c>
      <c r="Q7" s="686" t="s">
        <v>52</v>
      </c>
      <c r="R7" s="896"/>
      <c r="S7" s="896"/>
      <c r="T7" s="686" t="s">
        <v>52</v>
      </c>
      <c r="U7" s="686" t="s">
        <v>53</v>
      </c>
      <c r="V7" s="686" t="s">
        <v>13</v>
      </c>
      <c r="W7" s="686" t="s">
        <v>51</v>
      </c>
      <c r="X7" s="686" t="s">
        <v>759</v>
      </c>
      <c r="Y7" s="39"/>
      <c r="Z7" s="39"/>
      <c r="AA7" s="37"/>
    </row>
    <row r="8" spans="1:30" s="40" customFormat="1" x14ac:dyDescent="0.25">
      <c r="A8" s="903" t="s">
        <v>13</v>
      </c>
      <c r="B8" s="903"/>
      <c r="C8" s="903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10" t="s">
        <v>14</v>
      </c>
      <c r="B9" s="911"/>
      <c r="C9" s="912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3" t="s">
        <v>15</v>
      </c>
      <c r="B10" s="903"/>
      <c r="C10" s="903"/>
      <c r="D10" s="41">
        <f t="shared" ref="D10:J10" si="2">SUM(D11:D148)-D91</f>
        <v>5117786</v>
      </c>
      <c r="E10" s="41">
        <f t="shared" si="2"/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v>152846</v>
      </c>
      <c r="L10" s="41">
        <v>2320</v>
      </c>
      <c r="M10" s="41">
        <v>150526</v>
      </c>
      <c r="N10" s="41">
        <f t="shared" ref="N10:X10" si="3">SUM(N11:N148)-N91</f>
        <v>126692</v>
      </c>
      <c r="O10" s="41">
        <f t="shared" si="3"/>
        <v>105934</v>
      </c>
      <c r="P10" s="41">
        <f t="shared" si="3"/>
        <v>20105</v>
      </c>
      <c r="Q10" s="41">
        <f t="shared" si="3"/>
        <v>653</v>
      </c>
      <c r="R10" s="41">
        <f t="shared" si="3"/>
        <v>41384</v>
      </c>
      <c r="S10" s="41">
        <f t="shared" si="3"/>
        <v>3748707</v>
      </c>
      <c r="T10" s="41">
        <f t="shared" si="3"/>
        <v>59071</v>
      </c>
      <c r="U10" s="41">
        <f t="shared" si="3"/>
        <v>174221</v>
      </c>
      <c r="V10" s="41">
        <f t="shared" si="3"/>
        <v>3515415</v>
      </c>
      <c r="W10" s="41">
        <f t="shared" si="3"/>
        <v>814958</v>
      </c>
      <c r="X10" s="41">
        <f t="shared" si="3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4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5">L12+M12</f>
        <v>1366</v>
      </c>
      <c r="L12" s="51">
        <v>0</v>
      </c>
      <c r="M12" s="51">
        <v>1366</v>
      </c>
      <c r="N12" s="51">
        <f t="shared" ref="N12:N74" si="6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7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264" t="s">
        <v>16</v>
      </c>
      <c r="C13" s="50" t="s">
        <v>17</v>
      </c>
      <c r="D13" s="51">
        <f t="shared" si="4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5"/>
        <v>2500</v>
      </c>
      <c r="L13" s="51">
        <v>0</v>
      </c>
      <c r="M13" s="51">
        <v>2500</v>
      </c>
      <c r="N13" s="51">
        <f t="shared" si="6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8">T13+U13+V13</f>
        <v>54055</v>
      </c>
      <c r="T13" s="51">
        <v>1196</v>
      </c>
      <c r="U13" s="51">
        <v>2057</v>
      </c>
      <c r="V13" s="51">
        <f t="shared" si="7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4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5"/>
        <v>133</v>
      </c>
      <c r="L14" s="51">
        <v>0</v>
      </c>
      <c r="M14" s="51">
        <v>133</v>
      </c>
      <c r="N14" s="51">
        <f t="shared" si="6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8"/>
        <v>18326</v>
      </c>
      <c r="T14" s="51">
        <v>0</v>
      </c>
      <c r="U14" s="51">
        <v>857</v>
      </c>
      <c r="V14" s="51">
        <f t="shared" si="7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4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5"/>
        <v>1506</v>
      </c>
      <c r="L15" s="51">
        <v>12</v>
      </c>
      <c r="M15" s="51">
        <v>1494</v>
      </c>
      <c r="N15" s="51">
        <f t="shared" si="6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8"/>
        <v>19591</v>
      </c>
      <c r="T15" s="51">
        <v>0</v>
      </c>
      <c r="U15" s="51">
        <v>888</v>
      </c>
      <c r="V15" s="51">
        <f t="shared" si="7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264" t="s">
        <v>18</v>
      </c>
      <c r="C16" s="50" t="s">
        <v>19</v>
      </c>
      <c r="D16" s="51">
        <f t="shared" si="4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5"/>
        <v>5941</v>
      </c>
      <c r="L16" s="51">
        <v>0</v>
      </c>
      <c r="M16" s="51">
        <v>5941</v>
      </c>
      <c r="N16" s="51">
        <f t="shared" si="6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8"/>
        <v>152808</v>
      </c>
      <c r="T16" s="51">
        <v>0</v>
      </c>
      <c r="U16" s="51">
        <v>7665</v>
      </c>
      <c r="V16" s="51">
        <f t="shared" si="7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4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5"/>
        <v>1515</v>
      </c>
      <c r="L17" s="51">
        <v>10</v>
      </c>
      <c r="M17" s="51">
        <v>1505</v>
      </c>
      <c r="N17" s="51">
        <f t="shared" si="6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8"/>
        <v>54045</v>
      </c>
      <c r="T17" s="51">
        <v>236</v>
      </c>
      <c r="U17" s="51">
        <v>2333</v>
      </c>
      <c r="V17" s="51">
        <f t="shared" si="7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264" t="s">
        <v>64</v>
      </c>
      <c r="C18" s="50" t="s">
        <v>65</v>
      </c>
      <c r="D18" s="51">
        <f t="shared" si="4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5"/>
        <v>1213</v>
      </c>
      <c r="L18" s="51">
        <v>0</v>
      </c>
      <c r="M18" s="51">
        <v>1213</v>
      </c>
      <c r="N18" s="51">
        <f t="shared" si="6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8"/>
        <v>20842</v>
      </c>
      <c r="T18" s="51">
        <v>0</v>
      </c>
      <c r="U18" s="51">
        <v>666</v>
      </c>
      <c r="V18" s="51">
        <f t="shared" si="7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264" t="s">
        <v>66</v>
      </c>
      <c r="C19" s="50" t="s">
        <v>67</v>
      </c>
      <c r="D19" s="51">
        <f t="shared" si="4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5"/>
        <v>576</v>
      </c>
      <c r="L19" s="51">
        <v>0</v>
      </c>
      <c r="M19" s="51">
        <v>576</v>
      </c>
      <c r="N19" s="51">
        <f t="shared" si="6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8"/>
        <v>18911</v>
      </c>
      <c r="T19" s="51">
        <v>0</v>
      </c>
      <c r="U19" s="51">
        <v>1838</v>
      </c>
      <c r="V19" s="51">
        <f t="shared" si="7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264" t="s">
        <v>68</v>
      </c>
      <c r="C20" s="50" t="s">
        <v>69</v>
      </c>
      <c r="D20" s="51">
        <f t="shared" si="4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5"/>
        <v>800</v>
      </c>
      <c r="L20" s="51">
        <v>2</v>
      </c>
      <c r="M20" s="51">
        <v>798</v>
      </c>
      <c r="N20" s="51">
        <f t="shared" si="6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8"/>
        <v>25707</v>
      </c>
      <c r="T20" s="51">
        <v>0</v>
      </c>
      <c r="U20" s="51">
        <v>1707</v>
      </c>
      <c r="V20" s="51">
        <f t="shared" si="7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264" t="s">
        <v>70</v>
      </c>
      <c r="C21" s="50" t="s">
        <v>71</v>
      </c>
      <c r="D21" s="51">
        <f t="shared" si="4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5"/>
        <v>1313</v>
      </c>
      <c r="L21" s="51">
        <v>0</v>
      </c>
      <c r="M21" s="51">
        <v>1313</v>
      </c>
      <c r="N21" s="51">
        <f t="shared" si="6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8"/>
        <v>18726</v>
      </c>
      <c r="T21" s="51">
        <v>0</v>
      </c>
      <c r="U21" s="51">
        <v>1623</v>
      </c>
      <c r="V21" s="51">
        <f t="shared" si="7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264" t="s">
        <v>72</v>
      </c>
      <c r="C22" s="50" t="s">
        <v>73</v>
      </c>
      <c r="D22" s="51">
        <f t="shared" si="4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5"/>
        <v>2645</v>
      </c>
      <c r="L22" s="51">
        <v>0</v>
      </c>
      <c r="M22" s="51">
        <v>2645</v>
      </c>
      <c r="N22" s="51">
        <f t="shared" si="6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8"/>
        <v>38664</v>
      </c>
      <c r="T22" s="51">
        <v>0</v>
      </c>
      <c r="U22" s="51">
        <v>1000</v>
      </c>
      <c r="V22" s="51">
        <f t="shared" si="7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264" t="s">
        <v>74</v>
      </c>
      <c r="C23" s="50" t="s">
        <v>75</v>
      </c>
      <c r="D23" s="51">
        <f t="shared" si="4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5"/>
        <v>0</v>
      </c>
      <c r="L23" s="51">
        <v>0</v>
      </c>
      <c r="M23" s="51">
        <v>0</v>
      </c>
      <c r="N23" s="51">
        <f t="shared" si="6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8"/>
        <v>0</v>
      </c>
      <c r="T23" s="51">
        <v>0</v>
      </c>
      <c r="U23" s="51">
        <v>0</v>
      </c>
      <c r="V23" s="51">
        <f t="shared" si="7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264" t="s">
        <v>76</v>
      </c>
      <c r="C24" s="50" t="s">
        <v>77</v>
      </c>
      <c r="D24" s="51">
        <f t="shared" si="4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5"/>
        <v>600</v>
      </c>
      <c r="L24" s="51">
        <v>22</v>
      </c>
      <c r="M24" s="51">
        <v>578</v>
      </c>
      <c r="N24" s="51">
        <f t="shared" si="6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8"/>
        <v>25609</v>
      </c>
      <c r="T24" s="51">
        <v>0</v>
      </c>
      <c r="U24" s="51">
        <v>529</v>
      </c>
      <c r="V24" s="51">
        <f t="shared" si="7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264" t="s">
        <v>78</v>
      </c>
      <c r="C25" s="50" t="s">
        <v>79</v>
      </c>
      <c r="D25" s="51">
        <f t="shared" si="4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5"/>
        <v>1535</v>
      </c>
      <c r="L25" s="51">
        <v>7</v>
      </c>
      <c r="M25" s="51">
        <v>1528</v>
      </c>
      <c r="N25" s="51">
        <f t="shared" si="6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8"/>
        <v>39247</v>
      </c>
      <c r="T25" s="51">
        <v>0</v>
      </c>
      <c r="U25" s="51">
        <v>1534</v>
      </c>
      <c r="V25" s="51">
        <f t="shared" si="7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264" t="s">
        <v>80</v>
      </c>
      <c r="C26" s="50" t="s">
        <v>81</v>
      </c>
      <c r="D26" s="51">
        <f t="shared" si="4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5"/>
        <v>1588</v>
      </c>
      <c r="L26" s="51">
        <v>1</v>
      </c>
      <c r="M26" s="51">
        <v>1587</v>
      </c>
      <c r="N26" s="51">
        <f t="shared" si="6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8"/>
        <v>50088</v>
      </c>
      <c r="T26" s="51">
        <v>0</v>
      </c>
      <c r="U26" s="51">
        <v>1268</v>
      </c>
      <c r="V26" s="51">
        <f t="shared" si="7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264" t="s">
        <v>20</v>
      </c>
      <c r="C27" s="50" t="s">
        <v>21</v>
      </c>
      <c r="D27" s="51">
        <f t="shared" si="4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5"/>
        <v>3263</v>
      </c>
      <c r="L27" s="51">
        <v>45</v>
      </c>
      <c r="M27" s="51">
        <v>3218</v>
      </c>
      <c r="N27" s="51">
        <f t="shared" si="6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8"/>
        <v>92713</v>
      </c>
      <c r="T27" s="51">
        <v>713</v>
      </c>
      <c r="U27" s="51">
        <v>3320</v>
      </c>
      <c r="V27" s="51">
        <f t="shared" si="7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4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5"/>
        <v>797</v>
      </c>
      <c r="L28" s="51">
        <v>0</v>
      </c>
      <c r="M28" s="51">
        <v>797</v>
      </c>
      <c r="N28" s="51">
        <f t="shared" si="6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8"/>
        <v>15936</v>
      </c>
      <c r="T28" s="51">
        <v>0</v>
      </c>
      <c r="U28" s="51">
        <v>725</v>
      </c>
      <c r="V28" s="51">
        <f t="shared" si="7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4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5"/>
        <v>346</v>
      </c>
      <c r="L29" s="51">
        <v>0</v>
      </c>
      <c r="M29" s="51">
        <v>346</v>
      </c>
      <c r="N29" s="51">
        <f t="shared" si="6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8"/>
        <v>12506</v>
      </c>
      <c r="T29" s="51">
        <v>0</v>
      </c>
      <c r="U29" s="51">
        <v>1145</v>
      </c>
      <c r="V29" s="51">
        <f t="shared" si="7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4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5"/>
        <v>4318</v>
      </c>
      <c r="L30" s="51">
        <v>0</v>
      </c>
      <c r="M30" s="51">
        <v>4318</v>
      </c>
      <c r="N30" s="51">
        <f t="shared" si="6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8"/>
        <v>63758</v>
      </c>
      <c r="T30" s="51">
        <v>2100</v>
      </c>
      <c r="U30" s="51">
        <v>1607</v>
      </c>
      <c r="V30" s="51">
        <f t="shared" si="7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4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5"/>
        <v>2929</v>
      </c>
      <c r="L31" s="51">
        <v>53</v>
      </c>
      <c r="M31" s="51">
        <v>2876</v>
      </c>
      <c r="N31" s="51">
        <f t="shared" si="6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8"/>
        <v>55517</v>
      </c>
      <c r="T31" s="51">
        <v>0</v>
      </c>
      <c r="U31" s="51">
        <v>5517</v>
      </c>
      <c r="V31" s="51">
        <f t="shared" si="7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264" t="s">
        <v>24</v>
      </c>
      <c r="C32" s="50" t="s">
        <v>25</v>
      </c>
      <c r="D32" s="51">
        <f t="shared" si="4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5"/>
        <v>591</v>
      </c>
      <c r="L32" s="51">
        <v>0</v>
      </c>
      <c r="M32" s="51">
        <v>591</v>
      </c>
      <c r="N32" s="51">
        <f t="shared" si="6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8"/>
        <v>12848</v>
      </c>
      <c r="T32" s="51">
        <v>0</v>
      </c>
      <c r="U32" s="51">
        <v>1268</v>
      </c>
      <c r="V32" s="51">
        <f t="shared" si="7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264" t="s">
        <v>88</v>
      </c>
      <c r="C33" s="50" t="s">
        <v>89</v>
      </c>
      <c r="D33" s="51">
        <f t="shared" si="4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5"/>
        <v>0</v>
      </c>
      <c r="L33" s="51">
        <v>0</v>
      </c>
      <c r="M33" s="51">
        <v>0</v>
      </c>
      <c r="N33" s="51">
        <f t="shared" si="6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8"/>
        <v>0</v>
      </c>
      <c r="T33" s="51">
        <v>0</v>
      </c>
      <c r="U33" s="51">
        <v>0</v>
      </c>
      <c r="V33" s="51">
        <f t="shared" si="7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264" t="s">
        <v>90</v>
      </c>
      <c r="C34" s="50" t="s">
        <v>91</v>
      </c>
      <c r="D34" s="51">
        <f t="shared" si="4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5"/>
        <v>0</v>
      </c>
      <c r="L34" s="51">
        <v>0</v>
      </c>
      <c r="M34" s="51">
        <v>0</v>
      </c>
      <c r="N34" s="51">
        <f t="shared" si="6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8"/>
        <v>0</v>
      </c>
      <c r="T34" s="51">
        <v>0</v>
      </c>
      <c r="U34" s="51">
        <v>0</v>
      </c>
      <c r="V34" s="51">
        <f t="shared" si="7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728" t="s">
        <v>93</v>
      </c>
      <c r="D35" s="729">
        <f t="shared" si="4"/>
        <v>328600</v>
      </c>
      <c r="E35" s="729">
        <f>20352+2358+1179</f>
        <v>23889</v>
      </c>
      <c r="F35" s="729">
        <f>3407+1102+551</f>
        <v>5060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5"/>
        <v>6638</v>
      </c>
      <c r="L35" s="51">
        <v>8</v>
      </c>
      <c r="M35" s="729">
        <f>3138+2328+1164</f>
        <v>6630</v>
      </c>
      <c r="N35" s="51">
        <f t="shared" si="6"/>
        <v>0</v>
      </c>
      <c r="O35" s="51">
        <v>0</v>
      </c>
      <c r="P35" s="51">
        <v>0</v>
      </c>
      <c r="Q35" s="51">
        <v>0</v>
      </c>
      <c r="R35" s="729">
        <f>4661+1200+600</f>
        <v>6461</v>
      </c>
      <c r="S35" s="51">
        <f t="shared" si="8"/>
        <v>233022</v>
      </c>
      <c r="T35" s="51">
        <v>0</v>
      </c>
      <c r="U35" s="729">
        <f>20232+150+75</f>
        <v>20457</v>
      </c>
      <c r="V35" s="51">
        <f t="shared" si="7"/>
        <v>212565</v>
      </c>
      <c r="W35" s="51">
        <v>7427</v>
      </c>
      <c r="X35" s="729">
        <f>163723+27610+13805</f>
        <v>205138</v>
      </c>
      <c r="Y35" s="43"/>
      <c r="Z35" s="43"/>
      <c r="AA35" s="44"/>
    </row>
    <row r="36" spans="1:91" ht="15.75" customHeight="1" x14ac:dyDescent="0.25">
      <c r="A36" s="48">
        <v>26</v>
      </c>
      <c r="B36" s="264" t="s">
        <v>94</v>
      </c>
      <c r="C36" s="728" t="s">
        <v>95</v>
      </c>
      <c r="D36" s="729">
        <f t="shared" si="4"/>
        <v>0</v>
      </c>
      <c r="E36" s="729"/>
      <c r="F36" s="729"/>
      <c r="G36" s="51">
        <v>0</v>
      </c>
      <c r="H36" s="51">
        <v>0</v>
      </c>
      <c r="I36" s="51">
        <v>0</v>
      </c>
      <c r="J36" s="51">
        <v>0</v>
      </c>
      <c r="K36" s="51">
        <f t="shared" si="5"/>
        <v>0</v>
      </c>
      <c r="L36" s="51">
        <v>0</v>
      </c>
      <c r="M36" s="729"/>
      <c r="N36" s="51">
        <f t="shared" si="6"/>
        <v>0</v>
      </c>
      <c r="O36" s="51">
        <v>0</v>
      </c>
      <c r="P36" s="51">
        <v>0</v>
      </c>
      <c r="Q36" s="51">
        <v>0</v>
      </c>
      <c r="R36" s="729"/>
      <c r="S36" s="51">
        <f t="shared" si="8"/>
        <v>0</v>
      </c>
      <c r="T36" s="51">
        <v>0</v>
      </c>
      <c r="U36" s="729"/>
      <c r="V36" s="51">
        <f t="shared" si="7"/>
        <v>0</v>
      </c>
      <c r="W36" s="51">
        <v>0</v>
      </c>
      <c r="X36" s="729"/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4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5"/>
        <v>0</v>
      </c>
      <c r="L37" s="51">
        <v>0</v>
      </c>
      <c r="M37" s="51">
        <v>0</v>
      </c>
      <c r="N37" s="51">
        <f t="shared" si="6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8"/>
        <v>56670</v>
      </c>
      <c r="T37" s="51">
        <v>3883</v>
      </c>
      <c r="U37" s="51">
        <v>0</v>
      </c>
      <c r="V37" s="51">
        <f t="shared" si="7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4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5"/>
        <v>1420</v>
      </c>
      <c r="L38" s="51">
        <v>10</v>
      </c>
      <c r="M38" s="51">
        <v>1410</v>
      </c>
      <c r="N38" s="51">
        <f t="shared" si="6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8"/>
        <v>77498</v>
      </c>
      <c r="T38" s="51">
        <v>2329</v>
      </c>
      <c r="U38" s="51">
        <v>1950</v>
      </c>
      <c r="V38" s="51">
        <f t="shared" si="7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4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5"/>
        <v>3172</v>
      </c>
      <c r="L39" s="51">
        <v>268</v>
      </c>
      <c r="M39" s="51">
        <v>2904</v>
      </c>
      <c r="N39" s="51">
        <f t="shared" si="6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8"/>
        <v>118049</v>
      </c>
      <c r="T39" s="51">
        <v>3381</v>
      </c>
      <c r="U39" s="51">
        <v>2394</v>
      </c>
      <c r="V39" s="51">
        <f t="shared" si="7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4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5"/>
        <v>590</v>
      </c>
      <c r="L40" s="51">
        <v>0</v>
      </c>
      <c r="M40" s="51">
        <v>590</v>
      </c>
      <c r="N40" s="51">
        <f t="shared" si="6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8"/>
        <v>22342</v>
      </c>
      <c r="T40" s="51">
        <v>0</v>
      </c>
      <c r="U40" s="51">
        <v>1382</v>
      </c>
      <c r="V40" s="51">
        <f t="shared" si="7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31</v>
      </c>
      <c r="B41" s="264" t="s">
        <v>102</v>
      </c>
      <c r="C41" s="50" t="s">
        <v>103</v>
      </c>
      <c r="D41" s="51">
        <f t="shared" si="4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5"/>
        <v>3586</v>
      </c>
      <c r="L41" s="51">
        <v>10</v>
      </c>
      <c r="M41" s="51">
        <v>3576</v>
      </c>
      <c r="N41" s="51">
        <f t="shared" si="6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8"/>
        <v>78513</v>
      </c>
      <c r="T41" s="51">
        <v>1400</v>
      </c>
      <c r="U41" s="51">
        <v>530</v>
      </c>
      <c r="V41" s="51">
        <f t="shared" si="7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4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5"/>
        <v>1557</v>
      </c>
      <c r="L42" s="51">
        <v>0</v>
      </c>
      <c r="M42" s="51">
        <v>1557</v>
      </c>
      <c r="N42" s="51">
        <f t="shared" si="6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8"/>
        <v>28906</v>
      </c>
      <c r="T42" s="51">
        <v>0</v>
      </c>
      <c r="U42" s="51">
        <v>332</v>
      </c>
      <c r="V42" s="51">
        <f t="shared" si="7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4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5"/>
        <v>4281</v>
      </c>
      <c r="L43" s="51">
        <v>4</v>
      </c>
      <c r="M43" s="51">
        <v>4277</v>
      </c>
      <c r="N43" s="51">
        <f t="shared" si="6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8"/>
        <v>75496</v>
      </c>
      <c r="T43" s="51">
        <v>0</v>
      </c>
      <c r="U43" s="51">
        <v>2008</v>
      </c>
      <c r="V43" s="51">
        <f t="shared" si="7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34</v>
      </c>
      <c r="B44" s="55" t="s">
        <v>108</v>
      </c>
      <c r="C44" s="56" t="s">
        <v>109</v>
      </c>
      <c r="D44" s="51">
        <f t="shared" si="4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5"/>
        <v>898</v>
      </c>
      <c r="L44" s="51">
        <v>0</v>
      </c>
      <c r="M44" s="51">
        <v>898</v>
      </c>
      <c r="N44" s="51">
        <f t="shared" si="6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8"/>
        <v>26048</v>
      </c>
      <c r="T44" s="51">
        <v>0</v>
      </c>
      <c r="U44" s="51">
        <v>758</v>
      </c>
      <c r="V44" s="51">
        <f t="shared" si="7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4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5"/>
        <v>1042</v>
      </c>
      <c r="L45" s="51">
        <v>0</v>
      </c>
      <c r="M45" s="51">
        <v>1042</v>
      </c>
      <c r="N45" s="51">
        <f t="shared" si="6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8"/>
        <v>15470</v>
      </c>
      <c r="T45" s="51">
        <v>0</v>
      </c>
      <c r="U45" s="51">
        <v>152</v>
      </c>
      <c r="V45" s="51">
        <f t="shared" si="7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4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5"/>
        <v>1765</v>
      </c>
      <c r="L46" s="51">
        <v>0</v>
      </c>
      <c r="M46" s="51">
        <v>1765</v>
      </c>
      <c r="N46" s="51">
        <f t="shared" si="6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8"/>
        <v>27480</v>
      </c>
      <c r="T46" s="51">
        <v>0</v>
      </c>
      <c r="U46" s="51">
        <v>1139</v>
      </c>
      <c r="V46" s="51">
        <f t="shared" si="7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37</v>
      </c>
      <c r="B47" s="264" t="s">
        <v>114</v>
      </c>
      <c r="C47" s="50" t="s">
        <v>115</v>
      </c>
      <c r="D47" s="51">
        <f t="shared" si="4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5"/>
        <v>538</v>
      </c>
      <c r="L47" s="51">
        <v>38</v>
      </c>
      <c r="M47" s="51">
        <v>500</v>
      </c>
      <c r="N47" s="51">
        <f t="shared" si="6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8"/>
        <v>12276</v>
      </c>
      <c r="T47" s="51">
        <v>0</v>
      </c>
      <c r="U47" s="51">
        <v>952</v>
      </c>
      <c r="V47" s="51">
        <f t="shared" si="7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4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5"/>
        <v>0</v>
      </c>
      <c r="L48" s="51">
        <v>0</v>
      </c>
      <c r="M48" s="51">
        <v>0</v>
      </c>
      <c r="N48" s="51">
        <f t="shared" si="6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8"/>
        <v>8016</v>
      </c>
      <c r="T48" s="51">
        <v>0</v>
      </c>
      <c r="U48" s="51">
        <v>60</v>
      </c>
      <c r="V48" s="51">
        <f t="shared" si="7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39</v>
      </c>
      <c r="B49" s="264" t="s">
        <v>28</v>
      </c>
      <c r="C49" s="50" t="s">
        <v>29</v>
      </c>
      <c r="D49" s="51">
        <f t="shared" si="4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5"/>
        <v>3839</v>
      </c>
      <c r="L49" s="51">
        <v>24</v>
      </c>
      <c r="M49" s="51">
        <v>3815</v>
      </c>
      <c r="N49" s="51">
        <f t="shared" si="6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8"/>
        <v>105306</v>
      </c>
      <c r="T49" s="51">
        <v>7000</v>
      </c>
      <c r="U49" s="51">
        <v>1770</v>
      </c>
      <c r="V49" s="51">
        <f t="shared" si="7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4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5"/>
        <v>1133</v>
      </c>
      <c r="L50" s="51">
        <v>2</v>
      </c>
      <c r="M50" s="51">
        <v>1131</v>
      </c>
      <c r="N50" s="51">
        <f t="shared" si="6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8"/>
        <v>22725</v>
      </c>
      <c r="T50" s="51">
        <v>0</v>
      </c>
      <c r="U50" s="51">
        <v>1656</v>
      </c>
      <c r="V50" s="51">
        <f t="shared" si="7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4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5"/>
        <v>758</v>
      </c>
      <c r="L51" s="51">
        <v>2</v>
      </c>
      <c r="M51" s="51">
        <v>756</v>
      </c>
      <c r="N51" s="51">
        <f t="shared" si="6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8"/>
        <v>84216</v>
      </c>
      <c r="T51" s="51">
        <v>0</v>
      </c>
      <c r="U51" s="51">
        <v>3086</v>
      </c>
      <c r="V51" s="51">
        <f t="shared" si="7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42</v>
      </c>
      <c r="B52" s="264" t="s">
        <v>122</v>
      </c>
      <c r="C52" s="50" t="s">
        <v>123</v>
      </c>
      <c r="D52" s="51">
        <f t="shared" si="4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5"/>
        <v>564</v>
      </c>
      <c r="L52" s="51">
        <v>5</v>
      </c>
      <c r="M52" s="51">
        <v>559</v>
      </c>
      <c r="N52" s="51">
        <f t="shared" si="6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8"/>
        <v>17554</v>
      </c>
      <c r="T52" s="51">
        <v>0</v>
      </c>
      <c r="U52" s="51">
        <v>558</v>
      </c>
      <c r="V52" s="51">
        <f t="shared" si="7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4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5"/>
        <v>1568</v>
      </c>
      <c r="L53" s="51">
        <v>17</v>
      </c>
      <c r="M53" s="51">
        <v>1551</v>
      </c>
      <c r="N53" s="51">
        <f t="shared" si="6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8"/>
        <v>22744</v>
      </c>
      <c r="T53" s="51">
        <v>0</v>
      </c>
      <c r="U53" s="51">
        <v>2102</v>
      </c>
      <c r="V53" s="51">
        <f t="shared" si="7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44</v>
      </c>
      <c r="B54" s="264" t="s">
        <v>126</v>
      </c>
      <c r="C54" s="50" t="s">
        <v>127</v>
      </c>
      <c r="D54" s="51">
        <f t="shared" si="4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5"/>
        <v>1160</v>
      </c>
      <c r="L54" s="51">
        <v>0</v>
      </c>
      <c r="M54" s="51">
        <v>1160</v>
      </c>
      <c r="N54" s="51">
        <f t="shared" si="6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8"/>
        <v>27976</v>
      </c>
      <c r="T54" s="51">
        <v>0</v>
      </c>
      <c r="U54" s="51">
        <v>408</v>
      </c>
      <c r="V54" s="51">
        <f t="shared" si="7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4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5"/>
        <v>1757</v>
      </c>
      <c r="L55" s="51">
        <v>20</v>
      </c>
      <c r="M55" s="51">
        <v>1737</v>
      </c>
      <c r="N55" s="51">
        <f t="shared" si="6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8"/>
        <v>33336</v>
      </c>
      <c r="T55" s="51">
        <v>0</v>
      </c>
      <c r="U55" s="51">
        <v>2597</v>
      </c>
      <c r="V55" s="51">
        <f t="shared" si="7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46</v>
      </c>
      <c r="B56" s="264" t="s">
        <v>130</v>
      </c>
      <c r="C56" s="50" t="s">
        <v>131</v>
      </c>
      <c r="D56" s="51">
        <f t="shared" si="4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5"/>
        <v>250</v>
      </c>
      <c r="L56" s="51">
        <v>1</v>
      </c>
      <c r="M56" s="51">
        <v>249</v>
      </c>
      <c r="N56" s="51">
        <f t="shared" si="6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8"/>
        <v>11225</v>
      </c>
      <c r="T56" s="51">
        <v>0</v>
      </c>
      <c r="U56" s="51">
        <v>933</v>
      </c>
      <c r="V56" s="51">
        <f t="shared" si="7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4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5"/>
        <v>1227</v>
      </c>
      <c r="L57" s="51">
        <v>0</v>
      </c>
      <c r="M57" s="51">
        <v>1227</v>
      </c>
      <c r="N57" s="51">
        <f t="shared" si="6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8"/>
        <v>21409</v>
      </c>
      <c r="T57" s="51">
        <v>0</v>
      </c>
      <c r="U57" s="51">
        <v>630</v>
      </c>
      <c r="V57" s="51">
        <f t="shared" si="7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48</v>
      </c>
      <c r="B58" s="264" t="s">
        <v>134</v>
      </c>
      <c r="C58" s="50" t="s">
        <v>135</v>
      </c>
      <c r="D58" s="51">
        <f t="shared" si="4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5"/>
        <v>1375</v>
      </c>
      <c r="L58" s="51">
        <v>5</v>
      </c>
      <c r="M58" s="51">
        <v>1370</v>
      </c>
      <c r="N58" s="51">
        <f t="shared" si="6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8"/>
        <v>33973</v>
      </c>
      <c r="T58" s="51">
        <v>0</v>
      </c>
      <c r="U58" s="51">
        <v>310</v>
      </c>
      <c r="V58" s="51">
        <f t="shared" si="7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49</v>
      </c>
      <c r="B59" s="264" t="s">
        <v>136</v>
      </c>
      <c r="C59" s="50" t="s">
        <v>137</v>
      </c>
      <c r="D59" s="51">
        <f t="shared" si="4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5"/>
        <v>4364</v>
      </c>
      <c r="L59" s="51">
        <v>0</v>
      </c>
      <c r="M59" s="51">
        <v>4364</v>
      </c>
      <c r="N59" s="51">
        <f t="shared" si="6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8"/>
        <v>122398</v>
      </c>
      <c r="T59" s="51">
        <v>5100</v>
      </c>
      <c r="U59" s="51">
        <v>4100</v>
      </c>
      <c r="V59" s="51">
        <f t="shared" si="7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50</v>
      </c>
      <c r="B60" s="264" t="s">
        <v>138</v>
      </c>
      <c r="C60" s="50" t="s">
        <v>139</v>
      </c>
      <c r="D60" s="51">
        <f t="shared" si="4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5"/>
        <v>1364</v>
      </c>
      <c r="L60" s="51">
        <v>0</v>
      </c>
      <c r="M60" s="51">
        <v>1364</v>
      </c>
      <c r="N60" s="51">
        <f t="shared" si="6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8"/>
        <v>24101</v>
      </c>
      <c r="T60" s="51">
        <v>0</v>
      </c>
      <c r="U60" s="51">
        <v>1220</v>
      </c>
      <c r="V60" s="51">
        <f t="shared" si="7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51</v>
      </c>
      <c r="B61" s="264" t="s">
        <v>140</v>
      </c>
      <c r="C61" s="50" t="s">
        <v>141</v>
      </c>
      <c r="D61" s="51">
        <f t="shared" si="4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5"/>
        <v>339</v>
      </c>
      <c r="L61" s="51">
        <v>0</v>
      </c>
      <c r="M61" s="51">
        <v>339</v>
      </c>
      <c r="N61" s="51">
        <f t="shared" si="6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8"/>
        <v>18145</v>
      </c>
      <c r="T61" s="51">
        <v>0</v>
      </c>
      <c r="U61" s="51">
        <v>627</v>
      </c>
      <c r="V61" s="51">
        <f t="shared" si="7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4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5"/>
        <v>1076</v>
      </c>
      <c r="L62" s="51">
        <v>6</v>
      </c>
      <c r="M62" s="51">
        <v>1070</v>
      </c>
      <c r="N62" s="51">
        <f t="shared" si="6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8"/>
        <v>19319</v>
      </c>
      <c r="T62" s="51">
        <v>0</v>
      </c>
      <c r="U62" s="51">
        <v>1128</v>
      </c>
      <c r="V62" s="51">
        <f t="shared" si="7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53</v>
      </c>
      <c r="B63" s="264" t="s">
        <v>144</v>
      </c>
      <c r="C63" s="50" t="s">
        <v>145</v>
      </c>
      <c r="D63" s="51">
        <f t="shared" si="4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5"/>
        <v>0</v>
      </c>
      <c r="L63" s="51">
        <v>0</v>
      </c>
      <c r="M63" s="51">
        <v>0</v>
      </c>
      <c r="N63" s="51">
        <f t="shared" si="6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8"/>
        <v>0</v>
      </c>
      <c r="T63" s="51">
        <v>0</v>
      </c>
      <c r="U63" s="51">
        <v>0</v>
      </c>
      <c r="V63" s="51">
        <f t="shared" si="7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264" t="s">
        <v>146</v>
      </c>
      <c r="C64" s="50" t="s">
        <v>147</v>
      </c>
      <c r="D64" s="51">
        <f t="shared" si="4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5"/>
        <v>0</v>
      </c>
      <c r="L64" s="51">
        <v>0</v>
      </c>
      <c r="M64" s="51">
        <v>0</v>
      </c>
      <c r="N64" s="51">
        <f t="shared" si="6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8"/>
        <v>0</v>
      </c>
      <c r="T64" s="51">
        <v>0</v>
      </c>
      <c r="U64" s="51">
        <v>0</v>
      </c>
      <c r="V64" s="51">
        <f t="shared" si="7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55</v>
      </c>
      <c r="B65" s="264" t="s">
        <v>148</v>
      </c>
      <c r="C65" s="50" t="s">
        <v>149</v>
      </c>
      <c r="D65" s="51">
        <f t="shared" si="4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5"/>
        <v>7791</v>
      </c>
      <c r="L65" s="51">
        <v>200</v>
      </c>
      <c r="M65" s="51">
        <v>7591</v>
      </c>
      <c r="N65" s="51">
        <f t="shared" si="6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8"/>
        <v>34061</v>
      </c>
      <c r="T65" s="51">
        <v>0</v>
      </c>
      <c r="U65" s="51">
        <v>536</v>
      </c>
      <c r="V65" s="51">
        <f t="shared" si="7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4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5"/>
        <v>7103</v>
      </c>
      <c r="L66" s="51">
        <v>240</v>
      </c>
      <c r="M66" s="51">
        <v>6863</v>
      </c>
      <c r="N66" s="51">
        <f t="shared" si="6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8"/>
        <v>25057</v>
      </c>
      <c r="T66" s="51">
        <v>0</v>
      </c>
      <c r="U66" s="51">
        <v>300</v>
      </c>
      <c r="V66" s="51">
        <f t="shared" si="7"/>
        <v>24757</v>
      </c>
      <c r="W66" s="51">
        <v>0</v>
      </c>
      <c r="X66" s="51">
        <v>24757</v>
      </c>
      <c r="Y66" s="43"/>
      <c r="Z66" s="43"/>
      <c r="AA66" s="44"/>
    </row>
    <row r="67" spans="1:28" s="828" customFormat="1" ht="28.5" customHeight="1" x14ac:dyDescent="0.25">
      <c r="A67" s="824">
        <v>57</v>
      </c>
      <c r="B67" s="825" t="s">
        <v>152</v>
      </c>
      <c r="C67" s="728" t="s">
        <v>153</v>
      </c>
      <c r="D67" s="729">
        <f t="shared" si="4"/>
        <v>0</v>
      </c>
      <c r="E67" s="729"/>
      <c r="F67" s="729"/>
      <c r="G67" s="729">
        <v>0</v>
      </c>
      <c r="H67" s="729">
        <v>0</v>
      </c>
      <c r="I67" s="729">
        <v>0</v>
      </c>
      <c r="J67" s="729">
        <v>0</v>
      </c>
      <c r="K67" s="729">
        <f t="shared" si="5"/>
        <v>0</v>
      </c>
      <c r="L67" s="729"/>
      <c r="M67" s="729"/>
      <c r="N67" s="729">
        <f t="shared" si="6"/>
        <v>0</v>
      </c>
      <c r="O67" s="729">
        <v>0</v>
      </c>
      <c r="P67" s="729">
        <v>0</v>
      </c>
      <c r="Q67" s="729">
        <v>0</v>
      </c>
      <c r="R67" s="729"/>
      <c r="S67" s="729">
        <f t="shared" si="8"/>
        <v>0</v>
      </c>
      <c r="T67" s="734"/>
      <c r="U67" s="734"/>
      <c r="V67" s="729">
        <f t="shared" si="7"/>
        <v>0</v>
      </c>
      <c r="W67" s="735"/>
      <c r="X67" s="729"/>
      <c r="Y67" s="826"/>
      <c r="Z67" s="826"/>
      <c r="AA67" s="827"/>
    </row>
    <row r="68" spans="1:28" ht="28.5" customHeight="1" x14ac:dyDescent="0.25">
      <c r="A68" s="48">
        <v>58</v>
      </c>
      <c r="B68" s="52" t="s">
        <v>154</v>
      </c>
      <c r="C68" s="50" t="s">
        <v>155</v>
      </c>
      <c r="D68" s="51">
        <f t="shared" si="4"/>
        <v>72228</v>
      </c>
      <c r="E68" s="51">
        <v>4867</v>
      </c>
      <c r="F68" s="51">
        <v>1606</v>
      </c>
      <c r="G68" s="51">
        <v>0</v>
      </c>
      <c r="H68" s="51">
        <v>0</v>
      </c>
      <c r="I68" s="51">
        <v>0</v>
      </c>
      <c r="J68" s="51">
        <v>0</v>
      </c>
      <c r="K68" s="51">
        <f t="shared" si="5"/>
        <v>8000</v>
      </c>
      <c r="L68" s="51">
        <v>140</v>
      </c>
      <c r="M68" s="51">
        <v>7860</v>
      </c>
      <c r="N68" s="51">
        <f t="shared" si="6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8"/>
        <v>53634</v>
      </c>
      <c r="T68" s="51">
        <v>0</v>
      </c>
      <c r="U68" s="51">
        <v>675</v>
      </c>
      <c r="V68" s="51">
        <f t="shared" si="7"/>
        <v>52959</v>
      </c>
      <c r="W68" s="51">
        <v>0</v>
      </c>
      <c r="X68" s="51">
        <v>52959</v>
      </c>
      <c r="Y68" s="43"/>
      <c r="Z68" s="43"/>
      <c r="AA68" s="44"/>
    </row>
    <row r="69" spans="1:28" s="828" customFormat="1" ht="28.5" customHeight="1" x14ac:dyDescent="0.25">
      <c r="A69" s="824">
        <v>59</v>
      </c>
      <c r="B69" s="829" t="s">
        <v>156</v>
      </c>
      <c r="C69" s="728" t="s">
        <v>157</v>
      </c>
      <c r="D69" s="729">
        <f t="shared" si="4"/>
        <v>0</v>
      </c>
      <c r="E69" s="729"/>
      <c r="F69" s="729"/>
      <c r="G69" s="729">
        <v>0</v>
      </c>
      <c r="H69" s="729">
        <v>0</v>
      </c>
      <c r="I69" s="729">
        <v>0</v>
      </c>
      <c r="J69" s="729">
        <v>0</v>
      </c>
      <c r="K69" s="729">
        <f t="shared" si="5"/>
        <v>0</v>
      </c>
      <c r="L69" s="729"/>
      <c r="M69" s="729"/>
      <c r="N69" s="729">
        <f t="shared" si="6"/>
        <v>0</v>
      </c>
      <c r="O69" s="729">
        <v>0</v>
      </c>
      <c r="P69" s="729">
        <v>0</v>
      </c>
      <c r="Q69" s="729">
        <v>0</v>
      </c>
      <c r="R69" s="729">
        <v>0</v>
      </c>
      <c r="S69" s="729">
        <f t="shared" si="8"/>
        <v>0</v>
      </c>
      <c r="T69" s="729">
        <v>0</v>
      </c>
      <c r="U69" s="734"/>
      <c r="V69" s="729">
        <f t="shared" si="7"/>
        <v>0</v>
      </c>
      <c r="W69" s="735"/>
      <c r="X69" s="736"/>
      <c r="Y69" s="826"/>
      <c r="Z69" s="826"/>
      <c r="AA69" s="827"/>
    </row>
    <row r="70" spans="1:28" ht="28.5" customHeight="1" x14ac:dyDescent="0.25">
      <c r="A70" s="48">
        <v>60</v>
      </c>
      <c r="B70" s="49" t="s">
        <v>158</v>
      </c>
      <c r="C70" s="50" t="s">
        <v>159</v>
      </c>
      <c r="D70" s="51">
        <f t="shared" si="4"/>
        <v>29527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5"/>
        <v>0</v>
      </c>
      <c r="L70" s="51">
        <v>0</v>
      </c>
      <c r="M70" s="51">
        <v>0</v>
      </c>
      <c r="N70" s="51">
        <f t="shared" si="6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8"/>
        <v>29527</v>
      </c>
      <c r="T70" s="51">
        <v>11949</v>
      </c>
      <c r="U70" s="51">
        <v>0</v>
      </c>
      <c r="V70" s="51">
        <f t="shared" si="7"/>
        <v>17578</v>
      </c>
      <c r="W70" s="51">
        <v>17578</v>
      </c>
      <c r="X70" s="51">
        <v>0</v>
      </c>
      <c r="Y70" s="43"/>
      <c r="Z70" s="43"/>
      <c r="AA70" s="44"/>
    </row>
    <row r="71" spans="1:28" ht="28.5" customHeight="1" x14ac:dyDescent="0.25">
      <c r="A71" s="48">
        <v>61</v>
      </c>
      <c r="B71" s="49" t="s">
        <v>160</v>
      </c>
      <c r="C71" s="50" t="s">
        <v>161</v>
      </c>
      <c r="D71" s="51">
        <f t="shared" si="4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5"/>
        <v>0</v>
      </c>
      <c r="L71" s="51">
        <v>0</v>
      </c>
      <c r="M71" s="51">
        <v>0</v>
      </c>
      <c r="N71" s="51">
        <f t="shared" si="6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8"/>
        <v>29571</v>
      </c>
      <c r="T71" s="51">
        <v>13891</v>
      </c>
      <c r="U71" s="51">
        <v>0</v>
      </c>
      <c r="V71" s="51">
        <f t="shared" si="7"/>
        <v>15680</v>
      </c>
      <c r="W71" s="51">
        <v>15680</v>
      </c>
      <c r="X71" s="51">
        <v>0</v>
      </c>
      <c r="Y71" s="43"/>
      <c r="Z71" s="43"/>
      <c r="AA71" s="44"/>
      <c r="AB71" s="37"/>
    </row>
    <row r="72" spans="1:28" ht="28.5" customHeight="1" x14ac:dyDescent="0.25">
      <c r="A72" s="48">
        <v>62</v>
      </c>
      <c r="B72" s="52" t="s">
        <v>162</v>
      </c>
      <c r="C72" s="50" t="s">
        <v>163</v>
      </c>
      <c r="D72" s="51">
        <f t="shared" si="4"/>
        <v>88017</v>
      </c>
      <c r="E72" s="51">
        <v>6607</v>
      </c>
      <c r="F72" s="51">
        <v>346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5"/>
        <v>0</v>
      </c>
      <c r="L72" s="51">
        <v>0</v>
      </c>
      <c r="M72" s="51">
        <v>0</v>
      </c>
      <c r="N72" s="51">
        <f t="shared" si="6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8"/>
        <v>65979</v>
      </c>
      <c r="T72" s="51">
        <v>0</v>
      </c>
      <c r="U72" s="51">
        <v>8114</v>
      </c>
      <c r="V72" s="51">
        <f t="shared" si="7"/>
        <v>57865</v>
      </c>
      <c r="W72" s="51">
        <v>0</v>
      </c>
      <c r="X72" s="51">
        <v>57865</v>
      </c>
      <c r="Y72" s="43"/>
      <c r="Z72" s="43"/>
      <c r="AA72" s="44"/>
    </row>
    <row r="73" spans="1:28" ht="28.5" customHeight="1" x14ac:dyDescent="0.25">
      <c r="A73" s="48">
        <v>63</v>
      </c>
      <c r="B73" s="52" t="s">
        <v>164</v>
      </c>
      <c r="C73" s="50" t="s">
        <v>165</v>
      </c>
      <c r="D73" s="51">
        <f t="shared" si="4"/>
        <v>44569</v>
      </c>
      <c r="E73" s="51">
        <v>3826</v>
      </c>
      <c r="F73" s="51">
        <v>209</v>
      </c>
      <c r="G73" s="51">
        <v>6784</v>
      </c>
      <c r="H73" s="51">
        <f>669</f>
        <v>669</v>
      </c>
      <c r="I73" s="51">
        <v>1916</v>
      </c>
      <c r="J73" s="51">
        <v>0</v>
      </c>
      <c r="K73" s="51">
        <f t="shared" si="5"/>
        <v>0</v>
      </c>
      <c r="L73" s="51">
        <v>0</v>
      </c>
      <c r="M73" s="51">
        <v>0</v>
      </c>
      <c r="N73" s="51">
        <f t="shared" si="6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8"/>
        <v>31165</v>
      </c>
      <c r="T73" s="51">
        <v>0</v>
      </c>
      <c r="U73" s="51">
        <v>800</v>
      </c>
      <c r="V73" s="51">
        <f t="shared" si="7"/>
        <v>30365</v>
      </c>
      <c r="W73" s="51">
        <v>0</v>
      </c>
      <c r="X73" s="51">
        <v>30365</v>
      </c>
      <c r="Y73" s="43"/>
      <c r="Z73" s="43"/>
      <c r="AA73" s="44"/>
    </row>
    <row r="74" spans="1:28" ht="28.5" customHeight="1" x14ac:dyDescent="0.25">
      <c r="A74" s="48">
        <v>64</v>
      </c>
      <c r="B74" s="52" t="s">
        <v>166</v>
      </c>
      <c r="C74" s="50" t="s">
        <v>167</v>
      </c>
      <c r="D74" s="51">
        <f t="shared" si="4"/>
        <v>115247</v>
      </c>
      <c r="E74" s="51">
        <v>8784</v>
      </c>
      <c r="F74" s="51">
        <v>442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5"/>
        <v>0</v>
      </c>
      <c r="L74" s="51">
        <v>0</v>
      </c>
      <c r="M74" s="51">
        <v>0</v>
      </c>
      <c r="N74" s="51">
        <f t="shared" si="6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8"/>
        <v>85744</v>
      </c>
      <c r="T74" s="51">
        <v>0</v>
      </c>
      <c r="U74" s="51">
        <v>9643</v>
      </c>
      <c r="V74" s="51">
        <f t="shared" si="7"/>
        <v>76101</v>
      </c>
      <c r="W74" s="51">
        <v>0</v>
      </c>
      <c r="X74" s="51">
        <v>76101</v>
      </c>
      <c r="Y74" s="43"/>
      <c r="Z74" s="43"/>
      <c r="AA74" s="44"/>
    </row>
    <row r="75" spans="1:28" s="828" customFormat="1" ht="28.5" customHeight="1" x14ac:dyDescent="0.25">
      <c r="A75" s="824">
        <v>65</v>
      </c>
      <c r="B75" s="830" t="s">
        <v>168</v>
      </c>
      <c r="C75" s="728" t="s">
        <v>169</v>
      </c>
      <c r="D75" s="729">
        <f t="shared" ref="D75:D138" si="9">E75+F75+G75+H75+I75+J75+K75+N75+R75+S75</f>
        <v>0</v>
      </c>
      <c r="E75" s="729">
        <v>0</v>
      </c>
      <c r="F75" s="729">
        <v>0</v>
      </c>
      <c r="G75" s="729">
        <v>0</v>
      </c>
      <c r="H75" s="729">
        <v>0</v>
      </c>
      <c r="I75" s="729">
        <v>0</v>
      </c>
      <c r="J75" s="729">
        <v>0</v>
      </c>
      <c r="K75" s="729">
        <f t="shared" ref="K75:K138" si="10">L75+M75</f>
        <v>0</v>
      </c>
      <c r="L75" s="729">
        <v>0</v>
      </c>
      <c r="M75" s="729">
        <v>0</v>
      </c>
      <c r="N75" s="729">
        <f t="shared" ref="N75:N138" si="11">O75+P75+Q75</f>
        <v>0</v>
      </c>
      <c r="O75" s="729">
        <v>0</v>
      </c>
      <c r="P75" s="729">
        <v>0</v>
      </c>
      <c r="Q75" s="729">
        <v>0</v>
      </c>
      <c r="R75" s="729">
        <v>0</v>
      </c>
      <c r="S75" s="729">
        <f t="shared" si="8"/>
        <v>0</v>
      </c>
      <c r="T75" s="729">
        <v>0</v>
      </c>
      <c r="U75" s="729">
        <v>0</v>
      </c>
      <c r="V75" s="729">
        <f t="shared" ref="V75:V138" si="12">W75+X75</f>
        <v>0</v>
      </c>
      <c r="W75" s="735"/>
      <c r="X75" s="729">
        <v>0</v>
      </c>
      <c r="Y75" s="826"/>
      <c r="Z75" s="826"/>
      <c r="AA75" s="827"/>
    </row>
    <row r="76" spans="1:28" s="828" customFormat="1" ht="27" customHeight="1" x14ac:dyDescent="0.25">
      <c r="A76" s="824">
        <v>66</v>
      </c>
      <c r="B76" s="825" t="s">
        <v>170</v>
      </c>
      <c r="C76" s="728" t="s">
        <v>171</v>
      </c>
      <c r="D76" s="729">
        <f t="shared" si="9"/>
        <v>53722</v>
      </c>
      <c r="E76" s="729">
        <v>0</v>
      </c>
      <c r="F76" s="729">
        <v>0</v>
      </c>
      <c r="G76" s="729">
        <v>0</v>
      </c>
      <c r="H76" s="729">
        <v>0</v>
      </c>
      <c r="I76" s="729">
        <v>0</v>
      </c>
      <c r="J76" s="729">
        <v>0</v>
      </c>
      <c r="K76" s="729">
        <f t="shared" si="10"/>
        <v>0</v>
      </c>
      <c r="L76" s="729">
        <v>0</v>
      </c>
      <c r="M76" s="729">
        <v>0</v>
      </c>
      <c r="N76" s="729">
        <f t="shared" si="11"/>
        <v>0</v>
      </c>
      <c r="O76" s="729">
        <v>0</v>
      </c>
      <c r="P76" s="729">
        <v>0</v>
      </c>
      <c r="Q76" s="729">
        <v>0</v>
      </c>
      <c r="R76" s="729">
        <v>0</v>
      </c>
      <c r="S76" s="729">
        <f t="shared" ref="S76:S139" si="13">T76+U76+V76</f>
        <v>53722</v>
      </c>
      <c r="T76" s="729">
        <v>0</v>
      </c>
      <c r="U76" s="729">
        <v>0</v>
      </c>
      <c r="V76" s="729">
        <f t="shared" si="12"/>
        <v>53722</v>
      </c>
      <c r="W76" s="735">
        <f>15367+25570+5617+7168</f>
        <v>53722</v>
      </c>
      <c r="X76" s="729">
        <v>0</v>
      </c>
      <c r="Y76" s="826"/>
      <c r="Z76" s="826"/>
      <c r="AA76" s="827"/>
    </row>
    <row r="77" spans="1:28" s="828" customFormat="1" ht="27" customHeight="1" x14ac:dyDescent="0.25">
      <c r="A77" s="824">
        <v>67</v>
      </c>
      <c r="B77" s="830" t="s">
        <v>172</v>
      </c>
      <c r="C77" s="728" t="s">
        <v>173</v>
      </c>
      <c r="D77" s="729">
        <f t="shared" si="9"/>
        <v>0</v>
      </c>
      <c r="E77" s="729">
        <v>0</v>
      </c>
      <c r="F77" s="729">
        <v>0</v>
      </c>
      <c r="G77" s="729">
        <v>0</v>
      </c>
      <c r="H77" s="729">
        <v>0</v>
      </c>
      <c r="I77" s="729">
        <v>0</v>
      </c>
      <c r="J77" s="729">
        <v>0</v>
      </c>
      <c r="K77" s="729">
        <f t="shared" si="10"/>
        <v>0</v>
      </c>
      <c r="L77" s="729">
        <v>0</v>
      </c>
      <c r="M77" s="729">
        <v>0</v>
      </c>
      <c r="N77" s="729">
        <f t="shared" si="11"/>
        <v>0</v>
      </c>
      <c r="O77" s="729">
        <v>0</v>
      </c>
      <c r="P77" s="729">
        <v>0</v>
      </c>
      <c r="Q77" s="729">
        <v>0</v>
      </c>
      <c r="R77" s="729">
        <v>0</v>
      </c>
      <c r="S77" s="729">
        <f t="shared" si="13"/>
        <v>0</v>
      </c>
      <c r="T77" s="729">
        <v>0</v>
      </c>
      <c r="U77" s="729">
        <v>0</v>
      </c>
      <c r="V77" s="729">
        <f t="shared" si="12"/>
        <v>0</v>
      </c>
      <c r="W77" s="735"/>
      <c r="X77" s="729">
        <v>0</v>
      </c>
      <c r="Y77" s="826"/>
      <c r="Z77" s="826"/>
      <c r="AA77" s="827"/>
    </row>
    <row r="78" spans="1:28" s="828" customFormat="1" ht="24.75" customHeight="1" x14ac:dyDescent="0.25">
      <c r="A78" s="824">
        <v>68</v>
      </c>
      <c r="B78" s="830" t="s">
        <v>174</v>
      </c>
      <c r="C78" s="728" t="s">
        <v>175</v>
      </c>
      <c r="D78" s="729">
        <f t="shared" si="9"/>
        <v>0</v>
      </c>
      <c r="E78" s="729">
        <v>0</v>
      </c>
      <c r="F78" s="729">
        <v>0</v>
      </c>
      <c r="G78" s="729">
        <v>0</v>
      </c>
      <c r="H78" s="729">
        <v>0</v>
      </c>
      <c r="I78" s="729">
        <v>0</v>
      </c>
      <c r="J78" s="729">
        <v>0</v>
      </c>
      <c r="K78" s="729">
        <f t="shared" si="10"/>
        <v>0</v>
      </c>
      <c r="L78" s="729">
        <v>0</v>
      </c>
      <c r="M78" s="729">
        <v>0</v>
      </c>
      <c r="N78" s="729">
        <f t="shared" si="11"/>
        <v>0</v>
      </c>
      <c r="O78" s="729">
        <v>0</v>
      </c>
      <c r="P78" s="729">
        <v>0</v>
      </c>
      <c r="Q78" s="729">
        <v>0</v>
      </c>
      <c r="R78" s="729">
        <v>0</v>
      </c>
      <c r="S78" s="729">
        <f t="shared" si="13"/>
        <v>0</v>
      </c>
      <c r="T78" s="729">
        <v>0</v>
      </c>
      <c r="U78" s="729">
        <v>0</v>
      </c>
      <c r="V78" s="729">
        <f t="shared" si="12"/>
        <v>0</v>
      </c>
      <c r="W78" s="735"/>
      <c r="X78" s="729">
        <v>0</v>
      </c>
      <c r="Y78" s="826"/>
      <c r="Z78" s="826"/>
      <c r="AA78" s="827"/>
    </row>
    <row r="79" spans="1:28" s="828" customFormat="1" ht="37.5" customHeight="1" x14ac:dyDescent="0.25">
      <c r="A79" s="824">
        <v>69</v>
      </c>
      <c r="B79" s="825" t="s">
        <v>176</v>
      </c>
      <c r="C79" s="728" t="s">
        <v>177</v>
      </c>
      <c r="D79" s="729">
        <f t="shared" si="9"/>
        <v>80803</v>
      </c>
      <c r="E79" s="729">
        <v>0</v>
      </c>
      <c r="F79" s="729">
        <v>0</v>
      </c>
      <c r="G79" s="729">
        <v>0</v>
      </c>
      <c r="H79" s="729">
        <v>0</v>
      </c>
      <c r="I79" s="729">
        <v>0</v>
      </c>
      <c r="J79" s="729">
        <v>0</v>
      </c>
      <c r="K79" s="729">
        <f t="shared" si="10"/>
        <v>0</v>
      </c>
      <c r="L79" s="729">
        <v>0</v>
      </c>
      <c r="M79" s="729">
        <v>0</v>
      </c>
      <c r="N79" s="729">
        <f t="shared" si="11"/>
        <v>0</v>
      </c>
      <c r="O79" s="729">
        <v>0</v>
      </c>
      <c r="P79" s="729">
        <v>0</v>
      </c>
      <c r="Q79" s="729">
        <v>0</v>
      </c>
      <c r="R79" s="729">
        <v>0</v>
      </c>
      <c r="S79" s="729">
        <f t="shared" si="13"/>
        <v>80803</v>
      </c>
      <c r="T79" s="729">
        <v>2833</v>
      </c>
      <c r="U79" s="729">
        <v>0</v>
      </c>
      <c r="V79" s="729">
        <f t="shared" si="12"/>
        <v>77970</v>
      </c>
      <c r="W79" s="735">
        <f>22674+36864+6350+6339+5743</f>
        <v>77970</v>
      </c>
      <c r="X79" s="729">
        <v>0</v>
      </c>
      <c r="Y79" s="826"/>
      <c r="Z79" s="826"/>
      <c r="AA79" s="827"/>
    </row>
    <row r="80" spans="1:28" s="828" customFormat="1" ht="30" customHeight="1" x14ac:dyDescent="0.25">
      <c r="A80" s="824">
        <v>70</v>
      </c>
      <c r="B80" s="825" t="s">
        <v>178</v>
      </c>
      <c r="C80" s="728" t="s">
        <v>179</v>
      </c>
      <c r="D80" s="729">
        <f t="shared" si="9"/>
        <v>0</v>
      </c>
      <c r="E80" s="729">
        <v>0</v>
      </c>
      <c r="F80" s="729">
        <v>0</v>
      </c>
      <c r="G80" s="729">
        <v>0</v>
      </c>
      <c r="H80" s="729">
        <v>0</v>
      </c>
      <c r="I80" s="729">
        <v>0</v>
      </c>
      <c r="J80" s="729">
        <v>0</v>
      </c>
      <c r="K80" s="729">
        <f t="shared" si="10"/>
        <v>0</v>
      </c>
      <c r="L80" s="729">
        <v>0</v>
      </c>
      <c r="M80" s="729">
        <v>0</v>
      </c>
      <c r="N80" s="729">
        <f t="shared" si="11"/>
        <v>0</v>
      </c>
      <c r="O80" s="729">
        <v>0</v>
      </c>
      <c r="P80" s="729">
        <v>0</v>
      </c>
      <c r="Q80" s="729">
        <v>0</v>
      </c>
      <c r="R80" s="729">
        <v>0</v>
      </c>
      <c r="S80" s="729">
        <f t="shared" si="13"/>
        <v>0</v>
      </c>
      <c r="T80" s="729">
        <v>0</v>
      </c>
      <c r="U80" s="729">
        <v>0</v>
      </c>
      <c r="V80" s="729">
        <f t="shared" si="12"/>
        <v>0</v>
      </c>
      <c r="W80" s="735"/>
      <c r="X80" s="729">
        <v>0</v>
      </c>
      <c r="Y80" s="826"/>
      <c r="Z80" s="826"/>
      <c r="AA80" s="827"/>
    </row>
    <row r="81" spans="1:27" s="828" customFormat="1" ht="34.5" customHeight="1" x14ac:dyDescent="0.25">
      <c r="A81" s="824">
        <v>71</v>
      </c>
      <c r="B81" s="825" t="s">
        <v>180</v>
      </c>
      <c r="C81" s="728" t="s">
        <v>181</v>
      </c>
      <c r="D81" s="729">
        <f t="shared" si="9"/>
        <v>0</v>
      </c>
      <c r="E81" s="729">
        <v>0</v>
      </c>
      <c r="F81" s="729">
        <v>0</v>
      </c>
      <c r="G81" s="729">
        <v>0</v>
      </c>
      <c r="H81" s="729">
        <v>0</v>
      </c>
      <c r="I81" s="729">
        <v>0</v>
      </c>
      <c r="J81" s="729">
        <v>0</v>
      </c>
      <c r="K81" s="729">
        <f t="shared" si="10"/>
        <v>0</v>
      </c>
      <c r="L81" s="729">
        <v>0</v>
      </c>
      <c r="M81" s="729">
        <v>0</v>
      </c>
      <c r="N81" s="729">
        <f t="shared" si="11"/>
        <v>0</v>
      </c>
      <c r="O81" s="729">
        <v>0</v>
      </c>
      <c r="P81" s="729">
        <v>0</v>
      </c>
      <c r="Q81" s="729">
        <v>0</v>
      </c>
      <c r="R81" s="729">
        <v>0</v>
      </c>
      <c r="S81" s="729">
        <f t="shared" si="13"/>
        <v>0</v>
      </c>
      <c r="T81" s="729">
        <v>0</v>
      </c>
      <c r="U81" s="729">
        <v>0</v>
      </c>
      <c r="V81" s="729">
        <f t="shared" si="12"/>
        <v>0</v>
      </c>
      <c r="W81" s="735"/>
      <c r="X81" s="729">
        <v>0</v>
      </c>
      <c r="Y81" s="826"/>
      <c r="Z81" s="826"/>
      <c r="AA81" s="827"/>
    </row>
    <row r="82" spans="1:27" ht="28.5" customHeight="1" x14ac:dyDescent="0.25">
      <c r="A82" s="48">
        <v>72</v>
      </c>
      <c r="B82" s="264" t="s">
        <v>182</v>
      </c>
      <c r="C82" s="50" t="s">
        <v>183</v>
      </c>
      <c r="D82" s="51">
        <f t="shared" si="9"/>
        <v>103445</v>
      </c>
      <c r="E82" s="51">
        <v>7302</v>
      </c>
      <c r="F82" s="51">
        <v>960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10"/>
        <v>2300</v>
      </c>
      <c r="L82" s="51">
        <v>30</v>
      </c>
      <c r="M82" s="51">
        <v>2270</v>
      </c>
      <c r="N82" s="51">
        <f t="shared" si="11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3"/>
        <v>78283</v>
      </c>
      <c r="T82" s="51">
        <v>0</v>
      </c>
      <c r="U82" s="51">
        <v>3030</v>
      </c>
      <c r="V82" s="51">
        <f t="shared" si="12"/>
        <v>75253</v>
      </c>
      <c r="W82" s="51">
        <v>17710</v>
      </c>
      <c r="X82" s="51">
        <v>57543</v>
      </c>
      <c r="Y82" s="43"/>
      <c r="Z82" s="43"/>
      <c r="AA82" s="44"/>
    </row>
    <row r="83" spans="1:27" ht="28.5" customHeight="1" x14ac:dyDescent="0.25">
      <c r="A83" s="48">
        <v>73</v>
      </c>
      <c r="B83" s="49" t="s">
        <v>184</v>
      </c>
      <c r="C83" s="50" t="s">
        <v>185</v>
      </c>
      <c r="D83" s="51">
        <f t="shared" si="9"/>
        <v>166283</v>
      </c>
      <c r="E83" s="51">
        <v>12625</v>
      </c>
      <c r="F83" s="51">
        <v>710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10"/>
        <v>255</v>
      </c>
      <c r="L83" s="51">
        <v>0</v>
      </c>
      <c r="M83" s="51">
        <v>255</v>
      </c>
      <c r="N83" s="51">
        <f t="shared" si="11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3"/>
        <v>119525</v>
      </c>
      <c r="T83" s="51">
        <v>0</v>
      </c>
      <c r="U83" s="51">
        <v>10400</v>
      </c>
      <c r="V83" s="51">
        <f t="shared" si="12"/>
        <v>109125</v>
      </c>
      <c r="W83" s="51">
        <v>0</v>
      </c>
      <c r="X83" s="51">
        <v>109125</v>
      </c>
      <c r="Y83" s="43"/>
      <c r="Z83" s="43"/>
      <c r="AA83" s="44"/>
    </row>
    <row r="84" spans="1:27" ht="28.5" customHeight="1" x14ac:dyDescent="0.25">
      <c r="A84" s="48">
        <v>74</v>
      </c>
      <c r="B84" s="264" t="s">
        <v>186</v>
      </c>
      <c r="C84" s="50" t="s">
        <v>187</v>
      </c>
      <c r="D84" s="51">
        <f t="shared" si="9"/>
        <v>96527</v>
      </c>
      <c r="E84" s="51">
        <v>6723</v>
      </c>
      <c r="F84" s="51">
        <v>363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10"/>
        <v>0</v>
      </c>
      <c r="L84" s="51">
        <v>0</v>
      </c>
      <c r="M84" s="51">
        <v>0</v>
      </c>
      <c r="N84" s="51">
        <f t="shared" si="11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3"/>
        <v>60938</v>
      </c>
      <c r="T84" s="51">
        <v>0</v>
      </c>
      <c r="U84" s="51">
        <v>2100</v>
      </c>
      <c r="V84" s="51">
        <f t="shared" si="12"/>
        <v>58838</v>
      </c>
      <c r="W84" s="51">
        <v>11221</v>
      </c>
      <c r="X84" s="51">
        <v>47617</v>
      </c>
      <c r="Y84" s="43"/>
      <c r="Z84" s="43"/>
      <c r="AA84" s="44"/>
    </row>
    <row r="85" spans="1:27" s="828" customFormat="1" ht="28.5" customHeight="1" x14ac:dyDescent="0.25">
      <c r="A85" s="824">
        <v>75</v>
      </c>
      <c r="B85" s="825" t="s">
        <v>188</v>
      </c>
      <c r="C85" s="728" t="s">
        <v>189</v>
      </c>
      <c r="D85" s="729">
        <f t="shared" si="9"/>
        <v>103764</v>
      </c>
      <c r="E85" s="729">
        <f>4563+1891+945</f>
        <v>7399</v>
      </c>
      <c r="F85" s="729">
        <f>419+539+270</f>
        <v>1228</v>
      </c>
      <c r="G85" s="729">
        <v>8089</v>
      </c>
      <c r="H85" s="729">
        <v>39</v>
      </c>
      <c r="I85" s="729">
        <v>2428</v>
      </c>
      <c r="J85" s="729">
        <v>0</v>
      </c>
      <c r="K85" s="729">
        <f t="shared" si="10"/>
        <v>12118</v>
      </c>
      <c r="L85" s="729">
        <f>390+195</f>
        <v>585</v>
      </c>
      <c r="M85" s="729">
        <f>7689+3844</f>
        <v>11533</v>
      </c>
      <c r="N85" s="729">
        <f t="shared" si="11"/>
        <v>0</v>
      </c>
      <c r="O85" s="729">
        <v>0</v>
      </c>
      <c r="P85" s="729">
        <v>0</v>
      </c>
      <c r="Q85" s="729">
        <v>0</v>
      </c>
      <c r="R85" s="729">
        <v>0</v>
      </c>
      <c r="S85" s="729">
        <f t="shared" si="13"/>
        <v>72463</v>
      </c>
      <c r="T85" s="729">
        <v>0</v>
      </c>
      <c r="U85" s="734">
        <f>2474+714+357</f>
        <v>3545</v>
      </c>
      <c r="V85" s="729">
        <f t="shared" si="12"/>
        <v>68918</v>
      </c>
      <c r="W85" s="735">
        <f>10026+3250+1625</f>
        <v>14901</v>
      </c>
      <c r="X85" s="736">
        <f>34500+13011+6506</f>
        <v>54017</v>
      </c>
      <c r="Y85" s="826"/>
      <c r="Z85" s="826"/>
      <c r="AA85" s="827"/>
    </row>
    <row r="86" spans="1:27" ht="28.5" customHeight="1" x14ac:dyDescent="0.25">
      <c r="A86" s="48">
        <v>76</v>
      </c>
      <c r="B86" s="49" t="s">
        <v>190</v>
      </c>
      <c r="C86" s="50" t="s">
        <v>191</v>
      </c>
      <c r="D86" s="51">
        <f t="shared" si="9"/>
        <v>166424</v>
      </c>
      <c r="E86" s="51">
        <v>11386</v>
      </c>
      <c r="F86" s="51">
        <v>2105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10"/>
        <v>0</v>
      </c>
      <c r="L86" s="51">
        <v>0</v>
      </c>
      <c r="M86" s="51">
        <v>0</v>
      </c>
      <c r="N86" s="51">
        <f t="shared" si="11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3"/>
        <v>118204</v>
      </c>
      <c r="T86" s="51">
        <v>0</v>
      </c>
      <c r="U86" s="51">
        <v>9000</v>
      </c>
      <c r="V86" s="51">
        <f t="shared" si="12"/>
        <v>109204</v>
      </c>
      <c r="W86" s="51">
        <v>14428</v>
      </c>
      <c r="X86" s="51">
        <v>94776</v>
      </c>
      <c r="Y86" s="43"/>
      <c r="Z86" s="43"/>
      <c r="AA86" s="44"/>
    </row>
    <row r="87" spans="1:27" s="828" customFormat="1" ht="28.5" customHeight="1" x14ac:dyDescent="0.25">
      <c r="A87" s="824">
        <v>77</v>
      </c>
      <c r="B87" s="825" t="s">
        <v>192</v>
      </c>
      <c r="C87" s="728" t="s">
        <v>193</v>
      </c>
      <c r="D87" s="729">
        <f>E87+F87+G87+H87+I87+J87+K87+N87+R87+S87</f>
        <v>92757</v>
      </c>
      <c r="E87" s="729">
        <f>2645+2390+1195</f>
        <v>6230</v>
      </c>
      <c r="F87" s="729">
        <f>587+627+313</f>
        <v>1527</v>
      </c>
      <c r="G87" s="729">
        <v>0</v>
      </c>
      <c r="H87" s="729">
        <v>0</v>
      </c>
      <c r="I87" s="729">
        <v>0</v>
      </c>
      <c r="J87" s="729">
        <v>0</v>
      </c>
      <c r="K87" s="729">
        <f t="shared" si="10"/>
        <v>17971</v>
      </c>
      <c r="L87" s="729">
        <f>49+240+120</f>
        <v>409</v>
      </c>
      <c r="M87" s="729">
        <f>3928+9089+4545</f>
        <v>17562</v>
      </c>
      <c r="N87" s="729">
        <f t="shared" si="11"/>
        <v>0</v>
      </c>
      <c r="O87" s="729">
        <v>0</v>
      </c>
      <c r="P87" s="729">
        <v>0</v>
      </c>
      <c r="Q87" s="729">
        <v>0</v>
      </c>
      <c r="R87" s="729">
        <f>2586+1293</f>
        <v>3879</v>
      </c>
      <c r="S87" s="729">
        <f t="shared" si="13"/>
        <v>63150</v>
      </c>
      <c r="T87" s="734">
        <f>1773+887</f>
        <v>2660</v>
      </c>
      <c r="U87" s="734">
        <f>2825+200+100</f>
        <v>3125</v>
      </c>
      <c r="V87" s="729">
        <f t="shared" si="12"/>
        <v>57365</v>
      </c>
      <c r="W87" s="735">
        <f>6992+3496</f>
        <v>10488</v>
      </c>
      <c r="X87" s="736">
        <f>26695+13455+6727</f>
        <v>46877</v>
      </c>
      <c r="Y87" s="826"/>
      <c r="Z87" s="826"/>
      <c r="AA87" s="827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9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10"/>
        <v>0</v>
      </c>
      <c r="L88" s="51">
        <v>0</v>
      </c>
      <c r="M88" s="51">
        <v>0</v>
      </c>
      <c r="N88" s="51">
        <f t="shared" si="11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3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9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10"/>
        <v>0</v>
      </c>
      <c r="L89" s="51">
        <v>0</v>
      </c>
      <c r="M89" s="51">
        <v>0</v>
      </c>
      <c r="N89" s="51">
        <f t="shared" si="11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3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9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10"/>
        <v>0</v>
      </c>
      <c r="L90" s="51">
        <v>0</v>
      </c>
      <c r="M90" s="51">
        <v>0</v>
      </c>
      <c r="N90" s="51">
        <f t="shared" si="11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3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4">
        <v>81</v>
      </c>
      <c r="B91" s="907" t="s">
        <v>199</v>
      </c>
      <c r="C91" s="57" t="s">
        <v>200</v>
      </c>
      <c r="D91" s="51">
        <f t="shared" si="9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10"/>
        <v>0</v>
      </c>
      <c r="L91" s="51">
        <v>0</v>
      </c>
      <c r="M91" s="51">
        <v>0</v>
      </c>
      <c r="N91" s="51">
        <f t="shared" si="11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3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5"/>
      <c r="B92" s="908"/>
      <c r="C92" s="50" t="s">
        <v>201</v>
      </c>
      <c r="D92" s="51">
        <f t="shared" si="9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10"/>
        <v>0</v>
      </c>
      <c r="L92" s="51">
        <v>0</v>
      </c>
      <c r="M92" s="51">
        <v>0</v>
      </c>
      <c r="N92" s="51">
        <f t="shared" si="11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3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5"/>
      <c r="B93" s="908"/>
      <c r="C93" s="50" t="s">
        <v>202</v>
      </c>
      <c r="D93" s="51">
        <f t="shared" si="9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10"/>
        <v>0</v>
      </c>
      <c r="L93" s="51">
        <v>0</v>
      </c>
      <c r="M93" s="51">
        <v>0</v>
      </c>
      <c r="N93" s="51">
        <f t="shared" si="11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3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06"/>
      <c r="B94" s="909"/>
      <c r="C94" s="58" t="s">
        <v>203</v>
      </c>
      <c r="D94" s="51">
        <f t="shared" si="9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10"/>
        <v>0</v>
      </c>
      <c r="L94" s="51">
        <v>0</v>
      </c>
      <c r="M94" s="51">
        <v>0</v>
      </c>
      <c r="N94" s="51">
        <f t="shared" si="11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3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9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10"/>
        <v>0</v>
      </c>
      <c r="L95" s="51">
        <v>0</v>
      </c>
      <c r="M95" s="51">
        <v>0</v>
      </c>
      <c r="N95" s="51">
        <f t="shared" si="11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3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9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10"/>
        <v>0</v>
      </c>
      <c r="L96" s="51">
        <v>0</v>
      </c>
      <c r="M96" s="51">
        <v>0</v>
      </c>
      <c r="N96" s="51">
        <f t="shared" si="11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3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264" t="s">
        <v>208</v>
      </c>
      <c r="C97" s="50" t="s">
        <v>209</v>
      </c>
      <c r="D97" s="51">
        <f t="shared" si="9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10"/>
        <v>0</v>
      </c>
      <c r="L97" s="51">
        <v>0</v>
      </c>
      <c r="M97" s="51">
        <v>0</v>
      </c>
      <c r="N97" s="51">
        <f t="shared" si="11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3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9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10"/>
        <v>550</v>
      </c>
      <c r="L98" s="51">
        <v>5</v>
      </c>
      <c r="M98" s="51">
        <v>545</v>
      </c>
      <c r="N98" s="51">
        <f t="shared" si="11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3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86</v>
      </c>
      <c r="B99" s="264" t="s">
        <v>212</v>
      </c>
      <c r="C99" s="50" t="s">
        <v>213</v>
      </c>
      <c r="D99" s="51">
        <f t="shared" si="9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10"/>
        <v>792</v>
      </c>
      <c r="L99" s="51">
        <v>24</v>
      </c>
      <c r="M99" s="51">
        <v>768</v>
      </c>
      <c r="N99" s="51">
        <f t="shared" si="11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3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87</v>
      </c>
      <c r="B100" s="264" t="s">
        <v>214</v>
      </c>
      <c r="C100" s="50" t="s">
        <v>215</v>
      </c>
      <c r="D100" s="51">
        <f t="shared" si="9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10"/>
        <v>2159</v>
      </c>
      <c r="L100" s="51">
        <v>10</v>
      </c>
      <c r="M100" s="51">
        <v>2149</v>
      </c>
      <c r="N100" s="51">
        <f t="shared" si="11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3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9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10"/>
        <v>433</v>
      </c>
      <c r="L101" s="51">
        <v>0</v>
      </c>
      <c r="M101" s="51">
        <v>433</v>
      </c>
      <c r="N101" s="51">
        <f t="shared" si="11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3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9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10"/>
        <v>865</v>
      </c>
      <c r="L102" s="51">
        <v>0</v>
      </c>
      <c r="M102" s="51">
        <v>865</v>
      </c>
      <c r="N102" s="51">
        <f t="shared" si="11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3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9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10"/>
        <v>1173</v>
      </c>
      <c r="L103" s="51">
        <v>3</v>
      </c>
      <c r="M103" s="51">
        <v>1170</v>
      </c>
      <c r="N103" s="51">
        <f t="shared" si="11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3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91</v>
      </c>
      <c r="B104" s="264" t="s">
        <v>222</v>
      </c>
      <c r="C104" s="50" t="s">
        <v>223</v>
      </c>
      <c r="D104" s="51">
        <f t="shared" si="9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10"/>
        <v>370</v>
      </c>
      <c r="L104" s="51">
        <v>0</v>
      </c>
      <c r="M104" s="51">
        <v>370</v>
      </c>
      <c r="N104" s="51">
        <f t="shared" si="11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3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9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10"/>
        <v>1836</v>
      </c>
      <c r="L105" s="51">
        <v>37</v>
      </c>
      <c r="M105" s="51">
        <v>1799</v>
      </c>
      <c r="N105" s="51">
        <f t="shared" si="11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3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9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10"/>
        <v>577</v>
      </c>
      <c r="L106" s="51">
        <v>0</v>
      </c>
      <c r="M106" s="51">
        <v>577</v>
      </c>
      <c r="N106" s="51">
        <f t="shared" si="11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3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9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10"/>
        <v>1048</v>
      </c>
      <c r="L107" s="51">
        <v>50</v>
      </c>
      <c r="M107" s="51">
        <v>998</v>
      </c>
      <c r="N107" s="51">
        <f t="shared" si="11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3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95</v>
      </c>
      <c r="B108" s="264" t="s">
        <v>228</v>
      </c>
      <c r="C108" s="50" t="s">
        <v>229</v>
      </c>
      <c r="D108" s="51">
        <f t="shared" si="9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10"/>
        <v>716</v>
      </c>
      <c r="L108" s="51">
        <v>1</v>
      </c>
      <c r="M108" s="51">
        <v>715</v>
      </c>
      <c r="N108" s="51">
        <f t="shared" si="11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3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9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10"/>
        <v>2704</v>
      </c>
      <c r="L109" s="51">
        <v>0</v>
      </c>
      <c r="M109" s="51">
        <v>2704</v>
      </c>
      <c r="N109" s="51">
        <f t="shared" si="11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3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9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10"/>
        <v>0</v>
      </c>
      <c r="L110" s="51">
        <v>0</v>
      </c>
      <c r="M110" s="51">
        <v>0</v>
      </c>
      <c r="N110" s="51">
        <f t="shared" si="11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3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9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10"/>
        <v>0</v>
      </c>
      <c r="L111" s="51">
        <v>0</v>
      </c>
      <c r="M111" s="51">
        <v>0</v>
      </c>
      <c r="N111" s="51">
        <f t="shared" si="11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3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264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10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3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264" t="s">
        <v>238</v>
      </c>
      <c r="C113" s="50" t="s">
        <v>239</v>
      </c>
      <c r="D113" s="51">
        <f t="shared" si="9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10"/>
        <v>0</v>
      </c>
      <c r="L113" s="51">
        <v>0</v>
      </c>
      <c r="M113" s="51">
        <v>0</v>
      </c>
      <c r="N113" s="51">
        <f t="shared" si="11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3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264" t="s">
        <v>240</v>
      </c>
      <c r="C114" s="50" t="s">
        <v>241</v>
      </c>
      <c r="D114" s="51">
        <f t="shared" si="9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10"/>
        <v>0</v>
      </c>
      <c r="L114" s="51">
        <v>0</v>
      </c>
      <c r="M114" s="51">
        <v>0</v>
      </c>
      <c r="N114" s="51">
        <f t="shared" si="11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3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264" t="s">
        <v>242</v>
      </c>
      <c r="C115" s="50" t="s">
        <v>243</v>
      </c>
      <c r="D115" s="51">
        <f t="shared" si="9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10"/>
        <v>0</v>
      </c>
      <c r="L115" s="51">
        <v>0</v>
      </c>
      <c r="M115" s="51">
        <v>0</v>
      </c>
      <c r="N115" s="51">
        <f t="shared" si="11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3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264" t="s">
        <v>244</v>
      </c>
      <c r="C116" s="50" t="s">
        <v>245</v>
      </c>
      <c r="D116" s="51">
        <f t="shared" si="9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10"/>
        <v>0</v>
      </c>
      <c r="L116" s="51">
        <v>0</v>
      </c>
      <c r="M116" s="51">
        <v>0</v>
      </c>
      <c r="N116" s="51">
        <f t="shared" si="11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3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59" t="s">
        <v>246</v>
      </c>
      <c r="C117" s="56" t="s">
        <v>247</v>
      </c>
      <c r="D117" s="51">
        <f t="shared" si="9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10"/>
        <v>0</v>
      </c>
      <c r="L117" s="51">
        <v>0</v>
      </c>
      <c r="M117" s="51">
        <v>0</v>
      </c>
      <c r="N117" s="51">
        <f t="shared" si="11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3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9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10"/>
        <v>0</v>
      </c>
      <c r="L118" s="51">
        <v>0</v>
      </c>
      <c r="M118" s="51">
        <v>0</v>
      </c>
      <c r="N118" s="51">
        <f t="shared" si="11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3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264" t="s">
        <v>250</v>
      </c>
      <c r="C119" s="50" t="s">
        <v>251</v>
      </c>
      <c r="D119" s="51">
        <f t="shared" si="9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10"/>
        <v>0</v>
      </c>
      <c r="L119" s="51">
        <v>0</v>
      </c>
      <c r="M119" s="51">
        <v>0</v>
      </c>
      <c r="N119" s="51">
        <f t="shared" si="11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3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0" t="s">
        <v>253</v>
      </c>
      <c r="D120" s="51">
        <f t="shared" si="9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10"/>
        <v>0</v>
      </c>
      <c r="L120" s="51">
        <v>0</v>
      </c>
      <c r="M120" s="51">
        <v>0</v>
      </c>
      <c r="N120" s="51">
        <f t="shared" si="11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3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264" t="s">
        <v>254</v>
      </c>
      <c r="C121" s="50" t="s">
        <v>255</v>
      </c>
      <c r="D121" s="51">
        <f t="shared" si="9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10"/>
        <v>0</v>
      </c>
      <c r="L121" s="51">
        <v>0</v>
      </c>
      <c r="M121" s="51">
        <v>0</v>
      </c>
      <c r="N121" s="51">
        <f t="shared" si="11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3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9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10"/>
        <v>0</v>
      </c>
      <c r="L122" s="51">
        <v>0</v>
      </c>
      <c r="M122" s="51">
        <v>0</v>
      </c>
      <c r="N122" s="51">
        <f t="shared" si="11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3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9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10"/>
        <v>0</v>
      </c>
      <c r="L123" s="51">
        <v>0</v>
      </c>
      <c r="M123" s="51">
        <v>0</v>
      </c>
      <c r="N123" s="51">
        <f t="shared" si="11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3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551</v>
      </c>
      <c r="C124" s="50" t="s">
        <v>552</v>
      </c>
      <c r="D124" s="51">
        <f t="shared" si="9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10"/>
        <v>0</v>
      </c>
      <c r="L124" s="51">
        <v>0</v>
      </c>
      <c r="M124" s="51">
        <v>0</v>
      </c>
      <c r="N124" s="51">
        <f t="shared" si="11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3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9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10"/>
        <v>0</v>
      </c>
      <c r="L125" s="51">
        <v>0</v>
      </c>
      <c r="M125" s="51">
        <v>0</v>
      </c>
      <c r="N125" s="51">
        <f t="shared" si="11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3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264" t="s">
        <v>262</v>
      </c>
      <c r="C126" s="50" t="s">
        <v>263</v>
      </c>
      <c r="D126" s="51">
        <f t="shared" si="9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10"/>
        <v>0</v>
      </c>
      <c r="L126" s="51">
        <v>0</v>
      </c>
      <c r="M126" s="51">
        <v>0</v>
      </c>
      <c r="N126" s="51">
        <f t="shared" si="11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3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264" t="s">
        <v>264</v>
      </c>
      <c r="C127" s="54" t="s">
        <v>265</v>
      </c>
      <c r="D127" s="51">
        <f t="shared" si="9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10"/>
        <v>0</v>
      </c>
      <c r="L127" s="51">
        <v>0</v>
      </c>
      <c r="M127" s="51">
        <v>0</v>
      </c>
      <c r="N127" s="51">
        <f t="shared" si="11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3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264" t="s">
        <v>266</v>
      </c>
      <c r="C128" s="50" t="s">
        <v>267</v>
      </c>
      <c r="D128" s="51">
        <f t="shared" si="9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10"/>
        <v>0</v>
      </c>
      <c r="L128" s="51">
        <v>0</v>
      </c>
      <c r="M128" s="51">
        <v>0</v>
      </c>
      <c r="N128" s="51">
        <f t="shared" si="11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3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264" t="s">
        <v>268</v>
      </c>
      <c r="C129" s="50" t="s">
        <v>269</v>
      </c>
      <c r="D129" s="51">
        <f t="shared" si="9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10"/>
        <v>0</v>
      </c>
      <c r="L129" s="51">
        <v>0</v>
      </c>
      <c r="M129" s="51">
        <v>0</v>
      </c>
      <c r="N129" s="51">
        <f t="shared" si="11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3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264" t="s">
        <v>270</v>
      </c>
      <c r="C130" s="50" t="s">
        <v>271</v>
      </c>
      <c r="D130" s="51">
        <f t="shared" si="9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10"/>
        <v>0</v>
      </c>
      <c r="L130" s="51">
        <v>0</v>
      </c>
      <c r="M130" s="51">
        <v>0</v>
      </c>
      <c r="N130" s="51">
        <f t="shared" si="11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3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9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10"/>
        <v>0</v>
      </c>
      <c r="L131" s="51">
        <v>0</v>
      </c>
      <c r="M131" s="51">
        <v>0</v>
      </c>
      <c r="N131" s="51">
        <f t="shared" si="11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3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9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10"/>
        <v>0</v>
      </c>
      <c r="L132" s="51">
        <v>0</v>
      </c>
      <c r="M132" s="51">
        <v>0</v>
      </c>
      <c r="N132" s="51">
        <f t="shared" si="11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3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9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10"/>
        <v>0</v>
      </c>
      <c r="L133" s="51">
        <v>0</v>
      </c>
      <c r="M133" s="51">
        <v>0</v>
      </c>
      <c r="N133" s="51">
        <f t="shared" si="11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3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264" t="s">
        <v>278</v>
      </c>
      <c r="C134" s="50" t="s">
        <v>279</v>
      </c>
      <c r="D134" s="51">
        <f t="shared" si="9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10"/>
        <v>0</v>
      </c>
      <c r="L134" s="51">
        <v>0</v>
      </c>
      <c r="M134" s="51">
        <v>0</v>
      </c>
      <c r="N134" s="51">
        <f t="shared" si="11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3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264" t="s">
        <v>280</v>
      </c>
      <c r="C135" s="50" t="s">
        <v>281</v>
      </c>
      <c r="D135" s="51">
        <f t="shared" si="9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10"/>
        <v>0</v>
      </c>
      <c r="L135" s="51">
        <v>0</v>
      </c>
      <c r="M135" s="51">
        <v>0</v>
      </c>
      <c r="N135" s="51">
        <f t="shared" si="11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3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264" t="s">
        <v>282</v>
      </c>
      <c r="C136" s="50" t="s">
        <v>783</v>
      </c>
      <c r="D136" s="51">
        <f t="shared" si="9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10"/>
        <v>0</v>
      </c>
      <c r="L136" s="51">
        <v>0</v>
      </c>
      <c r="M136" s="51">
        <v>0</v>
      </c>
      <c r="N136" s="51">
        <f t="shared" si="11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3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283</v>
      </c>
      <c r="C137" s="50" t="s">
        <v>284</v>
      </c>
      <c r="D137" s="51">
        <f t="shared" si="9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10"/>
        <v>0</v>
      </c>
      <c r="L137" s="51">
        <v>0</v>
      </c>
      <c r="M137" s="51">
        <v>0</v>
      </c>
      <c r="N137" s="51">
        <f t="shared" si="11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3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125</v>
      </c>
      <c r="B138" s="52" t="s">
        <v>285</v>
      </c>
      <c r="C138" s="50" t="s">
        <v>737</v>
      </c>
      <c r="D138" s="51">
        <f t="shared" si="9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10"/>
        <v>988</v>
      </c>
      <c r="L138" s="51">
        <v>0</v>
      </c>
      <c r="M138" s="51">
        <v>988</v>
      </c>
      <c r="N138" s="51">
        <f t="shared" si="11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3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126</v>
      </c>
      <c r="B139" s="264" t="s">
        <v>286</v>
      </c>
      <c r="C139" s="50" t="s">
        <v>287</v>
      </c>
      <c r="D139" s="51">
        <f t="shared" ref="D139:D148" si="1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5">L139+M139</f>
        <v>0</v>
      </c>
      <c r="L139" s="51">
        <v>0</v>
      </c>
      <c r="M139" s="51">
        <v>0</v>
      </c>
      <c r="N139" s="51">
        <f t="shared" ref="N139:N148" si="1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3"/>
        <v>0</v>
      </c>
      <c r="T139" s="51">
        <v>0</v>
      </c>
      <c r="U139" s="51">
        <v>0</v>
      </c>
      <c r="V139" s="51">
        <f t="shared" ref="V139:V148" si="1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288</v>
      </c>
      <c r="C140" s="50" t="s">
        <v>289</v>
      </c>
      <c r="D140" s="51">
        <f t="shared" si="1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5"/>
        <v>0</v>
      </c>
      <c r="L140" s="51">
        <v>0</v>
      </c>
      <c r="M140" s="51">
        <v>0</v>
      </c>
      <c r="N140" s="51">
        <f t="shared" si="1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8">T140+U140+V140</f>
        <v>0</v>
      </c>
      <c r="T140" s="51">
        <v>0</v>
      </c>
      <c r="U140" s="51">
        <v>0</v>
      </c>
      <c r="V140" s="51">
        <f t="shared" si="1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264" t="s">
        <v>290</v>
      </c>
      <c r="C141" s="50" t="s">
        <v>291</v>
      </c>
      <c r="D141" s="51">
        <f t="shared" si="1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5"/>
        <v>0</v>
      </c>
      <c r="L141" s="51">
        <v>0</v>
      </c>
      <c r="M141" s="51">
        <v>0</v>
      </c>
      <c r="N141" s="51">
        <f t="shared" si="1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8"/>
        <v>0</v>
      </c>
      <c r="T141" s="51">
        <v>0</v>
      </c>
      <c r="U141" s="51">
        <v>0</v>
      </c>
      <c r="V141" s="51">
        <f t="shared" si="1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1" t="s">
        <v>292</v>
      </c>
      <c r="C142" s="62" t="s">
        <v>293</v>
      </c>
      <c r="D142" s="51">
        <f t="shared" si="1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5"/>
        <v>0</v>
      </c>
      <c r="L142" s="51">
        <v>0</v>
      </c>
      <c r="M142" s="51">
        <v>0</v>
      </c>
      <c r="N142" s="51">
        <f t="shared" si="1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8"/>
        <v>0</v>
      </c>
      <c r="T142" s="51">
        <v>0</v>
      </c>
      <c r="U142" s="51">
        <v>0</v>
      </c>
      <c r="V142" s="51">
        <f t="shared" si="1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3" t="s">
        <v>294</v>
      </c>
      <c r="C143" s="737" t="s">
        <v>295</v>
      </c>
      <c r="D143" s="51">
        <f t="shared" si="1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5"/>
        <v>0</v>
      </c>
      <c r="L143" s="51">
        <v>0</v>
      </c>
      <c r="M143" s="51">
        <v>0</v>
      </c>
      <c r="N143" s="51">
        <f t="shared" si="1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8"/>
        <v>0</v>
      </c>
      <c r="T143" s="51">
        <v>0</v>
      </c>
      <c r="U143" s="51">
        <v>0</v>
      </c>
      <c r="V143" s="51">
        <f t="shared" si="1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4" t="s">
        <v>296</v>
      </c>
      <c r="C144" s="65" t="s">
        <v>297</v>
      </c>
      <c r="D144" s="51">
        <f t="shared" si="1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5"/>
        <v>0</v>
      </c>
      <c r="L144" s="51">
        <v>0</v>
      </c>
      <c r="M144" s="51">
        <v>0</v>
      </c>
      <c r="N144" s="51">
        <f t="shared" si="1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8"/>
        <v>0</v>
      </c>
      <c r="T144" s="51">
        <v>0</v>
      </c>
      <c r="U144" s="51">
        <v>0</v>
      </c>
      <c r="V144" s="51">
        <f t="shared" si="1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298</v>
      </c>
      <c r="C145" s="66" t="s">
        <v>299</v>
      </c>
      <c r="D145" s="51">
        <f t="shared" si="1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5"/>
        <v>0</v>
      </c>
      <c r="L145" s="51">
        <v>0</v>
      </c>
      <c r="M145" s="51">
        <v>0</v>
      </c>
      <c r="N145" s="51">
        <f t="shared" si="1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8"/>
        <v>0</v>
      </c>
      <c r="T145" s="51">
        <v>0</v>
      </c>
      <c r="U145" s="51">
        <v>0</v>
      </c>
      <c r="V145" s="51">
        <f t="shared" si="1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7" t="s">
        <v>300</v>
      </c>
      <c r="C146" s="66" t="s">
        <v>301</v>
      </c>
      <c r="D146" s="51">
        <f t="shared" si="1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5"/>
        <v>0</v>
      </c>
      <c r="L146" s="51">
        <v>0</v>
      </c>
      <c r="M146" s="51">
        <v>0</v>
      </c>
      <c r="N146" s="51">
        <f t="shared" si="1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8"/>
        <v>0</v>
      </c>
      <c r="T146" s="51">
        <v>0</v>
      </c>
      <c r="U146" s="51">
        <v>0</v>
      </c>
      <c r="V146" s="51">
        <f t="shared" si="1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7" t="s">
        <v>302</v>
      </c>
      <c r="C147" s="66" t="s">
        <v>303</v>
      </c>
      <c r="D147" s="51">
        <f t="shared" si="1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5"/>
        <v>0</v>
      </c>
      <c r="L147" s="51">
        <v>0</v>
      </c>
      <c r="M147" s="51">
        <v>0</v>
      </c>
      <c r="N147" s="51">
        <f t="shared" si="1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8"/>
        <v>0</v>
      </c>
      <c r="T147" s="51">
        <v>0</v>
      </c>
      <c r="U147" s="51">
        <v>0</v>
      </c>
      <c r="V147" s="51">
        <f t="shared" si="1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7" t="s">
        <v>304</v>
      </c>
      <c r="C148" s="66" t="s">
        <v>305</v>
      </c>
      <c r="D148" s="51">
        <f t="shared" si="1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5"/>
        <v>0</v>
      </c>
      <c r="L148" s="51">
        <v>0</v>
      </c>
      <c r="M148" s="51">
        <v>0</v>
      </c>
      <c r="N148" s="51">
        <f t="shared" si="1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8"/>
        <v>0</v>
      </c>
      <c r="T148" s="51">
        <v>0</v>
      </c>
      <c r="U148" s="51">
        <v>0</v>
      </c>
      <c r="V148" s="51">
        <f t="shared" si="1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588"/>
      <c r="E153" s="588"/>
      <c r="F153" s="588"/>
      <c r="G153" s="588"/>
      <c r="H153" s="588"/>
      <c r="I153" s="588"/>
      <c r="J153" s="588"/>
      <c r="K153" s="588"/>
      <c r="L153" s="588"/>
      <c r="M153" s="588"/>
      <c r="N153" s="588"/>
      <c r="O153" s="588"/>
      <c r="P153" s="588"/>
      <c r="Q153" s="588"/>
      <c r="R153" s="588"/>
      <c r="S153" s="588"/>
      <c r="T153" s="588"/>
      <c r="U153" s="588"/>
      <c r="V153" s="588"/>
      <c r="W153" s="588"/>
      <c r="X153" s="588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workbookViewId="0">
      <pane xSplit="3" ySplit="7" topLeftCell="D50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F64" sqref="F64"/>
    </sheetView>
  </sheetViews>
  <sheetFormatPr defaultRowHeight="15" x14ac:dyDescent="0.25"/>
  <cols>
    <col min="1" max="1" width="5.140625" style="119" customWidth="1"/>
    <col min="2" max="2" width="9.140625" style="119"/>
    <col min="3" max="3" width="49.28515625" style="119" customWidth="1"/>
    <col min="4" max="4" width="9.140625" style="91"/>
    <col min="5" max="5" width="11" style="91" customWidth="1"/>
    <col min="6" max="16384" width="9.140625" style="91"/>
  </cols>
  <sheetData>
    <row r="1" spans="1:20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x14ac:dyDescent="0.25">
      <c r="A2" s="913" t="s">
        <v>440</v>
      </c>
      <c r="B2" s="913"/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3"/>
      <c r="Q2" s="913"/>
      <c r="R2" s="913"/>
      <c r="S2" s="913"/>
      <c r="T2" s="913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x14ac:dyDescent="0.25">
      <c r="A4" s="914" t="s">
        <v>0</v>
      </c>
      <c r="B4" s="914" t="s">
        <v>1</v>
      </c>
      <c r="C4" s="915" t="s">
        <v>309</v>
      </c>
      <c r="D4" s="916" t="s">
        <v>13</v>
      </c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16"/>
      <c r="S4" s="916"/>
      <c r="T4" s="916"/>
    </row>
    <row r="5" spans="1:20" ht="40.5" customHeight="1" x14ac:dyDescent="0.25">
      <c r="A5" s="914"/>
      <c r="B5" s="914"/>
      <c r="C5" s="915"/>
      <c r="D5" s="916" t="s">
        <v>13</v>
      </c>
      <c r="E5" s="917" t="s">
        <v>414</v>
      </c>
      <c r="F5" s="917"/>
      <c r="G5" s="917" t="s">
        <v>415</v>
      </c>
      <c r="H5" s="917"/>
      <c r="I5" s="917" t="s">
        <v>416</v>
      </c>
      <c r="J5" s="917"/>
      <c r="K5" s="917" t="s">
        <v>417</v>
      </c>
      <c r="L5" s="917"/>
      <c r="M5" s="917" t="s">
        <v>418</v>
      </c>
      <c r="N5" s="917"/>
      <c r="O5" s="917" t="s">
        <v>419</v>
      </c>
      <c r="P5" s="917"/>
      <c r="Q5" s="917" t="s">
        <v>420</v>
      </c>
      <c r="R5" s="917"/>
      <c r="S5" s="917" t="s">
        <v>421</v>
      </c>
      <c r="T5" s="917"/>
    </row>
    <row r="6" spans="1:20" ht="21" x14ac:dyDescent="0.25">
      <c r="A6" s="914"/>
      <c r="B6" s="914"/>
      <c r="C6" s="915"/>
      <c r="D6" s="916"/>
      <c r="E6" s="92" t="s">
        <v>422</v>
      </c>
      <c r="F6" s="92" t="s">
        <v>423</v>
      </c>
      <c r="G6" s="92" t="s">
        <v>424</v>
      </c>
      <c r="H6" s="92" t="s">
        <v>425</v>
      </c>
      <c r="I6" s="92" t="s">
        <v>424</v>
      </c>
      <c r="J6" s="92" t="s">
        <v>423</v>
      </c>
      <c r="K6" s="92" t="s">
        <v>424</v>
      </c>
      <c r="L6" s="92" t="s">
        <v>425</v>
      </c>
      <c r="M6" s="92" t="s">
        <v>424</v>
      </c>
      <c r="N6" s="92" t="s">
        <v>425</v>
      </c>
      <c r="O6" s="92" t="s">
        <v>424</v>
      </c>
      <c r="P6" s="92" t="s">
        <v>425</v>
      </c>
      <c r="Q6" s="92" t="s">
        <v>424</v>
      </c>
      <c r="R6" s="92" t="s">
        <v>425</v>
      </c>
      <c r="S6" s="92" t="s">
        <v>424</v>
      </c>
      <c r="T6" s="92" t="s">
        <v>425</v>
      </c>
    </row>
    <row r="7" spans="1:20" x14ac:dyDescent="0.25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5">
        <v>6</v>
      </c>
      <c r="G7" s="96">
        <v>7</v>
      </c>
      <c r="H7" s="95">
        <v>8</v>
      </c>
      <c r="I7" s="96">
        <v>9</v>
      </c>
      <c r="J7" s="95">
        <v>10</v>
      </c>
      <c r="K7" s="96">
        <v>11</v>
      </c>
      <c r="L7" s="95">
        <v>12</v>
      </c>
      <c r="M7" s="96">
        <v>13</v>
      </c>
      <c r="N7" s="95">
        <v>14</v>
      </c>
      <c r="O7" s="96">
        <v>15</v>
      </c>
      <c r="P7" s="95">
        <v>16</v>
      </c>
      <c r="Q7" s="96">
        <v>17</v>
      </c>
      <c r="R7" s="95">
        <v>18</v>
      </c>
      <c r="S7" s="96">
        <v>19</v>
      </c>
      <c r="T7" s="95">
        <v>20</v>
      </c>
    </row>
    <row r="8" spans="1:20" s="101" customFormat="1" x14ac:dyDescent="0.25">
      <c r="A8" s="97">
        <v>1</v>
      </c>
      <c r="B8" s="98" t="s">
        <v>280</v>
      </c>
      <c r="C8" s="99" t="s">
        <v>281</v>
      </c>
      <c r="D8" s="100">
        <f>SUM(E8:T8)</f>
        <v>3949</v>
      </c>
      <c r="E8" s="100">
        <f>E9+E10</f>
        <v>671</v>
      </c>
      <c r="F8" s="100">
        <f t="shared" ref="F8:T8" si="0">F9+F10</f>
        <v>220</v>
      </c>
      <c r="G8" s="100">
        <f t="shared" si="0"/>
        <v>426</v>
      </c>
      <c r="H8" s="100">
        <f t="shared" si="0"/>
        <v>282</v>
      </c>
      <c r="I8" s="100">
        <f t="shared" si="0"/>
        <v>1360</v>
      </c>
      <c r="J8" s="100">
        <f t="shared" si="0"/>
        <v>781</v>
      </c>
      <c r="K8" s="100">
        <f t="shared" si="0"/>
        <v>90</v>
      </c>
      <c r="L8" s="100">
        <f t="shared" si="0"/>
        <v>40</v>
      </c>
      <c r="M8" s="100">
        <f t="shared" si="0"/>
        <v>0</v>
      </c>
      <c r="N8" s="100">
        <f t="shared" si="0"/>
        <v>0</v>
      </c>
      <c r="O8" s="100">
        <f t="shared" si="0"/>
        <v>0</v>
      </c>
      <c r="P8" s="100">
        <f t="shared" si="0"/>
        <v>0</v>
      </c>
      <c r="Q8" s="100">
        <f t="shared" si="0"/>
        <v>0</v>
      </c>
      <c r="R8" s="100">
        <f t="shared" si="0"/>
        <v>0</v>
      </c>
      <c r="S8" s="100">
        <f t="shared" si="0"/>
        <v>58</v>
      </c>
      <c r="T8" s="100">
        <f t="shared" si="0"/>
        <v>21</v>
      </c>
    </row>
    <row r="9" spans="1:20" x14ac:dyDescent="0.25">
      <c r="A9" s="94"/>
      <c r="B9" s="102"/>
      <c r="C9" s="103" t="s">
        <v>426</v>
      </c>
      <c r="D9" s="104">
        <f t="shared" ref="D9:D10" si="1">SUM(E9:T9)</f>
        <v>3649</v>
      </c>
      <c r="E9" s="105">
        <v>671</v>
      </c>
      <c r="F9" s="105">
        <v>220</v>
      </c>
      <c r="G9" s="105">
        <v>426</v>
      </c>
      <c r="H9" s="105">
        <v>282</v>
      </c>
      <c r="I9" s="105">
        <v>1160</v>
      </c>
      <c r="J9" s="105">
        <v>751</v>
      </c>
      <c r="K9" s="105">
        <v>40</v>
      </c>
      <c r="L9" s="105">
        <v>20</v>
      </c>
      <c r="M9" s="105"/>
      <c r="N9" s="105"/>
      <c r="O9" s="105"/>
      <c r="P9" s="105"/>
      <c r="Q9" s="105"/>
      <c r="R9" s="105"/>
      <c r="S9" s="105">
        <v>58</v>
      </c>
      <c r="T9" s="105">
        <v>21</v>
      </c>
    </row>
    <row r="10" spans="1:20" x14ac:dyDescent="0.25">
      <c r="A10" s="94"/>
      <c r="B10" s="102"/>
      <c r="C10" s="103" t="s">
        <v>427</v>
      </c>
      <c r="D10" s="104">
        <f t="shared" si="1"/>
        <v>300</v>
      </c>
      <c r="E10" s="105"/>
      <c r="F10" s="105"/>
      <c r="G10" s="105"/>
      <c r="H10" s="105"/>
      <c r="I10" s="105">
        <v>200</v>
      </c>
      <c r="J10" s="105">
        <v>30</v>
      </c>
      <c r="K10" s="105">
        <v>50</v>
      </c>
      <c r="L10" s="105">
        <v>20</v>
      </c>
      <c r="M10" s="105"/>
      <c r="N10" s="105"/>
      <c r="O10" s="105"/>
      <c r="P10" s="105"/>
      <c r="Q10" s="105"/>
      <c r="R10" s="105"/>
      <c r="S10" s="105"/>
      <c r="T10" s="105"/>
    </row>
    <row r="11" spans="1:20" s="101" customFormat="1" x14ac:dyDescent="0.25">
      <c r="A11" s="97">
        <v>2</v>
      </c>
      <c r="B11" s="98" t="s">
        <v>62</v>
      </c>
      <c r="C11" s="99" t="s">
        <v>63</v>
      </c>
      <c r="D11" s="106">
        <f>SUM(E11:T11)</f>
        <v>507</v>
      </c>
      <c r="E11" s="100">
        <f>E12+E13</f>
        <v>160</v>
      </c>
      <c r="F11" s="100">
        <f t="shared" ref="F11:T11" si="2">F12+F13</f>
        <v>70</v>
      </c>
      <c r="G11" s="100">
        <f t="shared" si="2"/>
        <v>26</v>
      </c>
      <c r="H11" s="100">
        <f t="shared" si="2"/>
        <v>24</v>
      </c>
      <c r="I11" s="100">
        <f t="shared" si="2"/>
        <v>89</v>
      </c>
      <c r="J11" s="100">
        <f t="shared" si="2"/>
        <v>20</v>
      </c>
      <c r="K11" s="100">
        <f t="shared" si="2"/>
        <v>104</v>
      </c>
      <c r="L11" s="100">
        <f t="shared" si="2"/>
        <v>14</v>
      </c>
      <c r="M11" s="100">
        <f t="shared" si="2"/>
        <v>0</v>
      </c>
      <c r="N11" s="100">
        <f t="shared" si="2"/>
        <v>0</v>
      </c>
      <c r="O11" s="100">
        <f t="shared" si="2"/>
        <v>0</v>
      </c>
      <c r="P11" s="100">
        <f t="shared" si="2"/>
        <v>0</v>
      </c>
      <c r="Q11" s="100">
        <f t="shared" si="2"/>
        <v>0</v>
      </c>
      <c r="R11" s="100">
        <f t="shared" si="2"/>
        <v>0</v>
      </c>
      <c r="S11" s="100">
        <f t="shared" si="2"/>
        <v>0</v>
      </c>
      <c r="T11" s="100">
        <f t="shared" si="2"/>
        <v>0</v>
      </c>
    </row>
    <row r="12" spans="1:20" s="101" customFormat="1" x14ac:dyDescent="0.25">
      <c r="A12" s="97"/>
      <c r="B12" s="98"/>
      <c r="C12" s="103" t="s">
        <v>426</v>
      </c>
      <c r="D12" s="104">
        <f t="shared" ref="D12:D17" si="3">SUM(E12:T12)</f>
        <v>207</v>
      </c>
      <c r="E12" s="105">
        <v>40</v>
      </c>
      <c r="F12" s="105">
        <v>20</v>
      </c>
      <c r="G12" s="105">
        <v>21</v>
      </c>
      <c r="H12" s="105">
        <v>24</v>
      </c>
      <c r="I12" s="105">
        <v>44</v>
      </c>
      <c r="J12" s="105">
        <v>20</v>
      </c>
      <c r="K12" s="105">
        <v>24</v>
      </c>
      <c r="L12" s="105">
        <v>14</v>
      </c>
      <c r="M12" s="105"/>
      <c r="N12" s="105"/>
      <c r="O12" s="105"/>
      <c r="P12" s="105"/>
      <c r="Q12" s="105"/>
      <c r="R12" s="105"/>
      <c r="S12" s="105"/>
      <c r="T12" s="105"/>
    </row>
    <row r="13" spans="1:20" x14ac:dyDescent="0.25">
      <c r="A13" s="94"/>
      <c r="B13" s="102"/>
      <c r="C13" s="103" t="s">
        <v>427</v>
      </c>
      <c r="D13" s="104">
        <f t="shared" si="3"/>
        <v>300</v>
      </c>
      <c r="E13" s="105">
        <v>120</v>
      </c>
      <c r="F13" s="105">
        <v>50</v>
      </c>
      <c r="G13" s="105">
        <v>5</v>
      </c>
      <c r="H13" s="105"/>
      <c r="I13" s="105">
        <v>45</v>
      </c>
      <c r="J13" s="105"/>
      <c r="K13" s="105">
        <v>80</v>
      </c>
      <c r="L13" s="105"/>
      <c r="M13" s="105"/>
      <c r="N13" s="105"/>
      <c r="O13" s="105"/>
      <c r="P13" s="105"/>
      <c r="Q13" s="105"/>
      <c r="R13" s="105"/>
      <c r="S13" s="105"/>
      <c r="T13" s="105"/>
    </row>
    <row r="14" spans="1:20" x14ac:dyDescent="0.25">
      <c r="A14" s="94">
        <v>3</v>
      </c>
      <c r="B14" s="102" t="s">
        <v>148</v>
      </c>
      <c r="C14" s="107" t="s">
        <v>149</v>
      </c>
      <c r="D14" s="104">
        <f t="shared" si="3"/>
        <v>310</v>
      </c>
      <c r="E14" s="105">
        <v>250</v>
      </c>
      <c r="F14" s="105"/>
      <c r="G14" s="105"/>
      <c r="H14" s="105"/>
      <c r="I14" s="105">
        <v>10</v>
      </c>
      <c r="J14" s="105"/>
      <c r="K14" s="105">
        <v>50</v>
      </c>
      <c r="L14" s="105"/>
      <c r="M14" s="105"/>
      <c r="N14" s="105"/>
      <c r="O14" s="105"/>
      <c r="P14" s="105"/>
      <c r="Q14" s="105"/>
      <c r="R14" s="105"/>
      <c r="S14" s="105"/>
      <c r="T14" s="105"/>
    </row>
    <row r="15" spans="1:20" x14ac:dyDescent="0.25">
      <c r="A15" s="94">
        <v>4</v>
      </c>
      <c r="B15" s="102" t="s">
        <v>150</v>
      </c>
      <c r="C15" s="107" t="s">
        <v>151</v>
      </c>
      <c r="D15" s="104">
        <f t="shared" si="3"/>
        <v>323</v>
      </c>
      <c r="E15" s="105">
        <v>71</v>
      </c>
      <c r="F15" s="105"/>
      <c r="G15" s="105"/>
      <c r="H15" s="105"/>
      <c r="I15" s="105">
        <v>42</v>
      </c>
      <c r="J15" s="105"/>
      <c r="K15" s="105">
        <v>210</v>
      </c>
      <c r="L15" s="105"/>
      <c r="M15" s="105"/>
      <c r="N15" s="105"/>
      <c r="O15" s="105"/>
      <c r="P15" s="105"/>
      <c r="Q15" s="105"/>
      <c r="R15" s="105"/>
      <c r="S15" s="105"/>
      <c r="T15" s="105"/>
    </row>
    <row r="16" spans="1:20" x14ac:dyDescent="0.25">
      <c r="A16" s="94">
        <v>5</v>
      </c>
      <c r="B16" s="102" t="s">
        <v>154</v>
      </c>
      <c r="C16" s="107" t="s">
        <v>155</v>
      </c>
      <c r="D16" s="104">
        <f t="shared" si="3"/>
        <v>340</v>
      </c>
      <c r="E16" s="105">
        <v>250</v>
      </c>
      <c r="F16" s="105"/>
      <c r="G16" s="105">
        <v>10</v>
      </c>
      <c r="H16" s="105"/>
      <c r="I16" s="105">
        <v>50</v>
      </c>
      <c r="J16" s="105"/>
      <c r="K16" s="105">
        <v>30</v>
      </c>
      <c r="L16" s="105"/>
      <c r="M16" s="105"/>
      <c r="N16" s="105"/>
      <c r="O16" s="105"/>
      <c r="P16" s="105"/>
      <c r="Q16" s="105"/>
      <c r="R16" s="105"/>
      <c r="S16" s="105"/>
      <c r="T16" s="105"/>
    </row>
    <row r="17" spans="1:20" x14ac:dyDescent="0.25">
      <c r="A17" s="94">
        <v>6</v>
      </c>
      <c r="B17" s="102" t="s">
        <v>156</v>
      </c>
      <c r="C17" s="107" t="s">
        <v>157</v>
      </c>
      <c r="D17" s="104">
        <f t="shared" si="3"/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</row>
    <row r="18" spans="1:20" s="101" customFormat="1" x14ac:dyDescent="0.25">
      <c r="A18" s="97">
        <v>7</v>
      </c>
      <c r="B18" s="98" t="s">
        <v>20</v>
      </c>
      <c r="C18" s="99" t="s">
        <v>21</v>
      </c>
      <c r="D18" s="106">
        <f>SUM(E18:T18)</f>
        <v>336</v>
      </c>
      <c r="E18" s="100">
        <f>E19+E20</f>
        <v>85</v>
      </c>
      <c r="F18" s="100">
        <f t="shared" ref="F18:T18" si="4">F19+F20</f>
        <v>42</v>
      </c>
      <c r="G18" s="100">
        <f t="shared" si="4"/>
        <v>21</v>
      </c>
      <c r="H18" s="100">
        <f t="shared" si="4"/>
        <v>12</v>
      </c>
      <c r="I18" s="100">
        <f t="shared" si="4"/>
        <v>63</v>
      </c>
      <c r="J18" s="100">
        <f t="shared" si="4"/>
        <v>10</v>
      </c>
      <c r="K18" s="100">
        <f t="shared" si="4"/>
        <v>88</v>
      </c>
      <c r="L18" s="100">
        <f t="shared" si="4"/>
        <v>15</v>
      </c>
      <c r="M18" s="100">
        <f t="shared" si="4"/>
        <v>0</v>
      </c>
      <c r="N18" s="100">
        <f t="shared" si="4"/>
        <v>0</v>
      </c>
      <c r="O18" s="100">
        <f t="shared" si="4"/>
        <v>0</v>
      </c>
      <c r="P18" s="100">
        <f t="shared" si="4"/>
        <v>0</v>
      </c>
      <c r="Q18" s="100">
        <f t="shared" si="4"/>
        <v>0</v>
      </c>
      <c r="R18" s="100">
        <f t="shared" si="4"/>
        <v>0</v>
      </c>
      <c r="S18" s="100">
        <f t="shared" si="4"/>
        <v>0</v>
      </c>
      <c r="T18" s="100">
        <f t="shared" si="4"/>
        <v>0</v>
      </c>
    </row>
    <row r="19" spans="1:20" s="101" customFormat="1" x14ac:dyDescent="0.25">
      <c r="A19" s="97"/>
      <c r="B19" s="98"/>
      <c r="C19" s="108" t="s">
        <v>426</v>
      </c>
      <c r="D19" s="104">
        <f t="shared" ref="D19:D20" si="5">SUM(E19:T19)</f>
        <v>136</v>
      </c>
      <c r="E19" s="105">
        <v>25</v>
      </c>
      <c r="F19" s="105">
        <v>12</v>
      </c>
      <c r="G19" s="105">
        <v>12</v>
      </c>
      <c r="H19" s="105">
        <v>12</v>
      </c>
      <c r="I19" s="105">
        <v>15</v>
      </c>
      <c r="J19" s="105">
        <v>10</v>
      </c>
      <c r="K19" s="105">
        <v>35</v>
      </c>
      <c r="L19" s="105">
        <v>15</v>
      </c>
      <c r="M19" s="105"/>
      <c r="N19" s="105"/>
      <c r="O19" s="105"/>
      <c r="P19" s="105"/>
      <c r="Q19" s="105"/>
      <c r="R19" s="105"/>
      <c r="S19" s="105"/>
      <c r="T19" s="105"/>
    </row>
    <row r="20" spans="1:20" s="101" customFormat="1" x14ac:dyDescent="0.25">
      <c r="A20" s="97"/>
      <c r="B20" s="98"/>
      <c r="C20" s="108" t="s">
        <v>427</v>
      </c>
      <c r="D20" s="104">
        <f t="shared" si="5"/>
        <v>200</v>
      </c>
      <c r="E20" s="105">
        <v>60</v>
      </c>
      <c r="F20" s="105">
        <v>30</v>
      </c>
      <c r="G20" s="105">
        <v>9</v>
      </c>
      <c r="H20" s="105"/>
      <c r="I20" s="105">
        <v>48</v>
      </c>
      <c r="J20" s="105"/>
      <c r="K20" s="105">
        <v>53</v>
      </c>
      <c r="L20" s="105"/>
      <c r="M20" s="105"/>
      <c r="N20" s="105"/>
      <c r="O20" s="105"/>
      <c r="P20" s="105"/>
      <c r="Q20" s="105"/>
      <c r="R20" s="105"/>
      <c r="S20" s="105"/>
      <c r="T20" s="105"/>
    </row>
    <row r="21" spans="1:20" s="101" customFormat="1" x14ac:dyDescent="0.25">
      <c r="A21" s="97">
        <v>8</v>
      </c>
      <c r="B21" s="98" t="s">
        <v>32</v>
      </c>
      <c r="C21" s="109" t="s">
        <v>33</v>
      </c>
      <c r="D21" s="106">
        <f>SUM(E21:T21)</f>
        <v>236</v>
      </c>
      <c r="E21" s="100">
        <f>E22+E23</f>
        <v>81</v>
      </c>
      <c r="F21" s="100">
        <f t="shared" ref="F21:T21" si="6">F22+F23</f>
        <v>6</v>
      </c>
      <c r="G21" s="100">
        <f t="shared" si="6"/>
        <v>0</v>
      </c>
      <c r="H21" s="100">
        <f t="shared" si="6"/>
        <v>0</v>
      </c>
      <c r="I21" s="100">
        <f t="shared" si="6"/>
        <v>75</v>
      </c>
      <c r="J21" s="100">
        <f t="shared" si="6"/>
        <v>24</v>
      </c>
      <c r="K21" s="100">
        <f t="shared" si="6"/>
        <v>50</v>
      </c>
      <c r="L21" s="100">
        <f t="shared" si="6"/>
        <v>0</v>
      </c>
      <c r="M21" s="100">
        <f t="shared" si="6"/>
        <v>0</v>
      </c>
      <c r="N21" s="100">
        <f t="shared" si="6"/>
        <v>0</v>
      </c>
      <c r="O21" s="100">
        <f t="shared" si="6"/>
        <v>0</v>
      </c>
      <c r="P21" s="100">
        <f t="shared" si="6"/>
        <v>0</v>
      </c>
      <c r="Q21" s="100">
        <f t="shared" si="6"/>
        <v>0</v>
      </c>
      <c r="R21" s="100">
        <f t="shared" si="6"/>
        <v>0</v>
      </c>
      <c r="S21" s="100">
        <f t="shared" si="6"/>
        <v>0</v>
      </c>
      <c r="T21" s="100">
        <f t="shared" si="6"/>
        <v>0</v>
      </c>
    </row>
    <row r="22" spans="1:20" x14ac:dyDescent="0.25">
      <c r="A22" s="94"/>
      <c r="B22" s="102"/>
      <c r="C22" s="108" t="s">
        <v>426</v>
      </c>
      <c r="D22" s="104">
        <f t="shared" ref="D22:D53" si="7">SUM(E22:T22)</f>
        <v>126</v>
      </c>
      <c r="E22" s="105">
        <v>14</v>
      </c>
      <c r="F22" s="105">
        <v>3</v>
      </c>
      <c r="G22" s="105"/>
      <c r="H22" s="105"/>
      <c r="I22" s="105">
        <v>35</v>
      </c>
      <c r="J22" s="105">
        <v>24</v>
      </c>
      <c r="K22" s="105">
        <v>50</v>
      </c>
      <c r="L22" s="105"/>
      <c r="M22" s="105"/>
      <c r="N22" s="105"/>
      <c r="O22" s="105"/>
      <c r="P22" s="105"/>
      <c r="Q22" s="105"/>
      <c r="R22" s="105"/>
      <c r="S22" s="105"/>
      <c r="T22" s="105"/>
    </row>
    <row r="23" spans="1:20" x14ac:dyDescent="0.25">
      <c r="A23" s="94"/>
      <c r="B23" s="102"/>
      <c r="C23" s="108" t="s">
        <v>427</v>
      </c>
      <c r="D23" s="104">
        <f t="shared" si="7"/>
        <v>110</v>
      </c>
      <c r="E23" s="105">
        <v>67</v>
      </c>
      <c r="F23" s="105">
        <v>3</v>
      </c>
      <c r="G23" s="105"/>
      <c r="H23" s="105"/>
      <c r="I23" s="105">
        <v>40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</row>
    <row r="24" spans="1:20" x14ac:dyDescent="0.25">
      <c r="A24" s="94">
        <v>9</v>
      </c>
      <c r="B24" s="102" t="s">
        <v>272</v>
      </c>
      <c r="C24" s="110" t="s">
        <v>273</v>
      </c>
      <c r="D24" s="104">
        <f t="shared" si="7"/>
        <v>500</v>
      </c>
      <c r="E24" s="105">
        <v>180</v>
      </c>
      <c r="F24" s="105">
        <v>49</v>
      </c>
      <c r="G24" s="105">
        <v>2</v>
      </c>
      <c r="H24" s="105">
        <v>9</v>
      </c>
      <c r="I24" s="105">
        <v>106</v>
      </c>
      <c r="J24" s="105">
        <v>40</v>
      </c>
      <c r="K24" s="105">
        <v>40</v>
      </c>
      <c r="L24" s="105">
        <v>28</v>
      </c>
      <c r="M24" s="105"/>
      <c r="N24" s="105"/>
      <c r="O24" s="105"/>
      <c r="P24" s="105"/>
      <c r="Q24" s="105">
        <v>46</v>
      </c>
      <c r="R24" s="105"/>
      <c r="S24" s="105"/>
      <c r="T24" s="105"/>
    </row>
    <row r="25" spans="1:20" x14ac:dyDescent="0.25">
      <c r="A25" s="94">
        <v>10</v>
      </c>
      <c r="B25" s="102" t="s">
        <v>192</v>
      </c>
      <c r="C25" s="110" t="s">
        <v>193</v>
      </c>
      <c r="D25" s="104">
        <f t="shared" si="7"/>
        <v>350</v>
      </c>
      <c r="E25" s="105">
        <v>284</v>
      </c>
      <c r="F25" s="105"/>
      <c r="G25" s="105"/>
      <c r="H25" s="105"/>
      <c r="I25" s="105">
        <v>36</v>
      </c>
      <c r="J25" s="105"/>
      <c r="K25" s="105">
        <v>30</v>
      </c>
      <c r="L25" s="105"/>
      <c r="M25" s="105"/>
      <c r="N25" s="105"/>
      <c r="O25" s="105"/>
      <c r="P25" s="105"/>
      <c r="Q25" s="105"/>
      <c r="R25" s="105"/>
      <c r="S25" s="105"/>
      <c r="T25" s="105"/>
    </row>
    <row r="26" spans="1:20" x14ac:dyDescent="0.25">
      <c r="A26" s="94">
        <v>11</v>
      </c>
      <c r="B26" s="102" t="s">
        <v>212</v>
      </c>
      <c r="C26" s="110" t="s">
        <v>213</v>
      </c>
      <c r="D26" s="104">
        <f t="shared" si="7"/>
        <v>52</v>
      </c>
      <c r="E26" s="105">
        <v>10</v>
      </c>
      <c r="F26" s="105">
        <v>5</v>
      </c>
      <c r="G26" s="105">
        <v>7</v>
      </c>
      <c r="H26" s="105">
        <v>3</v>
      </c>
      <c r="I26" s="105">
        <v>15</v>
      </c>
      <c r="J26" s="105">
        <v>12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</row>
    <row r="27" spans="1:20" x14ac:dyDescent="0.25">
      <c r="A27" s="94">
        <v>12</v>
      </c>
      <c r="B27" s="102" t="s">
        <v>126</v>
      </c>
      <c r="C27" s="110" t="s">
        <v>127</v>
      </c>
      <c r="D27" s="104">
        <f t="shared" si="7"/>
        <v>107</v>
      </c>
      <c r="E27" s="105">
        <v>22</v>
      </c>
      <c r="F27" s="105">
        <v>10</v>
      </c>
      <c r="G27" s="105">
        <v>15</v>
      </c>
      <c r="H27" s="105">
        <v>7</v>
      </c>
      <c r="I27" s="105">
        <v>22</v>
      </c>
      <c r="J27" s="105">
        <v>6</v>
      </c>
      <c r="K27" s="105">
        <v>20</v>
      </c>
      <c r="L27" s="105">
        <v>5</v>
      </c>
      <c r="M27" s="105"/>
      <c r="N27" s="105"/>
      <c r="O27" s="105"/>
      <c r="P27" s="105"/>
      <c r="Q27" s="105"/>
      <c r="R27" s="105"/>
      <c r="S27" s="105"/>
      <c r="T27" s="105"/>
    </row>
    <row r="28" spans="1:20" x14ac:dyDescent="0.25">
      <c r="A28" s="97">
        <v>13</v>
      </c>
      <c r="B28" s="98" t="s">
        <v>188</v>
      </c>
      <c r="C28" s="109" t="s">
        <v>428</v>
      </c>
      <c r="D28" s="106">
        <f t="shared" si="7"/>
        <v>666</v>
      </c>
      <c r="E28" s="100">
        <f>E29+E30</f>
        <v>282</v>
      </c>
      <c r="F28" s="100">
        <f t="shared" ref="F28:T28" si="8">F29+F30</f>
        <v>36</v>
      </c>
      <c r="G28" s="100">
        <f t="shared" si="8"/>
        <v>48</v>
      </c>
      <c r="H28" s="100">
        <f t="shared" si="8"/>
        <v>17</v>
      </c>
      <c r="I28" s="100">
        <f t="shared" si="8"/>
        <v>113</v>
      </c>
      <c r="J28" s="100">
        <f t="shared" si="8"/>
        <v>20</v>
      </c>
      <c r="K28" s="100">
        <f t="shared" si="8"/>
        <v>130</v>
      </c>
      <c r="L28" s="100">
        <f t="shared" si="8"/>
        <v>20</v>
      </c>
      <c r="M28" s="100">
        <f t="shared" si="8"/>
        <v>0</v>
      </c>
      <c r="N28" s="100">
        <f t="shared" si="8"/>
        <v>0</v>
      </c>
      <c r="O28" s="100">
        <f t="shared" si="8"/>
        <v>0</v>
      </c>
      <c r="P28" s="100">
        <f t="shared" si="8"/>
        <v>0</v>
      </c>
      <c r="Q28" s="100">
        <f t="shared" si="8"/>
        <v>0</v>
      </c>
      <c r="R28" s="100">
        <f t="shared" si="8"/>
        <v>0</v>
      </c>
      <c r="S28" s="100">
        <f t="shared" si="8"/>
        <v>0</v>
      </c>
      <c r="T28" s="100">
        <f t="shared" si="8"/>
        <v>0</v>
      </c>
    </row>
    <row r="29" spans="1:20" x14ac:dyDescent="0.25">
      <c r="A29" s="722"/>
      <c r="B29" s="102"/>
      <c r="C29" s="108" t="s">
        <v>426</v>
      </c>
      <c r="D29" s="104">
        <f t="shared" si="7"/>
        <v>166</v>
      </c>
      <c r="E29" s="105">
        <v>32</v>
      </c>
      <c r="F29" s="105">
        <v>16</v>
      </c>
      <c r="G29" s="105">
        <v>38</v>
      </c>
      <c r="H29" s="105">
        <v>17</v>
      </c>
      <c r="I29" s="105">
        <v>43</v>
      </c>
      <c r="J29" s="105">
        <v>20</v>
      </c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  <row r="30" spans="1:20" x14ac:dyDescent="0.25">
      <c r="A30" s="722"/>
      <c r="B30" s="102"/>
      <c r="C30" s="108" t="s">
        <v>427</v>
      </c>
      <c r="D30" s="104">
        <f t="shared" si="7"/>
        <v>500</v>
      </c>
      <c r="E30" s="105">
        <v>250</v>
      </c>
      <c r="F30" s="105">
        <v>20</v>
      </c>
      <c r="G30" s="105">
        <v>10</v>
      </c>
      <c r="H30" s="105">
        <v>0</v>
      </c>
      <c r="I30" s="105">
        <v>70</v>
      </c>
      <c r="J30" s="105">
        <v>0</v>
      </c>
      <c r="K30" s="105">
        <v>130</v>
      </c>
      <c r="L30" s="105">
        <v>20</v>
      </c>
      <c r="M30" s="105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</row>
    <row r="31" spans="1:20" x14ac:dyDescent="0.25">
      <c r="A31" s="94">
        <v>14</v>
      </c>
      <c r="B31" s="102" t="s">
        <v>98</v>
      </c>
      <c r="C31" s="110" t="s">
        <v>99</v>
      </c>
      <c r="D31" s="104">
        <f t="shared" si="7"/>
        <v>271</v>
      </c>
      <c r="E31" s="105">
        <v>54</v>
      </c>
      <c r="F31" s="105">
        <v>22</v>
      </c>
      <c r="G31" s="105">
        <v>25</v>
      </c>
      <c r="H31" s="105">
        <v>20</v>
      </c>
      <c r="I31" s="105">
        <v>50</v>
      </c>
      <c r="J31" s="105">
        <v>15</v>
      </c>
      <c r="K31" s="105">
        <v>65</v>
      </c>
      <c r="L31" s="105">
        <v>20</v>
      </c>
      <c r="M31" s="105"/>
      <c r="N31" s="105"/>
      <c r="O31" s="105"/>
      <c r="P31" s="105"/>
      <c r="Q31" s="105"/>
      <c r="R31" s="105"/>
      <c r="S31" s="105"/>
      <c r="T31" s="105"/>
    </row>
    <row r="32" spans="1:20" x14ac:dyDescent="0.25">
      <c r="A32" s="94">
        <v>15</v>
      </c>
      <c r="B32" s="102" t="s">
        <v>194</v>
      </c>
      <c r="C32" s="110" t="s">
        <v>429</v>
      </c>
      <c r="D32" s="104">
        <f t="shared" si="7"/>
        <v>109</v>
      </c>
      <c r="E32" s="105">
        <v>23</v>
      </c>
      <c r="F32" s="105">
        <v>12</v>
      </c>
      <c r="G32" s="105">
        <v>17</v>
      </c>
      <c r="H32" s="105">
        <v>12</v>
      </c>
      <c r="I32" s="105">
        <v>15</v>
      </c>
      <c r="J32" s="105">
        <v>12</v>
      </c>
      <c r="K32" s="105">
        <v>10</v>
      </c>
      <c r="L32" s="105">
        <v>8</v>
      </c>
      <c r="M32" s="105"/>
      <c r="N32" s="105"/>
      <c r="O32" s="105"/>
      <c r="P32" s="105"/>
      <c r="Q32" s="105"/>
      <c r="R32" s="105"/>
      <c r="S32" s="105"/>
      <c r="T32" s="105"/>
    </row>
    <row r="33" spans="1:20" x14ac:dyDescent="0.25">
      <c r="A33" s="94">
        <v>16</v>
      </c>
      <c r="B33" s="102" t="s">
        <v>184</v>
      </c>
      <c r="C33" s="110" t="s">
        <v>430</v>
      </c>
      <c r="D33" s="104">
        <f t="shared" si="7"/>
        <v>121</v>
      </c>
      <c r="E33" s="105">
        <v>20</v>
      </c>
      <c r="F33" s="105">
        <v>14</v>
      </c>
      <c r="G33" s="105">
        <v>24</v>
      </c>
      <c r="H33" s="105">
        <v>14</v>
      </c>
      <c r="I33" s="105">
        <v>18</v>
      </c>
      <c r="J33" s="105">
        <v>12</v>
      </c>
      <c r="K33" s="105">
        <v>11</v>
      </c>
      <c r="L33" s="105">
        <v>8</v>
      </c>
      <c r="M33" s="105"/>
      <c r="N33" s="105"/>
      <c r="O33" s="105"/>
      <c r="P33" s="105"/>
      <c r="Q33" s="105"/>
      <c r="R33" s="105"/>
      <c r="S33" s="105"/>
      <c r="T33" s="105"/>
    </row>
    <row r="34" spans="1:20" x14ac:dyDescent="0.25">
      <c r="A34" s="94">
        <v>17</v>
      </c>
      <c r="B34" s="102" t="s">
        <v>186</v>
      </c>
      <c r="C34" s="110" t="s">
        <v>431</v>
      </c>
      <c r="D34" s="104">
        <f t="shared" si="7"/>
        <v>236</v>
      </c>
      <c r="E34" s="105">
        <v>34</v>
      </c>
      <c r="F34" s="105">
        <v>13</v>
      </c>
      <c r="G34" s="105"/>
      <c r="H34" s="105"/>
      <c r="I34" s="105">
        <v>81</v>
      </c>
      <c r="J34" s="105">
        <v>36</v>
      </c>
      <c r="K34" s="105">
        <v>58</v>
      </c>
      <c r="L34" s="105">
        <v>14</v>
      </c>
      <c r="M34" s="105"/>
      <c r="N34" s="105"/>
      <c r="O34" s="105"/>
      <c r="P34" s="105"/>
      <c r="Q34" s="105"/>
      <c r="R34" s="105"/>
      <c r="S34" s="105"/>
      <c r="T34" s="105"/>
    </row>
    <row r="35" spans="1:20" x14ac:dyDescent="0.25">
      <c r="A35" s="94">
        <v>18</v>
      </c>
      <c r="B35" s="102" t="s">
        <v>190</v>
      </c>
      <c r="C35" s="110" t="s">
        <v>432</v>
      </c>
      <c r="D35" s="104">
        <f t="shared" si="7"/>
        <v>219</v>
      </c>
      <c r="E35" s="105">
        <v>32</v>
      </c>
      <c r="F35" s="105">
        <v>18</v>
      </c>
      <c r="G35" s="105"/>
      <c r="H35" s="105"/>
      <c r="I35" s="105">
        <v>41</v>
      </c>
      <c r="J35" s="105">
        <v>13</v>
      </c>
      <c r="K35" s="105">
        <v>115</v>
      </c>
      <c r="L35" s="105"/>
      <c r="M35" s="105"/>
      <c r="N35" s="105"/>
      <c r="O35" s="105"/>
      <c r="P35" s="105"/>
      <c r="Q35" s="105"/>
      <c r="R35" s="105"/>
      <c r="S35" s="105"/>
      <c r="T35" s="105"/>
    </row>
    <row r="36" spans="1:20" x14ac:dyDescent="0.25">
      <c r="A36" s="94">
        <v>19</v>
      </c>
      <c r="B36" s="102" t="s">
        <v>285</v>
      </c>
      <c r="C36" s="110" t="s">
        <v>737</v>
      </c>
      <c r="D36" s="104">
        <f t="shared" si="7"/>
        <v>189</v>
      </c>
      <c r="E36" s="105">
        <v>43</v>
      </c>
      <c r="F36" s="105">
        <v>22</v>
      </c>
      <c r="G36" s="105">
        <v>32</v>
      </c>
      <c r="H36" s="105">
        <v>20</v>
      </c>
      <c r="I36" s="105">
        <v>27</v>
      </c>
      <c r="J36" s="105">
        <v>14</v>
      </c>
      <c r="K36" s="105">
        <v>13</v>
      </c>
      <c r="L36" s="105"/>
      <c r="M36" s="105"/>
      <c r="N36" s="105"/>
      <c r="O36" s="105">
        <v>9</v>
      </c>
      <c r="P36" s="105">
        <v>9</v>
      </c>
      <c r="Q36" s="105"/>
      <c r="R36" s="105"/>
      <c r="S36" s="105"/>
      <c r="T36" s="105"/>
    </row>
    <row r="37" spans="1:20" x14ac:dyDescent="0.25">
      <c r="A37" s="94">
        <v>20</v>
      </c>
      <c r="B37" s="102" t="s">
        <v>102</v>
      </c>
      <c r="C37" s="110" t="s">
        <v>103</v>
      </c>
      <c r="D37" s="104">
        <f t="shared" si="7"/>
        <v>227</v>
      </c>
      <c r="E37" s="105">
        <v>26</v>
      </c>
      <c r="F37" s="105">
        <v>15</v>
      </c>
      <c r="G37" s="105">
        <v>9</v>
      </c>
      <c r="H37" s="105">
        <v>4</v>
      </c>
      <c r="I37" s="105">
        <v>45</v>
      </c>
      <c r="J37" s="105">
        <v>25</v>
      </c>
      <c r="K37" s="105">
        <v>73</v>
      </c>
      <c r="L37" s="105">
        <v>30</v>
      </c>
      <c r="M37" s="105"/>
      <c r="N37" s="105"/>
      <c r="O37" s="105"/>
      <c r="P37" s="105"/>
      <c r="Q37" s="105"/>
      <c r="R37" s="105"/>
      <c r="S37" s="105"/>
      <c r="T37" s="105"/>
    </row>
    <row r="38" spans="1:20" x14ac:dyDescent="0.25">
      <c r="A38" s="94">
        <v>21</v>
      </c>
      <c r="B38" s="102" t="s">
        <v>283</v>
      </c>
      <c r="C38" s="110" t="s">
        <v>433</v>
      </c>
      <c r="D38" s="104">
        <f t="shared" si="7"/>
        <v>319</v>
      </c>
      <c r="E38" s="105">
        <v>23</v>
      </c>
      <c r="F38" s="105">
        <v>45</v>
      </c>
      <c r="G38" s="105">
        <v>36</v>
      </c>
      <c r="H38" s="105">
        <v>35</v>
      </c>
      <c r="I38" s="105"/>
      <c r="J38" s="105"/>
      <c r="K38" s="105"/>
      <c r="L38" s="105"/>
      <c r="M38" s="105"/>
      <c r="N38" s="105"/>
      <c r="O38" s="105">
        <v>90</v>
      </c>
      <c r="P38" s="105">
        <v>90</v>
      </c>
      <c r="Q38" s="105"/>
      <c r="R38" s="105"/>
      <c r="S38" s="105"/>
      <c r="T38" s="105"/>
    </row>
    <row r="39" spans="1:20" x14ac:dyDescent="0.25">
      <c r="A39" s="94">
        <v>22</v>
      </c>
      <c r="B39" s="102" t="s">
        <v>162</v>
      </c>
      <c r="C39" s="110" t="s">
        <v>434</v>
      </c>
      <c r="D39" s="104">
        <f t="shared" si="7"/>
        <v>148</v>
      </c>
      <c r="E39" s="105">
        <v>30</v>
      </c>
      <c r="F39" s="105">
        <v>12</v>
      </c>
      <c r="G39" s="105">
        <v>31</v>
      </c>
      <c r="H39" s="105">
        <v>9</v>
      </c>
      <c r="I39" s="105">
        <v>50</v>
      </c>
      <c r="J39" s="105">
        <v>10</v>
      </c>
      <c r="K39" s="105">
        <v>5</v>
      </c>
      <c r="L39" s="105">
        <v>1</v>
      </c>
      <c r="M39" s="105"/>
      <c r="N39" s="105"/>
      <c r="O39" s="105"/>
      <c r="P39" s="105"/>
      <c r="Q39" s="105"/>
      <c r="R39" s="105"/>
      <c r="S39" s="105"/>
      <c r="T39" s="105"/>
    </row>
    <row r="40" spans="1:20" x14ac:dyDescent="0.25">
      <c r="A40" s="94">
        <v>23</v>
      </c>
      <c r="B40" s="102" t="s">
        <v>164</v>
      </c>
      <c r="C40" s="110" t="s">
        <v>435</v>
      </c>
      <c r="D40" s="104">
        <f t="shared" si="7"/>
        <v>167</v>
      </c>
      <c r="E40" s="105">
        <v>32</v>
      </c>
      <c r="F40" s="105">
        <v>18</v>
      </c>
      <c r="G40" s="105">
        <v>26</v>
      </c>
      <c r="H40" s="105">
        <v>26</v>
      </c>
      <c r="I40" s="105">
        <v>32</v>
      </c>
      <c r="J40" s="105">
        <v>11</v>
      </c>
      <c r="K40" s="105">
        <v>12</v>
      </c>
      <c r="L40" s="105">
        <v>10</v>
      </c>
      <c r="M40" s="105"/>
      <c r="N40" s="105"/>
      <c r="O40" s="105"/>
      <c r="P40" s="105"/>
      <c r="Q40" s="105"/>
      <c r="R40" s="105"/>
      <c r="S40" s="105"/>
      <c r="T40" s="105"/>
    </row>
    <row r="41" spans="1:20" x14ac:dyDescent="0.25">
      <c r="A41" s="94">
        <v>24</v>
      </c>
      <c r="B41" s="102" t="s">
        <v>166</v>
      </c>
      <c r="C41" s="110" t="s">
        <v>436</v>
      </c>
      <c r="D41" s="104">
        <f t="shared" si="7"/>
        <v>273</v>
      </c>
      <c r="E41" s="105">
        <v>55</v>
      </c>
      <c r="F41" s="105">
        <v>28</v>
      </c>
      <c r="G41" s="105">
        <v>44</v>
      </c>
      <c r="H41" s="105">
        <v>12</v>
      </c>
      <c r="I41" s="105">
        <v>12</v>
      </c>
      <c r="J41" s="105">
        <v>18</v>
      </c>
      <c r="K41" s="105">
        <v>70</v>
      </c>
      <c r="L41" s="105">
        <v>34</v>
      </c>
      <c r="M41" s="105"/>
      <c r="N41" s="105"/>
      <c r="O41" s="105"/>
      <c r="P41" s="105"/>
      <c r="Q41" s="105"/>
      <c r="R41" s="105"/>
      <c r="S41" s="105"/>
      <c r="T41" s="105"/>
    </row>
    <row r="42" spans="1:20" x14ac:dyDescent="0.25">
      <c r="A42" s="94">
        <v>25</v>
      </c>
      <c r="B42" s="102" t="s">
        <v>282</v>
      </c>
      <c r="C42" s="110" t="s">
        <v>783</v>
      </c>
      <c r="D42" s="104">
        <f t="shared" si="7"/>
        <v>992</v>
      </c>
      <c r="E42" s="105">
        <v>202</v>
      </c>
      <c r="F42" s="105">
        <v>86</v>
      </c>
      <c r="G42" s="105">
        <v>64</v>
      </c>
      <c r="H42" s="105">
        <v>75</v>
      </c>
      <c r="I42" s="105">
        <v>293</v>
      </c>
      <c r="J42" s="105">
        <v>272</v>
      </c>
      <c r="K42" s="105"/>
      <c r="L42" s="105"/>
      <c r="M42" s="105"/>
      <c r="N42" s="105"/>
      <c r="O42" s="105"/>
      <c r="P42" s="105"/>
      <c r="Q42" s="105"/>
      <c r="R42" s="105"/>
      <c r="S42" s="105"/>
      <c r="T42" s="105"/>
    </row>
    <row r="43" spans="1:20" x14ac:dyDescent="0.25">
      <c r="A43" s="94">
        <v>26</v>
      </c>
      <c r="B43" s="102" t="s">
        <v>268</v>
      </c>
      <c r="C43" s="110" t="s">
        <v>437</v>
      </c>
      <c r="D43" s="104">
        <f t="shared" si="7"/>
        <v>516</v>
      </c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>
        <v>258</v>
      </c>
      <c r="R43" s="105">
        <v>258</v>
      </c>
      <c r="S43" s="105"/>
      <c r="T43" s="105"/>
    </row>
    <row r="44" spans="1:20" x14ac:dyDescent="0.25">
      <c r="A44" s="94">
        <v>27</v>
      </c>
      <c r="B44" s="102" t="s">
        <v>270</v>
      </c>
      <c r="C44" s="107" t="s">
        <v>271</v>
      </c>
      <c r="D44" s="104">
        <f>SUM(E44:T44)</f>
        <v>198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>
        <v>198</v>
      </c>
      <c r="Q44" s="105"/>
      <c r="R44" s="105"/>
      <c r="S44" s="105"/>
      <c r="T44" s="105"/>
    </row>
    <row r="45" spans="1:20" x14ac:dyDescent="0.25">
      <c r="A45" s="94">
        <v>28</v>
      </c>
      <c r="B45" s="102" t="s">
        <v>208</v>
      </c>
      <c r="C45" s="107" t="s">
        <v>438</v>
      </c>
      <c r="D45" s="104">
        <f t="shared" si="7"/>
        <v>218</v>
      </c>
      <c r="E45" s="105">
        <v>71</v>
      </c>
      <c r="F45" s="105">
        <v>32</v>
      </c>
      <c r="G45" s="105">
        <v>20</v>
      </c>
      <c r="H45" s="105">
        <v>19</v>
      </c>
      <c r="I45" s="105">
        <v>41</v>
      </c>
      <c r="J45" s="105">
        <v>35</v>
      </c>
      <c r="K45" s="105"/>
      <c r="L45" s="105"/>
      <c r="M45" s="105"/>
      <c r="N45" s="105"/>
      <c r="O45" s="105"/>
      <c r="P45" s="105"/>
      <c r="Q45" s="105"/>
      <c r="R45" s="105"/>
      <c r="S45" s="105"/>
      <c r="T45" s="105"/>
    </row>
    <row r="46" spans="1:20" x14ac:dyDescent="0.25">
      <c r="A46" s="94">
        <v>29</v>
      </c>
      <c r="B46" s="102" t="s">
        <v>142</v>
      </c>
      <c r="C46" s="107" t="s">
        <v>143</v>
      </c>
      <c r="D46" s="104">
        <f t="shared" si="7"/>
        <v>166</v>
      </c>
      <c r="E46" s="105">
        <v>30</v>
      </c>
      <c r="F46" s="105">
        <v>15</v>
      </c>
      <c r="G46" s="105">
        <v>12</v>
      </c>
      <c r="H46" s="105">
        <v>12</v>
      </c>
      <c r="I46" s="105">
        <v>12</v>
      </c>
      <c r="J46" s="105">
        <v>4</v>
      </c>
      <c r="K46" s="105">
        <v>60</v>
      </c>
      <c r="L46" s="105">
        <v>21</v>
      </c>
      <c r="M46" s="105"/>
      <c r="N46" s="105"/>
      <c r="O46" s="105"/>
      <c r="P46" s="105"/>
      <c r="Q46" s="105"/>
      <c r="R46" s="105"/>
      <c r="S46" s="105"/>
      <c r="T46" s="105"/>
    </row>
    <row r="47" spans="1:20" x14ac:dyDescent="0.25">
      <c r="A47" s="94">
        <v>30</v>
      </c>
      <c r="B47" s="102" t="s">
        <v>118</v>
      </c>
      <c r="C47" s="107" t="s">
        <v>119</v>
      </c>
      <c r="D47" s="104">
        <f t="shared" si="7"/>
        <v>60</v>
      </c>
      <c r="E47" s="105">
        <v>12</v>
      </c>
      <c r="F47" s="105">
        <v>6</v>
      </c>
      <c r="G47" s="105">
        <v>9</v>
      </c>
      <c r="H47" s="105">
        <v>3</v>
      </c>
      <c r="I47" s="105">
        <v>8</v>
      </c>
      <c r="J47" s="105">
        <v>2</v>
      </c>
      <c r="K47" s="105">
        <v>10</v>
      </c>
      <c r="L47" s="105">
        <v>10</v>
      </c>
      <c r="M47" s="105"/>
      <c r="N47" s="105"/>
      <c r="O47" s="105"/>
      <c r="P47" s="105"/>
      <c r="Q47" s="105"/>
      <c r="R47" s="105"/>
      <c r="S47" s="105"/>
      <c r="T47" s="105"/>
    </row>
    <row r="48" spans="1:20" x14ac:dyDescent="0.25">
      <c r="A48" s="94">
        <v>31</v>
      </c>
      <c r="B48" s="102" t="s">
        <v>16</v>
      </c>
      <c r="C48" s="107" t="s">
        <v>17</v>
      </c>
      <c r="D48" s="104">
        <f t="shared" si="7"/>
        <v>307</v>
      </c>
      <c r="E48" s="105">
        <v>40</v>
      </c>
      <c r="F48" s="105">
        <v>60</v>
      </c>
      <c r="G48" s="105">
        <v>27</v>
      </c>
      <c r="H48" s="105">
        <v>12</v>
      </c>
      <c r="I48" s="105">
        <v>50</v>
      </c>
      <c r="J48" s="105">
        <v>40</v>
      </c>
      <c r="K48" s="105">
        <v>66</v>
      </c>
      <c r="L48" s="105">
        <v>12</v>
      </c>
      <c r="M48" s="105"/>
      <c r="N48" s="105"/>
      <c r="O48" s="105"/>
      <c r="P48" s="105"/>
      <c r="Q48" s="105"/>
      <c r="R48" s="105"/>
      <c r="S48" s="105"/>
      <c r="T48" s="105"/>
    </row>
    <row r="49" spans="1:20" x14ac:dyDescent="0.25">
      <c r="A49" s="94">
        <v>32</v>
      </c>
      <c r="B49" s="111" t="s">
        <v>106</v>
      </c>
      <c r="C49" s="112" t="s">
        <v>107</v>
      </c>
      <c r="D49" s="104">
        <f t="shared" si="7"/>
        <v>162</v>
      </c>
      <c r="E49" s="105">
        <v>25</v>
      </c>
      <c r="F49" s="105">
        <v>13</v>
      </c>
      <c r="G49" s="105">
        <v>20</v>
      </c>
      <c r="H49" s="105">
        <v>11</v>
      </c>
      <c r="I49" s="105">
        <v>21</v>
      </c>
      <c r="J49" s="105">
        <v>12</v>
      </c>
      <c r="K49" s="105">
        <v>35</v>
      </c>
      <c r="L49" s="105">
        <v>25</v>
      </c>
      <c r="M49" s="105"/>
      <c r="N49" s="105"/>
      <c r="O49" s="105"/>
      <c r="P49" s="105"/>
      <c r="Q49" s="105"/>
      <c r="R49" s="105"/>
      <c r="S49" s="105"/>
      <c r="T49" s="105"/>
    </row>
    <row r="50" spans="1:20" x14ac:dyDescent="0.25">
      <c r="A50" s="94">
        <v>33</v>
      </c>
      <c r="B50" s="111" t="s">
        <v>86</v>
      </c>
      <c r="C50" s="112" t="s">
        <v>87</v>
      </c>
      <c r="D50" s="104">
        <f t="shared" si="7"/>
        <v>101</v>
      </c>
      <c r="E50" s="105">
        <v>20</v>
      </c>
      <c r="F50" s="105">
        <v>10</v>
      </c>
      <c r="G50" s="105">
        <v>9</v>
      </c>
      <c r="H50" s="105">
        <v>4</v>
      </c>
      <c r="I50" s="105">
        <v>11</v>
      </c>
      <c r="J50" s="105">
        <v>5</v>
      </c>
      <c r="K50" s="105">
        <v>33</v>
      </c>
      <c r="L50" s="105">
        <v>9</v>
      </c>
      <c r="M50" s="105"/>
      <c r="N50" s="105"/>
      <c r="O50" s="105"/>
      <c r="P50" s="105"/>
      <c r="Q50" s="105"/>
      <c r="R50" s="105"/>
      <c r="S50" s="105"/>
      <c r="T50" s="105"/>
    </row>
    <row r="51" spans="1:20" x14ac:dyDescent="0.25">
      <c r="A51" s="94">
        <v>34</v>
      </c>
      <c r="B51" s="111" t="s">
        <v>112</v>
      </c>
      <c r="C51" s="112" t="s">
        <v>113</v>
      </c>
      <c r="D51" s="104">
        <f t="shared" si="7"/>
        <v>62</v>
      </c>
      <c r="E51" s="105">
        <v>15</v>
      </c>
      <c r="F51" s="105">
        <v>6</v>
      </c>
      <c r="G51" s="105">
        <v>3</v>
      </c>
      <c r="H51" s="105">
        <v>3</v>
      </c>
      <c r="I51" s="105">
        <v>14</v>
      </c>
      <c r="J51" s="105">
        <v>8</v>
      </c>
      <c r="K51" s="105">
        <v>10</v>
      </c>
      <c r="L51" s="105">
        <v>3</v>
      </c>
      <c r="M51" s="105"/>
      <c r="N51" s="105"/>
      <c r="O51" s="105"/>
      <c r="P51" s="105"/>
      <c r="Q51" s="105"/>
      <c r="R51" s="105"/>
      <c r="S51" s="105"/>
      <c r="T51" s="105"/>
    </row>
    <row r="52" spans="1:20" x14ac:dyDescent="0.25">
      <c r="A52" s="94">
        <v>35</v>
      </c>
      <c r="B52" s="113" t="s">
        <v>124</v>
      </c>
      <c r="C52" s="112" t="s">
        <v>125</v>
      </c>
      <c r="D52" s="104">
        <f t="shared" si="7"/>
        <v>64</v>
      </c>
      <c r="E52" s="105">
        <v>10</v>
      </c>
      <c r="F52" s="105">
        <v>7</v>
      </c>
      <c r="G52" s="105">
        <v>6</v>
      </c>
      <c r="H52" s="105">
        <v>6</v>
      </c>
      <c r="I52" s="105">
        <v>7</v>
      </c>
      <c r="J52" s="105">
        <v>6</v>
      </c>
      <c r="K52" s="105">
        <v>15</v>
      </c>
      <c r="L52" s="105">
        <v>7</v>
      </c>
      <c r="M52" s="105"/>
      <c r="N52" s="105"/>
      <c r="O52" s="105"/>
      <c r="P52" s="105"/>
      <c r="Q52" s="105"/>
      <c r="R52" s="105"/>
      <c r="S52" s="105"/>
      <c r="T52" s="105"/>
    </row>
    <row r="53" spans="1:20" x14ac:dyDescent="0.25">
      <c r="A53" s="94">
        <v>36</v>
      </c>
      <c r="B53" s="113" t="s">
        <v>24</v>
      </c>
      <c r="C53" s="112" t="s">
        <v>25</v>
      </c>
      <c r="D53" s="104">
        <f t="shared" si="7"/>
        <v>30</v>
      </c>
      <c r="E53" s="105">
        <v>3</v>
      </c>
      <c r="F53" s="105">
        <v>3</v>
      </c>
      <c r="G53" s="105">
        <v>3</v>
      </c>
      <c r="H53" s="105">
        <v>3</v>
      </c>
      <c r="I53" s="105">
        <v>9</v>
      </c>
      <c r="J53" s="105">
        <v>9</v>
      </c>
      <c r="K53" s="105"/>
      <c r="L53" s="105"/>
      <c r="M53" s="105"/>
      <c r="N53" s="105"/>
      <c r="O53" s="105"/>
      <c r="P53" s="105"/>
      <c r="Q53" s="105"/>
      <c r="R53" s="105"/>
      <c r="S53" s="105"/>
      <c r="T53" s="105"/>
    </row>
    <row r="54" spans="1:20" x14ac:dyDescent="0.25">
      <c r="A54" s="701">
        <v>37</v>
      </c>
      <c r="B54" s="702" t="s">
        <v>128</v>
      </c>
      <c r="C54" s="112" t="s">
        <v>129</v>
      </c>
      <c r="D54" s="105">
        <f t="shared" ref="D54" si="9">SUM(E54:T54)</f>
        <v>100</v>
      </c>
      <c r="E54" s="105">
        <v>22</v>
      </c>
      <c r="F54" s="105">
        <v>10</v>
      </c>
      <c r="G54" s="105">
        <v>15</v>
      </c>
      <c r="H54" s="105">
        <v>7</v>
      </c>
      <c r="I54" s="105">
        <v>22</v>
      </c>
      <c r="J54" s="105">
        <v>6</v>
      </c>
      <c r="K54" s="105">
        <v>13</v>
      </c>
      <c r="L54" s="105">
        <v>5</v>
      </c>
      <c r="M54" s="105"/>
      <c r="N54" s="105"/>
      <c r="O54" s="105"/>
      <c r="P54" s="105"/>
      <c r="Q54" s="105"/>
      <c r="R54" s="105"/>
      <c r="S54" s="105"/>
      <c r="T54" s="105"/>
    </row>
    <row r="55" spans="1:20" s="101" customFormat="1" x14ac:dyDescent="0.25">
      <c r="A55" s="97"/>
      <c r="B55" s="99"/>
      <c r="C55" s="99" t="s">
        <v>439</v>
      </c>
      <c r="D55" s="100">
        <f>SUM(D8:D54)-D8-D11-D18-D21-D28</f>
        <v>12931</v>
      </c>
      <c r="E55" s="100">
        <f t="shared" ref="E55:T55" si="10">SUM(E8:E54)-E8-E11-E18-E21-E28</f>
        <v>3168</v>
      </c>
      <c r="F55" s="100">
        <f t="shared" si="10"/>
        <v>905</v>
      </c>
      <c r="G55" s="100">
        <f t="shared" si="10"/>
        <v>987</v>
      </c>
      <c r="H55" s="100">
        <f t="shared" si="10"/>
        <v>661</v>
      </c>
      <c r="I55" s="100">
        <f t="shared" si="10"/>
        <v>2840</v>
      </c>
      <c r="J55" s="100">
        <f t="shared" si="10"/>
        <v>1478</v>
      </c>
      <c r="K55" s="100">
        <f t="shared" si="10"/>
        <v>1516</v>
      </c>
      <c r="L55" s="100">
        <f t="shared" si="10"/>
        <v>339</v>
      </c>
      <c r="M55" s="100">
        <f t="shared" si="10"/>
        <v>0</v>
      </c>
      <c r="N55" s="100">
        <f t="shared" si="10"/>
        <v>0</v>
      </c>
      <c r="O55" s="100">
        <f t="shared" si="10"/>
        <v>99</v>
      </c>
      <c r="P55" s="100">
        <f t="shared" si="10"/>
        <v>297</v>
      </c>
      <c r="Q55" s="100">
        <f t="shared" si="10"/>
        <v>304</v>
      </c>
      <c r="R55" s="100">
        <f t="shared" si="10"/>
        <v>258</v>
      </c>
      <c r="S55" s="100">
        <f t="shared" si="10"/>
        <v>58</v>
      </c>
      <c r="T55" s="100">
        <f t="shared" si="10"/>
        <v>21</v>
      </c>
    </row>
    <row r="56" spans="1:20" x14ac:dyDescent="0.25">
      <c r="A56" s="114"/>
      <c r="B56" s="114"/>
      <c r="C56" s="115" t="s">
        <v>426</v>
      </c>
      <c r="D56" s="105">
        <f>D9+D12+D19+D22+D26+D27+D29+D31+D32+D33+D34+D35+D36+D37+D38+D39+D40+D41+D42+D43+D44+D45+D46+D47+D48+D49+D50+D51+D52+D53+D54</f>
        <v>9698</v>
      </c>
      <c r="E56" s="105">
        <f t="shared" ref="E56:T56" si="11">E9+E12+E19+E22+E26+E27+E29+E31+E32+E33+E34+E35+E36+E37+E38+E39+E40+E41+E42+E43+E44+E45+E46+E47+E48+E49+E50+E51+E52+E53+E54</f>
        <v>1636</v>
      </c>
      <c r="F56" s="105">
        <f t="shared" si="11"/>
        <v>753</v>
      </c>
      <c r="G56" s="105">
        <f t="shared" si="11"/>
        <v>951</v>
      </c>
      <c r="H56" s="105">
        <f t="shared" si="11"/>
        <v>652</v>
      </c>
      <c r="I56" s="105">
        <f t="shared" si="11"/>
        <v>2193</v>
      </c>
      <c r="J56" s="105">
        <f t="shared" si="11"/>
        <v>1408</v>
      </c>
      <c r="K56" s="105">
        <f t="shared" si="11"/>
        <v>843</v>
      </c>
      <c r="L56" s="105">
        <f t="shared" si="11"/>
        <v>271</v>
      </c>
      <c r="M56" s="105">
        <f t="shared" si="11"/>
        <v>0</v>
      </c>
      <c r="N56" s="105">
        <f t="shared" si="11"/>
        <v>0</v>
      </c>
      <c r="O56" s="105">
        <f t="shared" si="11"/>
        <v>99</v>
      </c>
      <c r="P56" s="105">
        <f t="shared" si="11"/>
        <v>297</v>
      </c>
      <c r="Q56" s="105">
        <f t="shared" si="11"/>
        <v>258</v>
      </c>
      <c r="R56" s="105">
        <f t="shared" si="11"/>
        <v>258</v>
      </c>
      <c r="S56" s="105">
        <f t="shared" si="11"/>
        <v>58</v>
      </c>
      <c r="T56" s="105">
        <f t="shared" si="11"/>
        <v>21</v>
      </c>
    </row>
    <row r="57" spans="1:20" s="118" customFormat="1" x14ac:dyDescent="0.25">
      <c r="A57" s="116"/>
      <c r="B57" s="116"/>
      <c r="C57" s="117" t="s">
        <v>427</v>
      </c>
      <c r="D57" s="104">
        <f>D10+D13+D14+D15+D16+D17+D20+D23+D25+D24+D30</f>
        <v>3233</v>
      </c>
      <c r="E57" s="105">
        <f>E10+E13+E14+E15+E16+E17+E20+E23+E25+E24+E30</f>
        <v>1532</v>
      </c>
      <c r="F57" s="105">
        <f t="shared" ref="F57:T57" si="12">F10+F13+F14+F15+F16+F17+F20+F23+F25+F24+F30</f>
        <v>152</v>
      </c>
      <c r="G57" s="105">
        <f t="shared" si="12"/>
        <v>36</v>
      </c>
      <c r="H57" s="105">
        <f t="shared" si="12"/>
        <v>9</v>
      </c>
      <c r="I57" s="105">
        <f t="shared" si="12"/>
        <v>647</v>
      </c>
      <c r="J57" s="105">
        <f t="shared" si="12"/>
        <v>70</v>
      </c>
      <c r="K57" s="105">
        <f t="shared" si="12"/>
        <v>673</v>
      </c>
      <c r="L57" s="105">
        <f t="shared" si="12"/>
        <v>68</v>
      </c>
      <c r="M57" s="105">
        <f t="shared" si="12"/>
        <v>0</v>
      </c>
      <c r="N57" s="105">
        <f t="shared" si="12"/>
        <v>0</v>
      </c>
      <c r="O57" s="105">
        <f t="shared" si="12"/>
        <v>0</v>
      </c>
      <c r="P57" s="105">
        <f t="shared" si="12"/>
        <v>0</v>
      </c>
      <c r="Q57" s="105">
        <f t="shared" si="12"/>
        <v>46</v>
      </c>
      <c r="R57" s="105">
        <f t="shared" si="12"/>
        <v>0</v>
      </c>
      <c r="S57" s="105">
        <f t="shared" si="12"/>
        <v>0</v>
      </c>
      <c r="T57" s="105">
        <f t="shared" si="12"/>
        <v>0</v>
      </c>
    </row>
    <row r="58" spans="1:20" s="118" customFormat="1" x14ac:dyDescent="0.25">
      <c r="A58" s="819"/>
      <c r="B58" s="819"/>
      <c r="C58" s="820"/>
      <c r="D58" s="821"/>
      <c r="E58" s="822"/>
      <c r="F58" s="822"/>
      <c r="G58" s="822"/>
      <c r="H58" s="822"/>
      <c r="I58" s="822"/>
      <c r="J58" s="822"/>
      <c r="K58" s="822"/>
      <c r="L58" s="822"/>
      <c r="M58" s="822"/>
      <c r="N58" s="822"/>
      <c r="O58" s="822"/>
      <c r="P58" s="822"/>
      <c r="Q58" s="822"/>
      <c r="R58" s="822"/>
      <c r="S58" s="822"/>
      <c r="T58" s="822"/>
    </row>
    <row r="59" spans="1:20" s="118" customFormat="1" x14ac:dyDescent="0.25">
      <c r="A59" s="819"/>
      <c r="B59" s="819"/>
      <c r="C59" s="820"/>
      <c r="D59" s="821"/>
      <c r="E59" s="822"/>
      <c r="F59" s="822"/>
      <c r="G59" s="822"/>
      <c r="H59" s="822"/>
      <c r="I59" s="822"/>
      <c r="J59" s="822"/>
      <c r="K59" s="822"/>
      <c r="L59" s="822"/>
      <c r="M59" s="822"/>
      <c r="N59" s="822"/>
      <c r="O59" s="822"/>
      <c r="P59" s="822"/>
      <c r="Q59" s="822"/>
      <c r="R59" s="822"/>
      <c r="S59" s="822"/>
      <c r="T59" s="822"/>
    </row>
  </sheetData>
  <mergeCells count="14"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41:N41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zoomScale="90" zoomScaleNormal="90" workbookViewId="0">
      <pane xSplit="3" ySplit="11" topLeftCell="D132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E139" sqref="E139"/>
    </sheetView>
  </sheetViews>
  <sheetFormatPr defaultColWidth="9.140625" defaultRowHeight="12" x14ac:dyDescent="0.2"/>
  <cols>
    <col min="1" max="1" width="5.85546875" style="121" customWidth="1"/>
    <col min="2" max="2" width="9.140625" style="121"/>
    <col min="3" max="3" width="32.5703125" style="121" customWidth="1"/>
    <col min="4" max="4" width="13.140625" style="121" customWidth="1"/>
    <col min="5" max="5" width="9.85546875" style="121" customWidth="1"/>
    <col min="6" max="6" width="15.42578125" style="121" customWidth="1"/>
    <col min="7" max="7" width="9.5703125" style="121" customWidth="1"/>
    <col min="8" max="8" width="12.42578125" style="121" customWidth="1"/>
    <col min="9" max="9" width="10.7109375" style="121" customWidth="1"/>
    <col min="10" max="10" width="12.85546875" style="121" customWidth="1"/>
    <col min="11" max="11" width="9.42578125" style="121" customWidth="1"/>
    <col min="12" max="12" width="10.140625" style="121" customWidth="1"/>
    <col min="13" max="13" width="7.5703125" style="121" customWidth="1"/>
    <col min="14" max="14" width="15.5703125" style="121" customWidth="1"/>
    <col min="15" max="15" width="16.85546875" style="121" customWidth="1"/>
    <col min="16" max="16" width="9" style="121" customWidth="1"/>
    <col min="17" max="18" width="8.5703125" style="121" customWidth="1"/>
    <col min="19" max="19" width="10.85546875" style="121" customWidth="1"/>
    <col min="20" max="20" width="26" style="121" customWidth="1"/>
    <col min="21" max="21" width="9.5703125" style="121" customWidth="1"/>
    <col min="22" max="23" width="12" style="121" customWidth="1"/>
    <col min="24" max="24" width="3.85546875" style="121" customWidth="1"/>
    <col min="25" max="16384" width="9.140625" style="121"/>
  </cols>
  <sheetData>
    <row r="1" spans="1:23" ht="22.5" customHeight="1" x14ac:dyDescent="0.2">
      <c r="A1" s="918" t="s">
        <v>441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</row>
    <row r="2" spans="1:23" ht="20.25" customHeight="1" x14ac:dyDescent="0.2">
      <c r="A2" s="919" t="s">
        <v>0</v>
      </c>
      <c r="B2" s="920" t="s">
        <v>326</v>
      </c>
      <c r="C2" s="919" t="s">
        <v>309</v>
      </c>
      <c r="D2" s="919" t="s">
        <v>442</v>
      </c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  <c r="T2" s="919"/>
      <c r="U2" s="919"/>
      <c r="V2" s="919"/>
      <c r="W2" s="919"/>
    </row>
    <row r="3" spans="1:23" ht="12" customHeight="1" x14ac:dyDescent="0.2">
      <c r="A3" s="919"/>
      <c r="B3" s="921"/>
      <c r="C3" s="919"/>
      <c r="D3" s="923" t="s">
        <v>443</v>
      </c>
      <c r="E3" s="919" t="s">
        <v>444</v>
      </c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  <c r="T3" s="919"/>
      <c r="U3" s="919"/>
      <c r="V3" s="919"/>
      <c r="W3" s="919"/>
    </row>
    <row r="4" spans="1:23" ht="24.75" customHeight="1" x14ac:dyDescent="0.2">
      <c r="A4" s="919"/>
      <c r="B4" s="921"/>
      <c r="C4" s="919"/>
      <c r="D4" s="923"/>
      <c r="E4" s="919" t="s">
        <v>445</v>
      </c>
      <c r="F4" s="919"/>
      <c r="G4" s="919"/>
      <c r="H4" s="919"/>
      <c r="I4" s="925" t="s">
        <v>446</v>
      </c>
      <c r="J4" s="926"/>
      <c r="K4" s="926"/>
      <c r="L4" s="926"/>
      <c r="M4" s="926"/>
      <c r="N4" s="926"/>
      <c r="O4" s="926"/>
      <c r="P4" s="927" t="s">
        <v>447</v>
      </c>
      <c r="Q4" s="928"/>
      <c r="R4" s="929"/>
      <c r="S4" s="925" t="s">
        <v>448</v>
      </c>
      <c r="T4" s="926"/>
      <c r="U4" s="926"/>
      <c r="V4" s="926"/>
      <c r="W4" s="933"/>
    </row>
    <row r="5" spans="1:23" ht="27.75" customHeight="1" x14ac:dyDescent="0.2">
      <c r="A5" s="919"/>
      <c r="B5" s="921"/>
      <c r="C5" s="919"/>
      <c r="D5" s="923"/>
      <c r="E5" s="919" t="s">
        <v>44</v>
      </c>
      <c r="F5" s="919" t="s">
        <v>449</v>
      </c>
      <c r="G5" s="919"/>
      <c r="H5" s="919"/>
      <c r="I5" s="934" t="s">
        <v>44</v>
      </c>
      <c r="J5" s="919" t="s">
        <v>463</v>
      </c>
      <c r="K5" s="934" t="s">
        <v>450</v>
      </c>
      <c r="L5" s="919" t="s">
        <v>451</v>
      </c>
      <c r="M5" s="919" t="s">
        <v>452</v>
      </c>
      <c r="N5" s="919"/>
      <c r="O5" s="919"/>
      <c r="P5" s="930"/>
      <c r="Q5" s="931"/>
      <c r="R5" s="932"/>
      <c r="S5" s="924" t="s">
        <v>44</v>
      </c>
      <c r="T5" s="935" t="s">
        <v>449</v>
      </c>
      <c r="U5" s="936"/>
      <c r="V5" s="936"/>
      <c r="W5" s="937"/>
    </row>
    <row r="6" spans="1:23" ht="13.5" customHeight="1" x14ac:dyDescent="0.2">
      <c r="A6" s="919"/>
      <c r="B6" s="921"/>
      <c r="C6" s="919"/>
      <c r="D6" s="923"/>
      <c r="E6" s="919"/>
      <c r="F6" s="939" t="s">
        <v>453</v>
      </c>
      <c r="G6" s="939" t="s">
        <v>450</v>
      </c>
      <c r="H6" s="919" t="s">
        <v>454</v>
      </c>
      <c r="I6" s="923"/>
      <c r="J6" s="919"/>
      <c r="K6" s="923"/>
      <c r="L6" s="919"/>
      <c r="M6" s="934" t="s">
        <v>46</v>
      </c>
      <c r="N6" s="925" t="s">
        <v>449</v>
      </c>
      <c r="O6" s="933"/>
      <c r="P6" s="927" t="s">
        <v>46</v>
      </c>
      <c r="Q6" s="925" t="s">
        <v>449</v>
      </c>
      <c r="R6" s="933"/>
      <c r="S6" s="924"/>
      <c r="T6" s="941" t="s">
        <v>455</v>
      </c>
      <c r="U6" s="942" t="s">
        <v>456</v>
      </c>
      <c r="V6" s="942" t="s">
        <v>457</v>
      </c>
      <c r="W6" s="941" t="s">
        <v>458</v>
      </c>
    </row>
    <row r="7" spans="1:23" ht="138" customHeight="1" x14ac:dyDescent="0.2">
      <c r="A7" s="919"/>
      <c r="B7" s="922"/>
      <c r="C7" s="919"/>
      <c r="D7" s="924"/>
      <c r="E7" s="919"/>
      <c r="F7" s="940"/>
      <c r="G7" s="940"/>
      <c r="H7" s="919"/>
      <c r="I7" s="924"/>
      <c r="J7" s="919"/>
      <c r="K7" s="924"/>
      <c r="L7" s="919"/>
      <c r="M7" s="924"/>
      <c r="N7" s="832" t="s">
        <v>459</v>
      </c>
      <c r="O7" s="832" t="s">
        <v>460</v>
      </c>
      <c r="P7" s="930"/>
      <c r="Q7" s="147" t="s">
        <v>329</v>
      </c>
      <c r="R7" s="147" t="s">
        <v>330</v>
      </c>
      <c r="S7" s="919"/>
      <c r="T7" s="941"/>
      <c r="U7" s="942"/>
      <c r="V7" s="942"/>
      <c r="W7" s="941"/>
    </row>
    <row r="8" spans="1:23" s="125" customFormat="1" ht="11.25" x14ac:dyDescent="0.2">
      <c r="A8" s="122">
        <v>1</v>
      </c>
      <c r="B8" s="122">
        <v>2</v>
      </c>
      <c r="C8" s="122">
        <v>3</v>
      </c>
      <c r="D8" s="123" t="s">
        <v>782</v>
      </c>
      <c r="E8" s="123">
        <v>5</v>
      </c>
      <c r="F8" s="123">
        <v>6</v>
      </c>
      <c r="G8" s="123">
        <v>7</v>
      </c>
      <c r="H8" s="123">
        <v>8</v>
      </c>
      <c r="I8" s="123">
        <v>9</v>
      </c>
      <c r="J8" s="123">
        <v>10</v>
      </c>
      <c r="K8" s="123"/>
      <c r="L8" s="123">
        <v>10</v>
      </c>
      <c r="M8" s="123">
        <v>11</v>
      </c>
      <c r="N8" s="123">
        <v>12</v>
      </c>
      <c r="O8" s="123">
        <v>13</v>
      </c>
      <c r="P8" s="123">
        <v>14</v>
      </c>
      <c r="Q8" s="123">
        <v>15</v>
      </c>
      <c r="R8" s="123">
        <v>16</v>
      </c>
      <c r="S8" s="122">
        <v>17</v>
      </c>
      <c r="T8" s="124">
        <v>18</v>
      </c>
      <c r="U8" s="124">
        <v>19</v>
      </c>
      <c r="V8" s="124">
        <v>20</v>
      </c>
      <c r="W8" s="124">
        <v>21</v>
      </c>
    </row>
    <row r="9" spans="1:23" s="125" customFormat="1" ht="14.25" customHeight="1" x14ac:dyDescent="0.2">
      <c r="A9" s="938" t="s">
        <v>44</v>
      </c>
      <c r="B9" s="938"/>
      <c r="C9" s="938"/>
      <c r="D9" s="148">
        <f>D10+D11</f>
        <v>13288243</v>
      </c>
      <c r="E9" s="148">
        <f t="shared" ref="E9:E74" si="0">F9+H9</f>
        <v>998012</v>
      </c>
      <c r="F9" s="148">
        <f t="shared" ref="F9:R9" si="1">F10+F11</f>
        <v>177932</v>
      </c>
      <c r="G9" s="148">
        <f t="shared" si="1"/>
        <v>42257</v>
      </c>
      <c r="H9" s="148">
        <f t="shared" si="1"/>
        <v>820080</v>
      </c>
      <c r="I9" s="148">
        <f>I10+I11</f>
        <v>1687653</v>
      </c>
      <c r="J9" s="148">
        <f t="shared" si="1"/>
        <v>1678910</v>
      </c>
      <c r="K9" s="148">
        <f t="shared" si="1"/>
        <v>119545</v>
      </c>
      <c r="L9" s="148">
        <f t="shared" si="1"/>
        <v>194709</v>
      </c>
      <c r="M9" s="148">
        <f t="shared" si="1"/>
        <v>8743</v>
      </c>
      <c r="N9" s="148">
        <f t="shared" si="1"/>
        <v>3344</v>
      </c>
      <c r="O9" s="148">
        <f t="shared" si="1"/>
        <v>5399</v>
      </c>
      <c r="P9" s="148">
        <f t="shared" si="1"/>
        <v>558944</v>
      </c>
      <c r="Q9" s="148">
        <f t="shared" si="1"/>
        <v>286118</v>
      </c>
      <c r="R9" s="148">
        <f t="shared" si="1"/>
        <v>272826</v>
      </c>
      <c r="S9" s="149">
        <f>SUM(T9:W9)</f>
        <v>10043634</v>
      </c>
      <c r="T9" s="150">
        <f>T10+T11</f>
        <v>1717790</v>
      </c>
      <c r="U9" s="150">
        <f>U10+U11</f>
        <v>5184540</v>
      </c>
      <c r="V9" s="150">
        <f>V10+V11</f>
        <v>962125</v>
      </c>
      <c r="W9" s="150">
        <f>W10+W11</f>
        <v>2179179</v>
      </c>
    </row>
    <row r="10" spans="1:23" s="125" customFormat="1" ht="18" customHeight="1" x14ac:dyDescent="0.2">
      <c r="A10" s="943" t="s">
        <v>14</v>
      </c>
      <c r="B10" s="944"/>
      <c r="C10" s="945"/>
      <c r="D10" s="151">
        <f t="shared" ref="D10:D75" si="2">E10+I10+P10+S10</f>
        <v>145867</v>
      </c>
      <c r="E10" s="126">
        <f t="shared" si="0"/>
        <v>0</v>
      </c>
      <c r="F10" s="126">
        <v>0</v>
      </c>
      <c r="G10" s="126">
        <v>0</v>
      </c>
      <c r="H10" s="126">
        <v>0</v>
      </c>
      <c r="I10" s="126">
        <f>J10+M10</f>
        <v>0</v>
      </c>
      <c r="J10" s="126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  <c r="P10" s="126"/>
      <c r="Q10" s="126"/>
      <c r="R10" s="126"/>
      <c r="S10" s="720">
        <f>T10+U10</f>
        <v>145867</v>
      </c>
      <c r="T10" s="127">
        <v>0</v>
      </c>
      <c r="U10" s="127">
        <v>145867</v>
      </c>
      <c r="V10" s="127"/>
      <c r="W10" s="127"/>
    </row>
    <row r="11" spans="1:23" s="125" customFormat="1" ht="15.75" customHeight="1" x14ac:dyDescent="0.2">
      <c r="A11" s="946" t="s">
        <v>15</v>
      </c>
      <c r="B11" s="947"/>
      <c r="C11" s="948"/>
      <c r="D11" s="148">
        <f t="shared" si="2"/>
        <v>13142376</v>
      </c>
      <c r="E11" s="148">
        <f t="shared" si="0"/>
        <v>998012</v>
      </c>
      <c r="F11" s="148">
        <f t="shared" ref="F11:R11" si="3">SUM(F12:F147)-F92</f>
        <v>177932</v>
      </c>
      <c r="G11" s="148">
        <f t="shared" si="3"/>
        <v>42257</v>
      </c>
      <c r="H11" s="148">
        <f t="shared" si="3"/>
        <v>820080</v>
      </c>
      <c r="I11" s="148">
        <f t="shared" si="3"/>
        <v>1687653</v>
      </c>
      <c r="J11" s="148">
        <f t="shared" si="3"/>
        <v>1678910</v>
      </c>
      <c r="K11" s="148">
        <f t="shared" si="3"/>
        <v>119545</v>
      </c>
      <c r="L11" s="148">
        <f t="shared" si="3"/>
        <v>194709</v>
      </c>
      <c r="M11" s="148">
        <f t="shared" si="3"/>
        <v>8743</v>
      </c>
      <c r="N11" s="148">
        <f t="shared" si="3"/>
        <v>3344</v>
      </c>
      <c r="O11" s="148">
        <f t="shared" si="3"/>
        <v>5399</v>
      </c>
      <c r="P11" s="148">
        <f t="shared" si="3"/>
        <v>558944</v>
      </c>
      <c r="Q11" s="148">
        <f t="shared" si="3"/>
        <v>286118</v>
      </c>
      <c r="R11" s="148">
        <f t="shared" si="3"/>
        <v>272826</v>
      </c>
      <c r="S11" s="149">
        <f>SUM(T11:W11)</f>
        <v>9897767</v>
      </c>
      <c r="T11" s="150">
        <f>SUM(T12:T147)-T92</f>
        <v>1717790</v>
      </c>
      <c r="U11" s="150">
        <f>SUM(U12:U147)-U92</f>
        <v>5038673</v>
      </c>
      <c r="V11" s="150">
        <f>SUM(V12:V147)-V92</f>
        <v>962125</v>
      </c>
      <c r="W11" s="150">
        <f>SUM(W12:W147)-W92</f>
        <v>2179179</v>
      </c>
    </row>
    <row r="12" spans="1:23" x14ac:dyDescent="0.2">
      <c r="A12" s="128">
        <v>1</v>
      </c>
      <c r="B12" s="71" t="s">
        <v>54</v>
      </c>
      <c r="C12" s="31" t="s">
        <v>55</v>
      </c>
      <c r="D12" s="148">
        <f t="shared" si="2"/>
        <v>52500</v>
      </c>
      <c r="E12" s="148">
        <f t="shared" si="0"/>
        <v>4221</v>
      </c>
      <c r="F12" s="126">
        <v>791</v>
      </c>
      <c r="G12" s="126">
        <v>250</v>
      </c>
      <c r="H12" s="126">
        <v>3430</v>
      </c>
      <c r="I12" s="148">
        <f>J12+M12</f>
        <v>7508</v>
      </c>
      <c r="J12" s="126">
        <v>7463</v>
      </c>
      <c r="K12" s="126">
        <v>565</v>
      </c>
      <c r="L12" s="126">
        <v>867</v>
      </c>
      <c r="M12" s="126">
        <f t="shared" ref="M12:M77" si="4">N12+O12</f>
        <v>45</v>
      </c>
      <c r="N12" s="126">
        <v>0</v>
      </c>
      <c r="O12" s="126">
        <v>45</v>
      </c>
      <c r="P12" s="148">
        <f t="shared" ref="P12:P77" si="5">Q12+R12</f>
        <v>2144</v>
      </c>
      <c r="Q12" s="126">
        <v>970</v>
      </c>
      <c r="R12" s="126">
        <v>1174</v>
      </c>
      <c r="S12" s="148">
        <f t="shared" ref="S12:S75" si="6">SUM(T12:X12)</f>
        <v>38627</v>
      </c>
      <c r="T12" s="127">
        <v>15789</v>
      </c>
      <c r="U12" s="127">
        <v>17842</v>
      </c>
      <c r="V12" s="127">
        <v>534</v>
      </c>
      <c r="W12" s="127">
        <v>4462</v>
      </c>
    </row>
    <row r="13" spans="1:23" x14ac:dyDescent="0.2">
      <c r="A13" s="128">
        <v>2</v>
      </c>
      <c r="B13" s="72" t="s">
        <v>56</v>
      </c>
      <c r="C13" s="31" t="s">
        <v>57</v>
      </c>
      <c r="D13" s="148">
        <f t="shared" si="2"/>
        <v>53469</v>
      </c>
      <c r="E13" s="148">
        <f t="shared" si="0"/>
        <v>3915</v>
      </c>
      <c r="F13" s="126">
        <v>819</v>
      </c>
      <c r="G13" s="126">
        <v>160</v>
      </c>
      <c r="H13" s="126">
        <v>3096</v>
      </c>
      <c r="I13" s="148">
        <f t="shared" ref="I13:I77" si="7">J13+M13</f>
        <v>7840</v>
      </c>
      <c r="J13" s="126">
        <v>7730</v>
      </c>
      <c r="K13" s="126">
        <v>380</v>
      </c>
      <c r="L13" s="126">
        <v>896</v>
      </c>
      <c r="M13" s="126">
        <f t="shared" si="4"/>
        <v>110</v>
      </c>
      <c r="N13" s="126">
        <v>10</v>
      </c>
      <c r="O13" s="126">
        <v>100</v>
      </c>
      <c r="P13" s="148">
        <f t="shared" si="5"/>
        <v>1990</v>
      </c>
      <c r="Q13" s="126">
        <v>894</v>
      </c>
      <c r="R13" s="126">
        <v>1096</v>
      </c>
      <c r="S13" s="148">
        <f t="shared" si="6"/>
        <v>39724</v>
      </c>
      <c r="T13" s="127">
        <v>9996</v>
      </c>
      <c r="U13" s="127">
        <v>18693</v>
      </c>
      <c r="V13" s="127">
        <v>6450</v>
      </c>
      <c r="W13" s="127">
        <v>4585</v>
      </c>
    </row>
    <row r="14" spans="1:23" x14ac:dyDescent="0.2">
      <c r="A14" s="128">
        <v>3</v>
      </c>
      <c r="B14" s="834" t="s">
        <v>16</v>
      </c>
      <c r="C14" s="31" t="s">
        <v>17</v>
      </c>
      <c r="D14" s="148">
        <f t="shared" si="2"/>
        <v>174690</v>
      </c>
      <c r="E14" s="148">
        <f t="shared" si="0"/>
        <v>14809</v>
      </c>
      <c r="F14" s="126">
        <v>2485</v>
      </c>
      <c r="G14" s="126">
        <v>1441</v>
      </c>
      <c r="H14" s="126">
        <v>12324</v>
      </c>
      <c r="I14" s="148">
        <f t="shared" si="7"/>
        <v>23902</v>
      </c>
      <c r="J14" s="126">
        <v>23447</v>
      </c>
      <c r="K14" s="126">
        <v>1145</v>
      </c>
      <c r="L14" s="126">
        <v>2719</v>
      </c>
      <c r="M14" s="126">
        <f t="shared" si="4"/>
        <v>455</v>
      </c>
      <c r="N14" s="126">
        <v>345</v>
      </c>
      <c r="O14" s="126">
        <v>110</v>
      </c>
      <c r="P14" s="148">
        <f t="shared" si="5"/>
        <v>7828</v>
      </c>
      <c r="Q14" s="126">
        <v>4173</v>
      </c>
      <c r="R14" s="126">
        <v>3655</v>
      </c>
      <c r="S14" s="148">
        <f t="shared" si="6"/>
        <v>128151</v>
      </c>
      <c r="T14" s="127">
        <v>34284</v>
      </c>
      <c r="U14" s="127">
        <v>44514</v>
      </c>
      <c r="V14" s="127">
        <v>22307</v>
      </c>
      <c r="W14" s="127">
        <v>27046</v>
      </c>
    </row>
    <row r="15" spans="1:23" x14ac:dyDescent="0.2">
      <c r="A15" s="128">
        <v>4</v>
      </c>
      <c r="B15" s="71" t="s">
        <v>58</v>
      </c>
      <c r="C15" s="31" t="s">
        <v>59</v>
      </c>
      <c r="D15" s="148">
        <f t="shared" si="2"/>
        <v>54061</v>
      </c>
      <c r="E15" s="148">
        <f t="shared" si="0"/>
        <v>3739</v>
      </c>
      <c r="F15" s="126">
        <v>880</v>
      </c>
      <c r="G15" s="126">
        <v>176</v>
      </c>
      <c r="H15" s="126">
        <v>2859</v>
      </c>
      <c r="I15" s="148">
        <f t="shared" si="7"/>
        <v>8363</v>
      </c>
      <c r="J15" s="126">
        <v>8307</v>
      </c>
      <c r="K15" s="126">
        <v>589</v>
      </c>
      <c r="L15" s="126">
        <v>963</v>
      </c>
      <c r="M15" s="126">
        <f t="shared" si="4"/>
        <v>56</v>
      </c>
      <c r="N15" s="126">
        <v>16</v>
      </c>
      <c r="O15" s="126">
        <v>40</v>
      </c>
      <c r="P15" s="148">
        <f t="shared" si="5"/>
        <v>1886</v>
      </c>
      <c r="Q15" s="126">
        <v>864</v>
      </c>
      <c r="R15" s="126">
        <v>1022</v>
      </c>
      <c r="S15" s="148">
        <f t="shared" si="6"/>
        <v>40073</v>
      </c>
      <c r="T15" s="127">
        <v>10811</v>
      </c>
      <c r="U15" s="127">
        <v>12539</v>
      </c>
      <c r="V15" s="127">
        <v>6053</v>
      </c>
      <c r="W15" s="127">
        <v>10670</v>
      </c>
    </row>
    <row r="16" spans="1:23" x14ac:dyDescent="0.2">
      <c r="A16" s="128">
        <v>5</v>
      </c>
      <c r="B16" s="71" t="s">
        <v>60</v>
      </c>
      <c r="C16" s="31" t="s">
        <v>61</v>
      </c>
      <c r="D16" s="148">
        <f t="shared" si="2"/>
        <v>62855</v>
      </c>
      <c r="E16" s="148">
        <f t="shared" si="0"/>
        <v>4948</v>
      </c>
      <c r="F16" s="126">
        <v>956</v>
      </c>
      <c r="G16" s="126">
        <v>68</v>
      </c>
      <c r="H16" s="126">
        <v>3992</v>
      </c>
      <c r="I16" s="148">
        <f t="shared" si="7"/>
        <v>9091</v>
      </c>
      <c r="J16" s="126">
        <v>9021</v>
      </c>
      <c r="K16" s="126">
        <v>1003</v>
      </c>
      <c r="L16" s="126">
        <v>1046</v>
      </c>
      <c r="M16" s="126">
        <f t="shared" si="4"/>
        <v>70</v>
      </c>
      <c r="N16" s="126">
        <v>8</v>
      </c>
      <c r="O16" s="126">
        <v>62</v>
      </c>
      <c r="P16" s="148">
        <f t="shared" si="5"/>
        <v>2552</v>
      </c>
      <c r="Q16" s="126">
        <v>1181</v>
      </c>
      <c r="R16" s="126">
        <v>1371</v>
      </c>
      <c r="S16" s="148">
        <f t="shared" si="6"/>
        <v>46264</v>
      </c>
      <c r="T16" s="127">
        <v>16125</v>
      </c>
      <c r="U16" s="127">
        <v>14747</v>
      </c>
      <c r="V16" s="127">
        <v>6208</v>
      </c>
      <c r="W16" s="127">
        <v>9184</v>
      </c>
    </row>
    <row r="17" spans="1:23" x14ac:dyDescent="0.2">
      <c r="A17" s="128">
        <v>6</v>
      </c>
      <c r="B17" s="834" t="s">
        <v>18</v>
      </c>
      <c r="C17" s="31" t="s">
        <v>19</v>
      </c>
      <c r="D17" s="148">
        <f t="shared" si="2"/>
        <v>484268</v>
      </c>
      <c r="E17" s="148">
        <f t="shared" si="0"/>
        <v>43290</v>
      </c>
      <c r="F17" s="126">
        <v>6847</v>
      </c>
      <c r="G17" s="126">
        <v>2233</v>
      </c>
      <c r="H17" s="126">
        <v>36443</v>
      </c>
      <c r="I17" s="148">
        <f t="shared" si="7"/>
        <v>64783</v>
      </c>
      <c r="J17" s="126">
        <v>64602</v>
      </c>
      <c r="K17" s="126">
        <v>4836</v>
      </c>
      <c r="L17" s="126">
        <v>7492</v>
      </c>
      <c r="M17" s="126">
        <f t="shared" si="4"/>
        <v>181</v>
      </c>
      <c r="N17" s="126">
        <v>60</v>
      </c>
      <c r="O17" s="126">
        <v>121</v>
      </c>
      <c r="P17" s="148">
        <f t="shared" si="5"/>
        <v>22024</v>
      </c>
      <c r="Q17" s="126">
        <v>11524</v>
      </c>
      <c r="R17" s="126">
        <v>10500</v>
      </c>
      <c r="S17" s="148">
        <f t="shared" si="6"/>
        <v>354171</v>
      </c>
      <c r="T17" s="127">
        <v>49963</v>
      </c>
      <c r="U17" s="127">
        <v>120641</v>
      </c>
      <c r="V17" s="127">
        <v>13729</v>
      </c>
      <c r="W17" s="127">
        <v>169838</v>
      </c>
    </row>
    <row r="18" spans="1:23" x14ac:dyDescent="0.2">
      <c r="A18" s="128">
        <v>7</v>
      </c>
      <c r="B18" s="71" t="s">
        <v>62</v>
      </c>
      <c r="C18" s="31" t="s">
        <v>63</v>
      </c>
      <c r="D18" s="148">
        <f t="shared" si="2"/>
        <v>168338</v>
      </c>
      <c r="E18" s="148">
        <f t="shared" si="0"/>
        <v>13217</v>
      </c>
      <c r="F18" s="126">
        <v>2510</v>
      </c>
      <c r="G18" s="126">
        <v>457</v>
      </c>
      <c r="H18" s="126">
        <v>10707</v>
      </c>
      <c r="I18" s="148">
        <f t="shared" si="7"/>
        <v>23760</v>
      </c>
      <c r="J18" s="126">
        <v>23681</v>
      </c>
      <c r="K18" s="126">
        <v>1719</v>
      </c>
      <c r="L18" s="126">
        <v>2746</v>
      </c>
      <c r="M18" s="126">
        <f t="shared" si="4"/>
        <v>79</v>
      </c>
      <c r="N18" s="126">
        <v>6</v>
      </c>
      <c r="O18" s="126">
        <v>73</v>
      </c>
      <c r="P18" s="148">
        <f t="shared" si="5"/>
        <v>6695</v>
      </c>
      <c r="Q18" s="126">
        <v>3204</v>
      </c>
      <c r="R18" s="126">
        <v>3491</v>
      </c>
      <c r="S18" s="148">
        <f t="shared" si="6"/>
        <v>124666</v>
      </c>
      <c r="T18" s="127">
        <v>29983</v>
      </c>
      <c r="U18" s="127">
        <v>55682</v>
      </c>
      <c r="V18" s="127">
        <v>16111</v>
      </c>
      <c r="W18" s="127">
        <v>22890</v>
      </c>
    </row>
    <row r="19" spans="1:23" x14ac:dyDescent="0.2">
      <c r="A19" s="128">
        <v>8</v>
      </c>
      <c r="B19" s="834" t="s">
        <v>64</v>
      </c>
      <c r="C19" s="31" t="s">
        <v>65</v>
      </c>
      <c r="D19" s="148">
        <f t="shared" si="2"/>
        <v>66131</v>
      </c>
      <c r="E19" s="148">
        <f t="shared" si="0"/>
        <v>5104</v>
      </c>
      <c r="F19" s="126">
        <v>1013</v>
      </c>
      <c r="G19" s="126">
        <v>100</v>
      </c>
      <c r="H19" s="126">
        <v>4091</v>
      </c>
      <c r="I19" s="148">
        <f t="shared" si="7"/>
        <v>9659</v>
      </c>
      <c r="J19" s="126">
        <v>9558</v>
      </c>
      <c r="K19" s="126">
        <v>1200</v>
      </c>
      <c r="L19" s="126">
        <v>1109</v>
      </c>
      <c r="M19" s="126">
        <f t="shared" si="4"/>
        <v>101</v>
      </c>
      <c r="N19" s="126">
        <v>30</v>
      </c>
      <c r="O19" s="126">
        <v>71</v>
      </c>
      <c r="P19" s="148">
        <f t="shared" si="5"/>
        <v>2758</v>
      </c>
      <c r="Q19" s="126">
        <v>1230</v>
      </c>
      <c r="R19" s="126">
        <v>1528</v>
      </c>
      <c r="S19" s="148">
        <f t="shared" si="6"/>
        <v>48610</v>
      </c>
      <c r="T19" s="127">
        <v>9877</v>
      </c>
      <c r="U19" s="127">
        <v>15025</v>
      </c>
      <c r="V19" s="127">
        <v>9937</v>
      </c>
      <c r="W19" s="127">
        <v>13771</v>
      </c>
    </row>
    <row r="20" spans="1:23" x14ac:dyDescent="0.2">
      <c r="A20" s="128">
        <v>9</v>
      </c>
      <c r="B20" s="834" t="s">
        <v>66</v>
      </c>
      <c r="C20" s="31" t="s">
        <v>67</v>
      </c>
      <c r="D20" s="148">
        <f t="shared" si="2"/>
        <v>58527</v>
      </c>
      <c r="E20" s="148">
        <f t="shared" si="0"/>
        <v>4388</v>
      </c>
      <c r="F20" s="126">
        <v>907</v>
      </c>
      <c r="G20" s="126">
        <v>147</v>
      </c>
      <c r="H20" s="126">
        <v>3481</v>
      </c>
      <c r="I20" s="148">
        <f t="shared" si="7"/>
        <v>8596</v>
      </c>
      <c r="J20" s="126">
        <v>8559</v>
      </c>
      <c r="K20" s="126">
        <v>434</v>
      </c>
      <c r="L20" s="126">
        <v>993</v>
      </c>
      <c r="M20" s="126">
        <f t="shared" si="4"/>
        <v>37</v>
      </c>
      <c r="N20" s="126">
        <v>0</v>
      </c>
      <c r="O20" s="126">
        <v>37</v>
      </c>
      <c r="P20" s="148">
        <f t="shared" si="5"/>
        <v>2303</v>
      </c>
      <c r="Q20" s="126">
        <v>1035</v>
      </c>
      <c r="R20" s="126">
        <v>1268</v>
      </c>
      <c r="S20" s="148">
        <f t="shared" si="6"/>
        <v>43240</v>
      </c>
      <c r="T20" s="127">
        <v>12474</v>
      </c>
      <c r="U20" s="127">
        <v>20139</v>
      </c>
      <c r="V20" s="127">
        <v>6150</v>
      </c>
      <c r="W20" s="127">
        <v>4477</v>
      </c>
    </row>
    <row r="21" spans="1:23" x14ac:dyDescent="0.2">
      <c r="A21" s="128">
        <v>10</v>
      </c>
      <c r="B21" s="834" t="s">
        <v>68</v>
      </c>
      <c r="C21" s="31" t="s">
        <v>69</v>
      </c>
      <c r="D21" s="148">
        <f t="shared" si="2"/>
        <v>79775</v>
      </c>
      <c r="E21" s="148">
        <f t="shared" si="0"/>
        <v>5536</v>
      </c>
      <c r="F21" s="126">
        <v>1268</v>
      </c>
      <c r="G21" s="126">
        <v>135</v>
      </c>
      <c r="H21" s="126">
        <v>4268</v>
      </c>
      <c r="I21" s="148">
        <f t="shared" si="7"/>
        <v>11988</v>
      </c>
      <c r="J21" s="126">
        <v>11968</v>
      </c>
      <c r="K21" s="126">
        <v>775</v>
      </c>
      <c r="L21" s="126">
        <v>1388</v>
      </c>
      <c r="M21" s="126">
        <f t="shared" si="4"/>
        <v>20</v>
      </c>
      <c r="N21" s="126">
        <v>0</v>
      </c>
      <c r="O21" s="126">
        <v>20</v>
      </c>
      <c r="P21" s="148">
        <f t="shared" si="5"/>
        <v>3533</v>
      </c>
      <c r="Q21" s="126">
        <v>1625</v>
      </c>
      <c r="R21" s="126">
        <v>1908</v>
      </c>
      <c r="S21" s="148">
        <f t="shared" si="6"/>
        <v>58718</v>
      </c>
      <c r="T21" s="127">
        <v>18290</v>
      </c>
      <c r="U21" s="127">
        <v>18963</v>
      </c>
      <c r="V21" s="127">
        <v>13373</v>
      </c>
      <c r="W21" s="127">
        <v>8092</v>
      </c>
    </row>
    <row r="22" spans="1:23" x14ac:dyDescent="0.2">
      <c r="A22" s="128">
        <v>11</v>
      </c>
      <c r="B22" s="834" t="s">
        <v>70</v>
      </c>
      <c r="C22" s="31" t="s">
        <v>71</v>
      </c>
      <c r="D22" s="148">
        <f t="shared" si="2"/>
        <v>59583</v>
      </c>
      <c r="E22" s="148">
        <f t="shared" si="0"/>
        <v>4776</v>
      </c>
      <c r="F22" s="126">
        <v>902</v>
      </c>
      <c r="G22" s="126">
        <v>453</v>
      </c>
      <c r="H22" s="126">
        <v>3874</v>
      </c>
      <c r="I22" s="148">
        <f t="shared" si="7"/>
        <v>8558</v>
      </c>
      <c r="J22" s="126">
        <v>8514</v>
      </c>
      <c r="K22" s="126">
        <v>1283</v>
      </c>
      <c r="L22" s="126">
        <v>987</v>
      </c>
      <c r="M22" s="126">
        <f t="shared" si="4"/>
        <v>44</v>
      </c>
      <c r="N22" s="126">
        <v>0</v>
      </c>
      <c r="O22" s="126">
        <v>44</v>
      </c>
      <c r="P22" s="148">
        <f t="shared" si="5"/>
        <v>2461</v>
      </c>
      <c r="Q22" s="126">
        <v>1070</v>
      </c>
      <c r="R22" s="126">
        <v>1391</v>
      </c>
      <c r="S22" s="148">
        <f t="shared" si="6"/>
        <v>43788</v>
      </c>
      <c r="T22" s="127">
        <v>14791</v>
      </c>
      <c r="U22" s="127">
        <v>12965</v>
      </c>
      <c r="V22" s="127">
        <v>7987</v>
      </c>
      <c r="W22" s="127">
        <v>8045</v>
      </c>
    </row>
    <row r="23" spans="1:23" x14ac:dyDescent="0.2">
      <c r="A23" s="128">
        <v>12</v>
      </c>
      <c r="B23" s="834" t="s">
        <v>72</v>
      </c>
      <c r="C23" s="31" t="s">
        <v>73</v>
      </c>
      <c r="D23" s="148">
        <f t="shared" si="2"/>
        <v>124526</v>
      </c>
      <c r="E23" s="148">
        <f t="shared" si="0"/>
        <v>9758</v>
      </c>
      <c r="F23" s="126">
        <v>1869</v>
      </c>
      <c r="G23" s="126">
        <v>505</v>
      </c>
      <c r="H23" s="126">
        <v>7889</v>
      </c>
      <c r="I23" s="148">
        <f t="shared" si="7"/>
        <v>17786</v>
      </c>
      <c r="J23" s="126">
        <v>17631</v>
      </c>
      <c r="K23" s="126">
        <v>1557</v>
      </c>
      <c r="L23" s="126">
        <v>2045</v>
      </c>
      <c r="M23" s="126">
        <f t="shared" si="4"/>
        <v>155</v>
      </c>
      <c r="N23" s="126">
        <v>90</v>
      </c>
      <c r="O23" s="126">
        <v>65</v>
      </c>
      <c r="P23" s="148">
        <f t="shared" si="5"/>
        <v>5082</v>
      </c>
      <c r="Q23" s="126">
        <v>2444</v>
      </c>
      <c r="R23" s="126">
        <v>2638</v>
      </c>
      <c r="S23" s="148">
        <f t="shared" si="6"/>
        <v>91900</v>
      </c>
      <c r="T23" s="127">
        <v>14802</v>
      </c>
      <c r="U23" s="127">
        <v>51025</v>
      </c>
      <c r="V23" s="127">
        <v>2971</v>
      </c>
      <c r="W23" s="127">
        <v>23102</v>
      </c>
    </row>
    <row r="24" spans="1:23" x14ac:dyDescent="0.2">
      <c r="A24" s="128">
        <v>13</v>
      </c>
      <c r="B24" s="834" t="s">
        <v>74</v>
      </c>
      <c r="C24" s="31" t="s">
        <v>75</v>
      </c>
      <c r="D24" s="148">
        <f t="shared" si="2"/>
        <v>0</v>
      </c>
      <c r="E24" s="148">
        <f t="shared" si="0"/>
        <v>0</v>
      </c>
      <c r="F24" s="126">
        <v>0</v>
      </c>
      <c r="G24" s="126">
        <v>0</v>
      </c>
      <c r="H24" s="126">
        <v>0</v>
      </c>
      <c r="I24" s="148">
        <f t="shared" si="7"/>
        <v>0</v>
      </c>
      <c r="J24" s="126">
        <v>0</v>
      </c>
      <c r="K24" s="126">
        <v>0</v>
      </c>
      <c r="L24" s="126">
        <v>0</v>
      </c>
      <c r="M24" s="126">
        <f t="shared" si="4"/>
        <v>0</v>
      </c>
      <c r="N24" s="126">
        <v>0</v>
      </c>
      <c r="O24" s="126">
        <v>0</v>
      </c>
      <c r="P24" s="148">
        <f t="shared" si="5"/>
        <v>0</v>
      </c>
      <c r="Q24" s="126">
        <v>0</v>
      </c>
      <c r="R24" s="126">
        <v>0</v>
      </c>
      <c r="S24" s="148">
        <f t="shared" si="6"/>
        <v>0</v>
      </c>
      <c r="T24" s="127">
        <v>0</v>
      </c>
      <c r="U24" s="127">
        <v>0</v>
      </c>
      <c r="V24" s="127">
        <v>0</v>
      </c>
      <c r="W24" s="127">
        <v>0</v>
      </c>
    </row>
    <row r="25" spans="1:23" x14ac:dyDescent="0.2">
      <c r="A25" s="128">
        <v>14</v>
      </c>
      <c r="B25" s="834" t="s">
        <v>76</v>
      </c>
      <c r="C25" s="31" t="s">
        <v>77</v>
      </c>
      <c r="D25" s="148">
        <f t="shared" si="2"/>
        <v>79421</v>
      </c>
      <c r="E25" s="148">
        <f t="shared" si="0"/>
        <v>6849</v>
      </c>
      <c r="F25" s="126">
        <v>1160</v>
      </c>
      <c r="G25" s="126">
        <v>892</v>
      </c>
      <c r="H25" s="126">
        <v>5689</v>
      </c>
      <c r="I25" s="148">
        <f t="shared" si="7"/>
        <v>11032</v>
      </c>
      <c r="J25" s="126">
        <v>10942</v>
      </c>
      <c r="K25" s="126">
        <v>1562</v>
      </c>
      <c r="L25" s="126">
        <v>1269</v>
      </c>
      <c r="M25" s="126">
        <f t="shared" si="4"/>
        <v>90</v>
      </c>
      <c r="N25" s="126">
        <v>0</v>
      </c>
      <c r="O25" s="126">
        <v>90</v>
      </c>
      <c r="P25" s="148">
        <f t="shared" si="5"/>
        <v>3542</v>
      </c>
      <c r="Q25" s="126">
        <v>1632</v>
      </c>
      <c r="R25" s="126">
        <v>1910</v>
      </c>
      <c r="S25" s="148">
        <f t="shared" si="6"/>
        <v>57998</v>
      </c>
      <c r="T25" s="127">
        <v>14425</v>
      </c>
      <c r="U25" s="127">
        <v>17819</v>
      </c>
      <c r="V25" s="127">
        <v>13420</v>
      </c>
      <c r="W25" s="127">
        <v>12334</v>
      </c>
    </row>
    <row r="26" spans="1:23" x14ac:dyDescent="0.2">
      <c r="A26" s="128">
        <v>15</v>
      </c>
      <c r="B26" s="834" t="s">
        <v>78</v>
      </c>
      <c r="C26" s="31" t="s">
        <v>79</v>
      </c>
      <c r="D26" s="148">
        <f t="shared" si="2"/>
        <v>123115</v>
      </c>
      <c r="E26" s="148">
        <f t="shared" si="0"/>
        <v>11869</v>
      </c>
      <c r="F26" s="126">
        <v>1674</v>
      </c>
      <c r="G26" s="126">
        <v>462</v>
      </c>
      <c r="H26" s="126">
        <v>10195</v>
      </c>
      <c r="I26" s="148">
        <f t="shared" si="7"/>
        <v>15950</v>
      </c>
      <c r="J26" s="126">
        <v>15795</v>
      </c>
      <c r="K26" s="126">
        <v>1292</v>
      </c>
      <c r="L26" s="126">
        <v>1832</v>
      </c>
      <c r="M26" s="126">
        <f t="shared" si="4"/>
        <v>155</v>
      </c>
      <c r="N26" s="126">
        <v>5</v>
      </c>
      <c r="O26" s="126">
        <v>150</v>
      </c>
      <c r="P26" s="148">
        <f t="shared" si="5"/>
        <v>5229</v>
      </c>
      <c r="Q26" s="126">
        <v>2334</v>
      </c>
      <c r="R26" s="126">
        <v>2895</v>
      </c>
      <c r="S26" s="148">
        <f t="shared" si="6"/>
        <v>90067</v>
      </c>
      <c r="T26" s="127">
        <v>10014</v>
      </c>
      <c r="U26" s="127">
        <v>37188</v>
      </c>
      <c r="V26" s="127">
        <v>13137</v>
      </c>
      <c r="W26" s="127">
        <v>29728</v>
      </c>
    </row>
    <row r="27" spans="1:23" x14ac:dyDescent="0.2">
      <c r="A27" s="128">
        <v>16</v>
      </c>
      <c r="B27" s="834" t="s">
        <v>80</v>
      </c>
      <c r="C27" s="31" t="s">
        <v>81</v>
      </c>
      <c r="D27" s="148">
        <f t="shared" si="2"/>
        <v>153700</v>
      </c>
      <c r="E27" s="148">
        <f t="shared" si="0"/>
        <v>14138</v>
      </c>
      <c r="F27" s="126">
        <v>2189</v>
      </c>
      <c r="G27" s="126">
        <v>534</v>
      </c>
      <c r="H27" s="126">
        <v>11949</v>
      </c>
      <c r="I27" s="148">
        <f t="shared" si="7"/>
        <v>20714</v>
      </c>
      <c r="J27" s="126">
        <v>20653</v>
      </c>
      <c r="K27" s="126">
        <v>1012</v>
      </c>
      <c r="L27" s="126">
        <v>2395</v>
      </c>
      <c r="M27" s="126">
        <f t="shared" si="4"/>
        <v>61</v>
      </c>
      <c r="N27" s="126">
        <v>6</v>
      </c>
      <c r="O27" s="126">
        <v>55</v>
      </c>
      <c r="P27" s="148">
        <f t="shared" si="5"/>
        <v>6609</v>
      </c>
      <c r="Q27" s="126">
        <v>3034</v>
      </c>
      <c r="R27" s="126">
        <v>3575</v>
      </c>
      <c r="S27" s="148">
        <f t="shared" si="6"/>
        <v>112239</v>
      </c>
      <c r="T27" s="127">
        <v>21991</v>
      </c>
      <c r="U27" s="127">
        <v>51194</v>
      </c>
      <c r="V27" s="127">
        <v>12443</v>
      </c>
      <c r="W27" s="127">
        <v>26611</v>
      </c>
    </row>
    <row r="28" spans="1:23" x14ac:dyDescent="0.2">
      <c r="A28" s="128">
        <v>17</v>
      </c>
      <c r="B28" s="834" t="s">
        <v>20</v>
      </c>
      <c r="C28" s="31" t="s">
        <v>21</v>
      </c>
      <c r="D28" s="148">
        <f t="shared" si="2"/>
        <v>292572</v>
      </c>
      <c r="E28" s="148">
        <f t="shared" si="0"/>
        <v>24815</v>
      </c>
      <c r="F28" s="126">
        <v>4184</v>
      </c>
      <c r="G28" s="126">
        <v>593</v>
      </c>
      <c r="H28" s="126">
        <v>20631</v>
      </c>
      <c r="I28" s="148">
        <f t="shared" si="7"/>
        <v>40015</v>
      </c>
      <c r="J28" s="126">
        <v>39475</v>
      </c>
      <c r="K28" s="126">
        <v>1353</v>
      </c>
      <c r="L28" s="126">
        <v>4578</v>
      </c>
      <c r="M28" s="126">
        <f t="shared" si="4"/>
        <v>540</v>
      </c>
      <c r="N28" s="126">
        <v>360</v>
      </c>
      <c r="O28" s="126">
        <v>180</v>
      </c>
      <c r="P28" s="148">
        <f t="shared" si="5"/>
        <v>12494</v>
      </c>
      <c r="Q28" s="126">
        <v>6402</v>
      </c>
      <c r="R28" s="126">
        <v>6092</v>
      </c>
      <c r="S28" s="148">
        <f t="shared" si="6"/>
        <v>215248</v>
      </c>
      <c r="T28" s="127">
        <v>35355</v>
      </c>
      <c r="U28" s="127">
        <v>71220</v>
      </c>
      <c r="V28" s="127">
        <v>62948</v>
      </c>
      <c r="W28" s="127">
        <v>45725</v>
      </c>
    </row>
    <row r="29" spans="1:23" x14ac:dyDescent="0.2">
      <c r="A29" s="128">
        <v>18</v>
      </c>
      <c r="B29" s="71" t="s">
        <v>82</v>
      </c>
      <c r="C29" s="31" t="s">
        <v>83</v>
      </c>
      <c r="D29" s="148">
        <f t="shared" si="2"/>
        <v>50459</v>
      </c>
      <c r="E29" s="148">
        <f t="shared" si="0"/>
        <v>5118</v>
      </c>
      <c r="F29" s="126">
        <v>681</v>
      </c>
      <c r="G29" s="126">
        <v>600</v>
      </c>
      <c r="H29" s="126">
        <v>4437</v>
      </c>
      <c r="I29" s="148">
        <f t="shared" si="7"/>
        <v>6447</v>
      </c>
      <c r="J29" s="126">
        <v>6427</v>
      </c>
      <c r="K29" s="126">
        <v>4421</v>
      </c>
      <c r="L29" s="126">
        <v>745</v>
      </c>
      <c r="M29" s="126">
        <f t="shared" si="4"/>
        <v>20</v>
      </c>
      <c r="N29" s="126">
        <v>0</v>
      </c>
      <c r="O29" s="126">
        <v>20</v>
      </c>
      <c r="P29" s="148">
        <f t="shared" si="5"/>
        <v>2190</v>
      </c>
      <c r="Q29" s="126">
        <v>971</v>
      </c>
      <c r="R29" s="126">
        <v>1219</v>
      </c>
      <c r="S29" s="148">
        <f t="shared" si="6"/>
        <v>36704</v>
      </c>
      <c r="T29" s="127">
        <v>6744</v>
      </c>
      <c r="U29" s="127">
        <v>18099</v>
      </c>
      <c r="V29" s="127">
        <v>6430</v>
      </c>
      <c r="W29" s="127">
        <v>5431</v>
      </c>
    </row>
    <row r="30" spans="1:23" x14ac:dyDescent="0.2">
      <c r="A30" s="128">
        <v>19</v>
      </c>
      <c r="B30" s="71" t="s">
        <v>84</v>
      </c>
      <c r="C30" s="31" t="s">
        <v>85</v>
      </c>
      <c r="D30" s="148">
        <f t="shared" si="2"/>
        <v>38374</v>
      </c>
      <c r="E30" s="148">
        <f t="shared" si="0"/>
        <v>3087</v>
      </c>
      <c r="F30" s="126">
        <v>577</v>
      </c>
      <c r="G30" s="126">
        <v>236</v>
      </c>
      <c r="H30" s="126">
        <v>2510</v>
      </c>
      <c r="I30" s="148">
        <f t="shared" si="7"/>
        <v>5569</v>
      </c>
      <c r="J30" s="126">
        <v>5444</v>
      </c>
      <c r="K30" s="126">
        <v>1256</v>
      </c>
      <c r="L30" s="126">
        <v>631</v>
      </c>
      <c r="M30" s="126">
        <f t="shared" si="4"/>
        <v>125</v>
      </c>
      <c r="N30" s="126">
        <v>95</v>
      </c>
      <c r="O30" s="126">
        <v>30</v>
      </c>
      <c r="P30" s="148">
        <f t="shared" si="5"/>
        <v>1615</v>
      </c>
      <c r="Q30" s="126">
        <v>731</v>
      </c>
      <c r="R30" s="126">
        <v>884</v>
      </c>
      <c r="S30" s="148">
        <f t="shared" si="6"/>
        <v>28103</v>
      </c>
      <c r="T30" s="127">
        <v>10427</v>
      </c>
      <c r="U30" s="127">
        <v>9724</v>
      </c>
      <c r="V30" s="127">
        <v>455</v>
      </c>
      <c r="W30" s="127">
        <v>7497</v>
      </c>
    </row>
    <row r="31" spans="1:23" x14ac:dyDescent="0.2">
      <c r="A31" s="128">
        <v>20</v>
      </c>
      <c r="B31" s="71" t="s">
        <v>86</v>
      </c>
      <c r="C31" s="31" t="s">
        <v>87</v>
      </c>
      <c r="D31" s="148">
        <f t="shared" si="2"/>
        <v>204344</v>
      </c>
      <c r="E31" s="148">
        <f t="shared" si="0"/>
        <v>17474</v>
      </c>
      <c r="F31" s="126">
        <v>2979</v>
      </c>
      <c r="G31" s="126">
        <v>803</v>
      </c>
      <c r="H31" s="126">
        <v>14495</v>
      </c>
      <c r="I31" s="148">
        <f t="shared" si="7"/>
        <v>28295</v>
      </c>
      <c r="J31" s="126">
        <v>28106</v>
      </c>
      <c r="K31" s="126">
        <v>3183</v>
      </c>
      <c r="L31" s="126">
        <v>3260</v>
      </c>
      <c r="M31" s="126">
        <f t="shared" si="4"/>
        <v>189</v>
      </c>
      <c r="N31" s="126">
        <v>38</v>
      </c>
      <c r="O31" s="126">
        <v>151</v>
      </c>
      <c r="P31" s="148">
        <f t="shared" si="5"/>
        <v>8681</v>
      </c>
      <c r="Q31" s="126">
        <v>4229</v>
      </c>
      <c r="R31" s="126">
        <v>4452</v>
      </c>
      <c r="S31" s="148">
        <f t="shared" si="6"/>
        <v>149894</v>
      </c>
      <c r="T31" s="127">
        <v>25351</v>
      </c>
      <c r="U31" s="127">
        <v>60446</v>
      </c>
      <c r="V31" s="127">
        <v>25523</v>
      </c>
      <c r="W31" s="127">
        <v>38574</v>
      </c>
    </row>
    <row r="32" spans="1:23" x14ac:dyDescent="0.2">
      <c r="A32" s="128">
        <v>21</v>
      </c>
      <c r="B32" s="71" t="s">
        <v>22</v>
      </c>
      <c r="C32" s="31" t="s">
        <v>23</v>
      </c>
      <c r="D32" s="148">
        <f t="shared" si="2"/>
        <v>181206</v>
      </c>
      <c r="E32" s="148">
        <f t="shared" si="0"/>
        <v>16337</v>
      </c>
      <c r="F32" s="126">
        <v>2500</v>
      </c>
      <c r="G32" s="126">
        <v>513</v>
      </c>
      <c r="H32" s="126">
        <v>13837</v>
      </c>
      <c r="I32" s="148">
        <f t="shared" si="7"/>
        <v>23703</v>
      </c>
      <c r="J32" s="126">
        <v>23586</v>
      </c>
      <c r="K32" s="126">
        <v>2928</v>
      </c>
      <c r="L32" s="126">
        <v>2735</v>
      </c>
      <c r="M32" s="126">
        <f t="shared" si="4"/>
        <v>117</v>
      </c>
      <c r="N32" s="126">
        <v>33</v>
      </c>
      <c r="O32" s="126">
        <v>84</v>
      </c>
      <c r="P32" s="148">
        <f t="shared" si="5"/>
        <v>8120</v>
      </c>
      <c r="Q32" s="126">
        <v>4326</v>
      </c>
      <c r="R32" s="126">
        <v>3794</v>
      </c>
      <c r="S32" s="148">
        <f t="shared" si="6"/>
        <v>133046</v>
      </c>
      <c r="T32" s="127">
        <v>17746</v>
      </c>
      <c r="U32" s="127">
        <v>72190</v>
      </c>
      <c r="V32" s="127">
        <v>6071</v>
      </c>
      <c r="W32" s="127">
        <v>37039</v>
      </c>
    </row>
    <row r="33" spans="1:23" x14ac:dyDescent="0.2">
      <c r="A33" s="128">
        <v>22</v>
      </c>
      <c r="B33" s="834" t="s">
        <v>24</v>
      </c>
      <c r="C33" s="31" t="s">
        <v>25</v>
      </c>
      <c r="D33" s="148">
        <f t="shared" si="2"/>
        <v>44373</v>
      </c>
      <c r="E33" s="148">
        <f t="shared" si="0"/>
        <v>3100</v>
      </c>
      <c r="F33" s="126">
        <v>618</v>
      </c>
      <c r="G33" s="126">
        <v>20</v>
      </c>
      <c r="H33" s="126">
        <v>2482</v>
      </c>
      <c r="I33" s="148">
        <f t="shared" si="7"/>
        <v>5850</v>
      </c>
      <c r="J33" s="126">
        <v>5830</v>
      </c>
      <c r="K33" s="126">
        <v>403</v>
      </c>
      <c r="L33" s="126">
        <v>676</v>
      </c>
      <c r="M33" s="126">
        <f t="shared" si="4"/>
        <v>20</v>
      </c>
      <c r="N33" s="126">
        <v>0</v>
      </c>
      <c r="O33" s="126">
        <v>20</v>
      </c>
      <c r="P33" s="148">
        <f t="shared" si="5"/>
        <v>1830</v>
      </c>
      <c r="Q33" s="126">
        <v>907</v>
      </c>
      <c r="R33" s="126">
        <v>923</v>
      </c>
      <c r="S33" s="148">
        <f t="shared" si="6"/>
        <v>33593</v>
      </c>
      <c r="T33" s="127">
        <v>4530</v>
      </c>
      <c r="U33" s="127">
        <v>17892</v>
      </c>
      <c r="V33" s="127">
        <v>2149</v>
      </c>
      <c r="W33" s="127">
        <v>9022</v>
      </c>
    </row>
    <row r="34" spans="1:23" x14ac:dyDescent="0.2">
      <c r="A34" s="128">
        <v>23</v>
      </c>
      <c r="B34" s="834" t="s">
        <v>88</v>
      </c>
      <c r="C34" s="31" t="s">
        <v>89</v>
      </c>
      <c r="D34" s="148">
        <f t="shared" si="2"/>
        <v>0</v>
      </c>
      <c r="E34" s="148">
        <f t="shared" si="0"/>
        <v>0</v>
      </c>
      <c r="F34" s="126">
        <v>0</v>
      </c>
      <c r="G34" s="126">
        <v>0</v>
      </c>
      <c r="H34" s="126">
        <v>0</v>
      </c>
      <c r="I34" s="148">
        <f t="shared" si="7"/>
        <v>0</v>
      </c>
      <c r="J34" s="126">
        <v>0</v>
      </c>
      <c r="K34" s="126">
        <v>0</v>
      </c>
      <c r="L34" s="126">
        <v>0</v>
      </c>
      <c r="M34" s="126">
        <f t="shared" si="4"/>
        <v>0</v>
      </c>
      <c r="N34" s="126">
        <v>0</v>
      </c>
      <c r="O34" s="126">
        <v>0</v>
      </c>
      <c r="P34" s="148">
        <f t="shared" si="5"/>
        <v>0</v>
      </c>
      <c r="Q34" s="126">
        <v>0</v>
      </c>
      <c r="R34" s="126">
        <v>0</v>
      </c>
      <c r="S34" s="148">
        <f t="shared" si="6"/>
        <v>0</v>
      </c>
      <c r="T34" s="127">
        <v>0</v>
      </c>
      <c r="U34" s="127">
        <v>0</v>
      </c>
      <c r="V34" s="127">
        <v>0</v>
      </c>
      <c r="W34" s="127">
        <v>0</v>
      </c>
    </row>
    <row r="35" spans="1:23" ht="24" x14ac:dyDescent="0.2">
      <c r="A35" s="128">
        <v>24</v>
      </c>
      <c r="B35" s="834" t="s">
        <v>90</v>
      </c>
      <c r="C35" s="31" t="s">
        <v>91</v>
      </c>
      <c r="D35" s="148">
        <f t="shared" si="2"/>
        <v>0</v>
      </c>
      <c r="E35" s="148">
        <f t="shared" si="0"/>
        <v>0</v>
      </c>
      <c r="F35" s="126">
        <v>0</v>
      </c>
      <c r="G35" s="126">
        <v>0</v>
      </c>
      <c r="H35" s="126">
        <v>0</v>
      </c>
      <c r="I35" s="148">
        <f t="shared" si="7"/>
        <v>0</v>
      </c>
      <c r="J35" s="126">
        <v>0</v>
      </c>
      <c r="K35" s="126">
        <v>0</v>
      </c>
      <c r="L35" s="126">
        <v>0</v>
      </c>
      <c r="M35" s="126">
        <f t="shared" si="4"/>
        <v>0</v>
      </c>
      <c r="N35" s="126">
        <v>0</v>
      </c>
      <c r="O35" s="126">
        <v>0</v>
      </c>
      <c r="P35" s="148">
        <f t="shared" si="5"/>
        <v>0</v>
      </c>
      <c r="Q35" s="126">
        <v>0</v>
      </c>
      <c r="R35" s="126">
        <v>0</v>
      </c>
      <c r="S35" s="148">
        <f t="shared" si="6"/>
        <v>0</v>
      </c>
      <c r="T35" s="127">
        <v>0</v>
      </c>
      <c r="U35" s="127">
        <v>0</v>
      </c>
      <c r="V35" s="127">
        <v>0</v>
      </c>
      <c r="W35" s="127">
        <v>0</v>
      </c>
    </row>
    <row r="36" spans="1:23" x14ac:dyDescent="0.2">
      <c r="A36" s="128">
        <v>25</v>
      </c>
      <c r="B36" s="71" t="s">
        <v>92</v>
      </c>
      <c r="C36" s="31" t="s">
        <v>93</v>
      </c>
      <c r="D36" s="148">
        <f t="shared" si="2"/>
        <v>895359</v>
      </c>
      <c r="E36" s="148">
        <f t="shared" si="0"/>
        <v>80548</v>
      </c>
      <c r="F36" s="126">
        <v>13504</v>
      </c>
      <c r="G36" s="126">
        <v>4923</v>
      </c>
      <c r="H36" s="126">
        <v>67044</v>
      </c>
      <c r="I36" s="148">
        <f t="shared" si="7"/>
        <v>127769</v>
      </c>
      <c r="J36" s="126">
        <v>127428</v>
      </c>
      <c r="K36" s="126">
        <v>10734</v>
      </c>
      <c r="L36" s="126">
        <v>14779</v>
      </c>
      <c r="M36" s="126">
        <f t="shared" si="4"/>
        <v>341</v>
      </c>
      <c r="N36" s="126">
        <v>266</v>
      </c>
      <c r="O36" s="126">
        <v>75</v>
      </c>
      <c r="P36" s="148">
        <f t="shared" si="5"/>
        <v>44346</v>
      </c>
      <c r="Q36" s="126">
        <v>23282</v>
      </c>
      <c r="R36" s="126">
        <v>21064</v>
      </c>
      <c r="S36" s="148">
        <f t="shared" si="6"/>
        <v>642696</v>
      </c>
      <c r="T36" s="127">
        <v>99631</v>
      </c>
      <c r="U36" s="127">
        <v>251587</v>
      </c>
      <c r="V36" s="127">
        <v>151473</v>
      </c>
      <c r="W36" s="127">
        <v>140005</v>
      </c>
    </row>
    <row r="37" spans="1:23" x14ac:dyDescent="0.2">
      <c r="A37" s="128">
        <v>26</v>
      </c>
      <c r="B37" s="834" t="s">
        <v>94</v>
      </c>
      <c r="C37" s="31" t="s">
        <v>95</v>
      </c>
      <c r="D37" s="148">
        <f t="shared" si="2"/>
        <v>0</v>
      </c>
      <c r="E37" s="148">
        <f t="shared" si="0"/>
        <v>0</v>
      </c>
      <c r="F37" s="126">
        <v>0</v>
      </c>
      <c r="G37" s="126">
        <v>0</v>
      </c>
      <c r="H37" s="126">
        <v>0</v>
      </c>
      <c r="I37" s="148">
        <f t="shared" si="7"/>
        <v>0</v>
      </c>
      <c r="J37" s="126">
        <v>0</v>
      </c>
      <c r="K37" s="126">
        <v>0</v>
      </c>
      <c r="L37" s="126">
        <v>0</v>
      </c>
      <c r="M37" s="126">
        <f t="shared" si="4"/>
        <v>0</v>
      </c>
      <c r="N37" s="126">
        <v>0</v>
      </c>
      <c r="O37" s="126">
        <v>0</v>
      </c>
      <c r="P37" s="148">
        <f t="shared" si="5"/>
        <v>0</v>
      </c>
      <c r="Q37" s="126">
        <v>0</v>
      </c>
      <c r="R37" s="126">
        <v>0</v>
      </c>
      <c r="S37" s="148">
        <f t="shared" si="6"/>
        <v>0</v>
      </c>
      <c r="T37" s="127">
        <v>0</v>
      </c>
      <c r="U37" s="127">
        <v>0</v>
      </c>
      <c r="V37" s="127">
        <v>0</v>
      </c>
      <c r="W37" s="127">
        <v>0</v>
      </c>
    </row>
    <row r="38" spans="1:23" x14ac:dyDescent="0.2">
      <c r="A38" s="128">
        <v>27</v>
      </c>
      <c r="B38" s="72" t="s">
        <v>96</v>
      </c>
      <c r="C38" s="31" t="s">
        <v>97</v>
      </c>
      <c r="D38" s="148">
        <f t="shared" si="2"/>
        <v>47464</v>
      </c>
      <c r="E38" s="148">
        <f t="shared" si="0"/>
        <v>0</v>
      </c>
      <c r="F38" s="126">
        <v>0</v>
      </c>
      <c r="G38" s="126">
        <v>0</v>
      </c>
      <c r="H38" s="126">
        <v>0</v>
      </c>
      <c r="I38" s="148">
        <f t="shared" si="7"/>
        <v>0</v>
      </c>
      <c r="J38" s="126">
        <v>0</v>
      </c>
      <c r="K38" s="126">
        <v>0</v>
      </c>
      <c r="L38" s="126">
        <v>0</v>
      </c>
      <c r="M38" s="126">
        <f t="shared" si="4"/>
        <v>0</v>
      </c>
      <c r="N38" s="126">
        <v>0</v>
      </c>
      <c r="O38" s="126">
        <v>0</v>
      </c>
      <c r="P38" s="148">
        <f t="shared" si="5"/>
        <v>0</v>
      </c>
      <c r="Q38" s="126">
        <v>0</v>
      </c>
      <c r="R38" s="126">
        <v>0</v>
      </c>
      <c r="S38" s="148">
        <f t="shared" si="6"/>
        <v>47464</v>
      </c>
      <c r="T38" s="127">
        <v>0</v>
      </c>
      <c r="U38" s="127">
        <v>36967</v>
      </c>
      <c r="V38" s="127">
        <v>10497</v>
      </c>
      <c r="W38" s="127">
        <v>0</v>
      </c>
    </row>
    <row r="39" spans="1:23" x14ac:dyDescent="0.2">
      <c r="A39" s="128">
        <v>28</v>
      </c>
      <c r="B39" s="72" t="s">
        <v>26</v>
      </c>
      <c r="C39" s="31" t="s">
        <v>27</v>
      </c>
      <c r="D39" s="148">
        <f t="shared" si="2"/>
        <v>240073</v>
      </c>
      <c r="E39" s="148">
        <f t="shared" si="0"/>
        <v>18402</v>
      </c>
      <c r="F39" s="126">
        <v>3604</v>
      </c>
      <c r="G39" s="126">
        <v>948</v>
      </c>
      <c r="H39" s="126">
        <v>14798</v>
      </c>
      <c r="I39" s="148">
        <f t="shared" si="7"/>
        <v>34306</v>
      </c>
      <c r="J39" s="126">
        <v>34006</v>
      </c>
      <c r="K39" s="126">
        <v>3266</v>
      </c>
      <c r="L39" s="126">
        <v>3944</v>
      </c>
      <c r="M39" s="126">
        <f t="shared" si="4"/>
        <v>300</v>
      </c>
      <c r="N39" s="126">
        <v>126</v>
      </c>
      <c r="O39" s="126">
        <v>174</v>
      </c>
      <c r="P39" s="148">
        <f t="shared" si="5"/>
        <v>10304</v>
      </c>
      <c r="Q39" s="126">
        <v>5182</v>
      </c>
      <c r="R39" s="126">
        <v>5122</v>
      </c>
      <c r="S39" s="148">
        <f t="shared" si="6"/>
        <v>177061</v>
      </c>
      <c r="T39" s="127">
        <v>17940</v>
      </c>
      <c r="U39" s="127">
        <v>80413</v>
      </c>
      <c r="V39" s="127">
        <v>38345</v>
      </c>
      <c r="W39" s="127">
        <v>40363</v>
      </c>
    </row>
    <row r="40" spans="1:23" x14ac:dyDescent="0.2">
      <c r="A40" s="128">
        <v>29</v>
      </c>
      <c r="B40" s="71" t="s">
        <v>98</v>
      </c>
      <c r="C40" s="31" t="s">
        <v>99</v>
      </c>
      <c r="D40" s="148">
        <f t="shared" si="2"/>
        <v>366604</v>
      </c>
      <c r="E40" s="148">
        <f t="shared" si="0"/>
        <v>29921</v>
      </c>
      <c r="F40" s="126">
        <v>5306</v>
      </c>
      <c r="G40" s="126">
        <v>2151</v>
      </c>
      <c r="H40" s="126">
        <v>24615</v>
      </c>
      <c r="I40" s="148">
        <f t="shared" si="7"/>
        <v>50281</v>
      </c>
      <c r="J40" s="126">
        <v>50063</v>
      </c>
      <c r="K40" s="126">
        <v>4331</v>
      </c>
      <c r="L40" s="126">
        <v>5806</v>
      </c>
      <c r="M40" s="126">
        <f t="shared" si="4"/>
        <v>218</v>
      </c>
      <c r="N40" s="126">
        <v>16</v>
      </c>
      <c r="O40" s="126">
        <v>202</v>
      </c>
      <c r="P40" s="148">
        <f t="shared" si="5"/>
        <v>16719</v>
      </c>
      <c r="Q40" s="126">
        <v>8848</v>
      </c>
      <c r="R40" s="126">
        <v>7871</v>
      </c>
      <c r="S40" s="148">
        <f t="shared" si="6"/>
        <v>269683</v>
      </c>
      <c r="T40" s="127">
        <v>60616</v>
      </c>
      <c r="U40" s="127">
        <v>109587</v>
      </c>
      <c r="V40" s="127">
        <v>50028</v>
      </c>
      <c r="W40" s="127">
        <v>49452</v>
      </c>
    </row>
    <row r="41" spans="1:23" x14ac:dyDescent="0.2">
      <c r="A41" s="128">
        <v>30</v>
      </c>
      <c r="B41" s="72" t="s">
        <v>100</v>
      </c>
      <c r="C41" s="31" t="s">
        <v>101</v>
      </c>
      <c r="D41" s="148">
        <f t="shared" si="2"/>
        <v>68300</v>
      </c>
      <c r="E41" s="148">
        <f t="shared" si="0"/>
        <v>5650</v>
      </c>
      <c r="F41" s="126">
        <v>1017</v>
      </c>
      <c r="G41" s="126">
        <v>326</v>
      </c>
      <c r="H41" s="126">
        <v>4633</v>
      </c>
      <c r="I41" s="148">
        <f t="shared" si="7"/>
        <v>9689</v>
      </c>
      <c r="J41" s="126">
        <v>9599</v>
      </c>
      <c r="K41" s="126">
        <v>1136</v>
      </c>
      <c r="L41" s="126">
        <v>1113</v>
      </c>
      <c r="M41" s="126">
        <f t="shared" si="4"/>
        <v>90</v>
      </c>
      <c r="N41" s="126">
        <v>5</v>
      </c>
      <c r="O41" s="126">
        <v>85</v>
      </c>
      <c r="P41" s="148">
        <f t="shared" si="5"/>
        <v>2793</v>
      </c>
      <c r="Q41" s="126">
        <v>1254</v>
      </c>
      <c r="R41" s="126">
        <v>1539</v>
      </c>
      <c r="S41" s="148">
        <f t="shared" si="6"/>
        <v>50168</v>
      </c>
      <c r="T41" s="127">
        <v>8947</v>
      </c>
      <c r="U41" s="127">
        <v>20382</v>
      </c>
      <c r="V41" s="127">
        <v>2946</v>
      </c>
      <c r="W41" s="127">
        <v>17893</v>
      </c>
    </row>
    <row r="42" spans="1:23" x14ac:dyDescent="0.2">
      <c r="A42" s="128">
        <v>31</v>
      </c>
      <c r="B42" s="834" t="s">
        <v>102</v>
      </c>
      <c r="C42" s="31" t="s">
        <v>103</v>
      </c>
      <c r="D42" s="148">
        <f t="shared" si="2"/>
        <v>247700</v>
      </c>
      <c r="E42" s="148">
        <f t="shared" si="0"/>
        <v>20119</v>
      </c>
      <c r="F42" s="126">
        <v>3667</v>
      </c>
      <c r="G42" s="126">
        <v>162</v>
      </c>
      <c r="H42" s="126">
        <v>16452</v>
      </c>
      <c r="I42" s="148">
        <f t="shared" si="7"/>
        <v>34867</v>
      </c>
      <c r="J42" s="126">
        <v>34600</v>
      </c>
      <c r="K42" s="126">
        <v>1138</v>
      </c>
      <c r="L42" s="126">
        <v>4013</v>
      </c>
      <c r="M42" s="126">
        <f t="shared" si="4"/>
        <v>267</v>
      </c>
      <c r="N42" s="126">
        <v>75</v>
      </c>
      <c r="O42" s="126">
        <v>192</v>
      </c>
      <c r="P42" s="148">
        <f t="shared" si="5"/>
        <v>10819</v>
      </c>
      <c r="Q42" s="126">
        <v>5216</v>
      </c>
      <c r="R42" s="126">
        <v>5603</v>
      </c>
      <c r="S42" s="148">
        <f t="shared" si="6"/>
        <v>181895</v>
      </c>
      <c r="T42" s="127">
        <v>43090</v>
      </c>
      <c r="U42" s="127">
        <v>63163</v>
      </c>
      <c r="V42" s="127">
        <v>40018</v>
      </c>
      <c r="W42" s="127">
        <v>35624</v>
      </c>
    </row>
    <row r="43" spans="1:23" x14ac:dyDescent="0.2">
      <c r="A43" s="128">
        <v>32</v>
      </c>
      <c r="B43" s="72" t="s">
        <v>104</v>
      </c>
      <c r="C43" s="31" t="s">
        <v>105</v>
      </c>
      <c r="D43" s="148">
        <f t="shared" si="2"/>
        <v>89382</v>
      </c>
      <c r="E43" s="148">
        <f t="shared" si="0"/>
        <v>7552</v>
      </c>
      <c r="F43" s="126">
        <v>1348</v>
      </c>
      <c r="G43" s="126">
        <v>239</v>
      </c>
      <c r="H43" s="126">
        <v>6204</v>
      </c>
      <c r="I43" s="148">
        <f t="shared" si="7"/>
        <v>12811</v>
      </c>
      <c r="J43" s="126">
        <v>12716</v>
      </c>
      <c r="K43" s="126">
        <v>4972</v>
      </c>
      <c r="L43" s="126">
        <v>1475</v>
      </c>
      <c r="M43" s="126">
        <f t="shared" si="4"/>
        <v>95</v>
      </c>
      <c r="N43" s="126">
        <v>55</v>
      </c>
      <c r="O43" s="126">
        <v>40</v>
      </c>
      <c r="P43" s="148">
        <f t="shared" si="5"/>
        <v>3731</v>
      </c>
      <c r="Q43" s="126">
        <v>1658</v>
      </c>
      <c r="R43" s="126">
        <v>2073</v>
      </c>
      <c r="S43" s="148">
        <f t="shared" si="6"/>
        <v>65288</v>
      </c>
      <c r="T43" s="127">
        <v>10571</v>
      </c>
      <c r="U43" s="127">
        <v>21746</v>
      </c>
      <c r="V43" s="127">
        <v>14832</v>
      </c>
      <c r="W43" s="127">
        <v>18139</v>
      </c>
    </row>
    <row r="44" spans="1:23" x14ac:dyDescent="0.2">
      <c r="A44" s="128">
        <v>33</v>
      </c>
      <c r="B44" s="71" t="s">
        <v>106</v>
      </c>
      <c r="C44" s="31" t="s">
        <v>107</v>
      </c>
      <c r="D44" s="148">
        <f t="shared" si="2"/>
        <v>239666</v>
      </c>
      <c r="E44" s="148">
        <f t="shared" si="0"/>
        <v>19997</v>
      </c>
      <c r="F44" s="126">
        <v>3529</v>
      </c>
      <c r="G44" s="126">
        <v>794</v>
      </c>
      <c r="H44" s="126">
        <v>16468</v>
      </c>
      <c r="I44" s="148">
        <f t="shared" si="7"/>
        <v>33522</v>
      </c>
      <c r="J44" s="126">
        <v>33298</v>
      </c>
      <c r="K44" s="126">
        <v>1532</v>
      </c>
      <c r="L44" s="126">
        <v>3862</v>
      </c>
      <c r="M44" s="126">
        <f t="shared" si="4"/>
        <v>224</v>
      </c>
      <c r="N44" s="126">
        <v>74</v>
      </c>
      <c r="O44" s="126">
        <v>150</v>
      </c>
      <c r="P44" s="148">
        <f t="shared" si="5"/>
        <v>10597</v>
      </c>
      <c r="Q44" s="126">
        <v>5239</v>
      </c>
      <c r="R44" s="126">
        <v>5358</v>
      </c>
      <c r="S44" s="148">
        <f t="shared" si="6"/>
        <v>175550</v>
      </c>
      <c r="T44" s="127">
        <v>24367</v>
      </c>
      <c r="U44" s="127">
        <v>87163</v>
      </c>
      <c r="V44" s="127">
        <v>33381</v>
      </c>
      <c r="W44" s="127">
        <v>30639</v>
      </c>
    </row>
    <row r="45" spans="1:23" x14ac:dyDescent="0.2">
      <c r="A45" s="128">
        <v>34</v>
      </c>
      <c r="B45" s="129" t="s">
        <v>108</v>
      </c>
      <c r="C45" s="130" t="s">
        <v>109</v>
      </c>
      <c r="D45" s="148">
        <f t="shared" si="2"/>
        <v>80054</v>
      </c>
      <c r="E45" s="148">
        <f t="shared" si="0"/>
        <v>6489</v>
      </c>
      <c r="F45" s="126">
        <v>1207</v>
      </c>
      <c r="G45" s="126">
        <v>300</v>
      </c>
      <c r="H45" s="126">
        <v>5282</v>
      </c>
      <c r="I45" s="148">
        <f t="shared" si="7"/>
        <v>11424</v>
      </c>
      <c r="J45" s="126">
        <v>11389</v>
      </c>
      <c r="K45" s="126">
        <v>900</v>
      </c>
      <c r="L45" s="126">
        <v>1321</v>
      </c>
      <c r="M45" s="126">
        <f t="shared" si="4"/>
        <v>35</v>
      </c>
      <c r="N45" s="126">
        <v>20</v>
      </c>
      <c r="O45" s="126">
        <v>15</v>
      </c>
      <c r="P45" s="148">
        <f t="shared" si="5"/>
        <v>3249</v>
      </c>
      <c r="Q45" s="126">
        <v>1459</v>
      </c>
      <c r="R45" s="126">
        <v>1790</v>
      </c>
      <c r="S45" s="148">
        <f t="shared" si="6"/>
        <v>58892</v>
      </c>
      <c r="T45" s="127">
        <v>13232</v>
      </c>
      <c r="U45" s="127">
        <v>18702</v>
      </c>
      <c r="V45" s="127">
        <v>12006</v>
      </c>
      <c r="W45" s="127">
        <v>14952</v>
      </c>
    </row>
    <row r="46" spans="1:23" x14ac:dyDescent="0.2">
      <c r="A46" s="128">
        <v>35</v>
      </c>
      <c r="B46" s="71" t="s">
        <v>110</v>
      </c>
      <c r="C46" s="31" t="s">
        <v>111</v>
      </c>
      <c r="D46" s="148">
        <f t="shared" si="2"/>
        <v>48709</v>
      </c>
      <c r="E46" s="148">
        <f t="shared" si="0"/>
        <v>3490</v>
      </c>
      <c r="F46" s="126">
        <v>776</v>
      </c>
      <c r="G46" s="126">
        <v>113</v>
      </c>
      <c r="H46" s="126">
        <v>2714</v>
      </c>
      <c r="I46" s="148">
        <f t="shared" si="7"/>
        <v>7445</v>
      </c>
      <c r="J46" s="126">
        <v>7320</v>
      </c>
      <c r="K46" s="126">
        <v>405</v>
      </c>
      <c r="L46" s="126">
        <v>849</v>
      </c>
      <c r="M46" s="126">
        <f t="shared" si="4"/>
        <v>125</v>
      </c>
      <c r="N46" s="126">
        <v>65</v>
      </c>
      <c r="O46" s="126">
        <v>60</v>
      </c>
      <c r="P46" s="148">
        <f t="shared" si="5"/>
        <v>1772</v>
      </c>
      <c r="Q46" s="126">
        <v>803</v>
      </c>
      <c r="R46" s="126">
        <v>969</v>
      </c>
      <c r="S46" s="148">
        <f t="shared" si="6"/>
        <v>36002</v>
      </c>
      <c r="T46" s="127">
        <v>9143</v>
      </c>
      <c r="U46" s="127">
        <v>15361</v>
      </c>
      <c r="V46" s="127">
        <v>3677</v>
      </c>
      <c r="W46" s="127">
        <v>7821</v>
      </c>
    </row>
    <row r="47" spans="1:23" x14ac:dyDescent="0.2">
      <c r="A47" s="128">
        <v>36</v>
      </c>
      <c r="B47" s="71" t="s">
        <v>112</v>
      </c>
      <c r="C47" s="31" t="s">
        <v>113</v>
      </c>
      <c r="D47" s="148">
        <f t="shared" si="2"/>
        <v>87390</v>
      </c>
      <c r="E47" s="148">
        <f t="shared" si="0"/>
        <v>6252</v>
      </c>
      <c r="F47" s="126">
        <v>1377</v>
      </c>
      <c r="G47" s="126">
        <v>235</v>
      </c>
      <c r="H47" s="126">
        <v>4875</v>
      </c>
      <c r="I47" s="148">
        <f t="shared" si="7"/>
        <v>13075</v>
      </c>
      <c r="J47" s="126">
        <v>12994</v>
      </c>
      <c r="K47" s="126">
        <v>1550</v>
      </c>
      <c r="L47" s="126">
        <v>1507</v>
      </c>
      <c r="M47" s="126">
        <f t="shared" si="4"/>
        <v>81</v>
      </c>
      <c r="N47" s="126">
        <v>0</v>
      </c>
      <c r="O47" s="126">
        <v>81</v>
      </c>
      <c r="P47" s="148">
        <f t="shared" si="5"/>
        <v>3322</v>
      </c>
      <c r="Q47" s="126">
        <v>1481</v>
      </c>
      <c r="R47" s="126">
        <v>1841</v>
      </c>
      <c r="S47" s="148">
        <f t="shared" si="6"/>
        <v>64741</v>
      </c>
      <c r="T47" s="127">
        <v>25241</v>
      </c>
      <c r="U47" s="127">
        <v>21135</v>
      </c>
      <c r="V47" s="127">
        <v>7499</v>
      </c>
      <c r="W47" s="127">
        <v>10866</v>
      </c>
    </row>
    <row r="48" spans="1:23" x14ac:dyDescent="0.2">
      <c r="A48" s="128">
        <v>37</v>
      </c>
      <c r="B48" s="834" t="s">
        <v>114</v>
      </c>
      <c r="C48" s="31" t="s">
        <v>115</v>
      </c>
      <c r="D48" s="148">
        <f t="shared" si="2"/>
        <v>37994</v>
      </c>
      <c r="E48" s="148">
        <f t="shared" si="0"/>
        <v>2377</v>
      </c>
      <c r="F48" s="126">
        <v>629</v>
      </c>
      <c r="G48" s="126">
        <v>42</v>
      </c>
      <c r="H48" s="126">
        <v>1748</v>
      </c>
      <c r="I48" s="148">
        <f t="shared" si="7"/>
        <v>5965</v>
      </c>
      <c r="J48" s="126">
        <v>5934</v>
      </c>
      <c r="K48" s="126">
        <v>86</v>
      </c>
      <c r="L48" s="126">
        <v>688</v>
      </c>
      <c r="M48" s="126">
        <f t="shared" si="4"/>
        <v>31</v>
      </c>
      <c r="N48" s="126">
        <v>0</v>
      </c>
      <c r="O48" s="126">
        <v>31</v>
      </c>
      <c r="P48" s="148">
        <f t="shared" si="5"/>
        <v>1434</v>
      </c>
      <c r="Q48" s="126">
        <v>637</v>
      </c>
      <c r="R48" s="126">
        <v>797</v>
      </c>
      <c r="S48" s="148">
        <f t="shared" si="6"/>
        <v>28218</v>
      </c>
      <c r="T48" s="127">
        <v>7531</v>
      </c>
      <c r="U48" s="127">
        <v>8705</v>
      </c>
      <c r="V48" s="127">
        <v>8031</v>
      </c>
      <c r="W48" s="127">
        <v>3951</v>
      </c>
    </row>
    <row r="49" spans="1:23" x14ac:dyDescent="0.2">
      <c r="A49" s="128">
        <v>38</v>
      </c>
      <c r="B49" s="72" t="s">
        <v>116</v>
      </c>
      <c r="C49" s="31" t="s">
        <v>117</v>
      </c>
      <c r="D49" s="148">
        <f t="shared" si="2"/>
        <v>28610</v>
      </c>
      <c r="E49" s="148">
        <f t="shared" si="0"/>
        <v>906</v>
      </c>
      <c r="F49" s="126">
        <v>906</v>
      </c>
      <c r="G49" s="126">
        <v>73</v>
      </c>
      <c r="H49" s="126">
        <v>0</v>
      </c>
      <c r="I49" s="148">
        <f t="shared" si="7"/>
        <v>8552</v>
      </c>
      <c r="J49" s="126">
        <v>8552</v>
      </c>
      <c r="K49" s="126">
        <v>452</v>
      </c>
      <c r="L49" s="126">
        <v>992</v>
      </c>
      <c r="M49" s="126">
        <f t="shared" si="4"/>
        <v>0</v>
      </c>
      <c r="N49" s="126">
        <v>0</v>
      </c>
      <c r="O49" s="126">
        <v>0</v>
      </c>
      <c r="P49" s="148">
        <f t="shared" si="5"/>
        <v>2126</v>
      </c>
      <c r="Q49" s="126">
        <v>836</v>
      </c>
      <c r="R49" s="126">
        <v>1290</v>
      </c>
      <c r="S49" s="148">
        <f t="shared" si="6"/>
        <v>17026</v>
      </c>
      <c r="T49" s="127">
        <v>1800</v>
      </c>
      <c r="U49" s="127">
        <v>15116</v>
      </c>
      <c r="V49" s="127">
        <v>0</v>
      </c>
      <c r="W49" s="127">
        <v>110</v>
      </c>
    </row>
    <row r="50" spans="1:23" x14ac:dyDescent="0.2">
      <c r="A50" s="128">
        <v>39</v>
      </c>
      <c r="B50" s="834" t="s">
        <v>28</v>
      </c>
      <c r="C50" s="31" t="s">
        <v>29</v>
      </c>
      <c r="D50" s="148">
        <f t="shared" si="2"/>
        <v>333501</v>
      </c>
      <c r="E50" s="148">
        <f t="shared" si="0"/>
        <v>29108</v>
      </c>
      <c r="F50" s="126">
        <v>4711</v>
      </c>
      <c r="G50" s="126">
        <v>705</v>
      </c>
      <c r="H50" s="126">
        <v>24397</v>
      </c>
      <c r="I50" s="148">
        <f t="shared" si="7"/>
        <v>44768</v>
      </c>
      <c r="J50" s="126">
        <v>44453</v>
      </c>
      <c r="K50" s="126">
        <v>1427</v>
      </c>
      <c r="L50" s="126">
        <v>5155</v>
      </c>
      <c r="M50" s="126">
        <f t="shared" si="4"/>
        <v>315</v>
      </c>
      <c r="N50" s="126">
        <v>164</v>
      </c>
      <c r="O50" s="126">
        <v>151</v>
      </c>
      <c r="P50" s="148">
        <f t="shared" si="5"/>
        <v>14959</v>
      </c>
      <c r="Q50" s="126">
        <v>7709</v>
      </c>
      <c r="R50" s="126">
        <v>7250</v>
      </c>
      <c r="S50" s="148">
        <f t="shared" si="6"/>
        <v>244666</v>
      </c>
      <c r="T50" s="127">
        <v>33849</v>
      </c>
      <c r="U50" s="127">
        <v>119728</v>
      </c>
      <c r="V50" s="127">
        <v>18535</v>
      </c>
      <c r="W50" s="127">
        <v>72554</v>
      </c>
    </row>
    <row r="51" spans="1:23" x14ac:dyDescent="0.2">
      <c r="A51" s="128">
        <v>40</v>
      </c>
      <c r="B51" s="71" t="s">
        <v>118</v>
      </c>
      <c r="C51" s="31" t="s">
        <v>119</v>
      </c>
      <c r="D51" s="148">
        <f t="shared" si="2"/>
        <v>70178</v>
      </c>
      <c r="E51" s="148">
        <f t="shared" si="0"/>
        <v>5411</v>
      </c>
      <c r="F51" s="126">
        <v>1093</v>
      </c>
      <c r="G51" s="126">
        <v>183</v>
      </c>
      <c r="H51" s="126">
        <v>4318</v>
      </c>
      <c r="I51" s="148">
        <f t="shared" si="7"/>
        <v>10417</v>
      </c>
      <c r="J51" s="126">
        <v>10310</v>
      </c>
      <c r="K51" s="126">
        <v>407</v>
      </c>
      <c r="L51" s="126">
        <v>1196</v>
      </c>
      <c r="M51" s="126">
        <f t="shared" si="4"/>
        <v>107</v>
      </c>
      <c r="N51" s="126">
        <v>75</v>
      </c>
      <c r="O51" s="126">
        <v>32</v>
      </c>
      <c r="P51" s="148">
        <f t="shared" si="5"/>
        <v>2644</v>
      </c>
      <c r="Q51" s="126">
        <v>1210</v>
      </c>
      <c r="R51" s="126">
        <v>1434</v>
      </c>
      <c r="S51" s="148">
        <f t="shared" si="6"/>
        <v>51706</v>
      </c>
      <c r="T51" s="127">
        <v>16587</v>
      </c>
      <c r="U51" s="127">
        <v>18495</v>
      </c>
      <c r="V51" s="127">
        <v>7603</v>
      </c>
      <c r="W51" s="127">
        <v>9021</v>
      </c>
    </row>
    <row r="52" spans="1:23" x14ac:dyDescent="0.2">
      <c r="A52" s="128">
        <v>41</v>
      </c>
      <c r="B52" s="71" t="s">
        <v>120</v>
      </c>
      <c r="C52" s="31" t="s">
        <v>121</v>
      </c>
      <c r="D52" s="148">
        <f t="shared" si="2"/>
        <v>255403</v>
      </c>
      <c r="E52" s="148">
        <f t="shared" si="0"/>
        <v>20428</v>
      </c>
      <c r="F52" s="126">
        <v>3824</v>
      </c>
      <c r="G52" s="126">
        <v>2103</v>
      </c>
      <c r="H52" s="126">
        <v>16604</v>
      </c>
      <c r="I52" s="148">
        <f t="shared" si="7"/>
        <v>36218</v>
      </c>
      <c r="J52" s="126">
        <v>36079</v>
      </c>
      <c r="K52" s="126">
        <v>2243</v>
      </c>
      <c r="L52" s="126">
        <v>4184</v>
      </c>
      <c r="M52" s="126">
        <f t="shared" si="4"/>
        <v>139</v>
      </c>
      <c r="N52" s="126">
        <v>67</v>
      </c>
      <c r="O52" s="126">
        <v>72</v>
      </c>
      <c r="P52" s="148">
        <f t="shared" si="5"/>
        <v>10968</v>
      </c>
      <c r="Q52" s="126">
        <v>5551</v>
      </c>
      <c r="R52" s="126">
        <v>5417</v>
      </c>
      <c r="S52" s="148">
        <f t="shared" si="6"/>
        <v>187789</v>
      </c>
      <c r="T52" s="127">
        <v>24128</v>
      </c>
      <c r="U52" s="127">
        <v>110914</v>
      </c>
      <c r="V52" s="127">
        <v>10152</v>
      </c>
      <c r="W52" s="127">
        <v>42595</v>
      </c>
    </row>
    <row r="53" spans="1:23" x14ac:dyDescent="0.2">
      <c r="A53" s="128">
        <v>42</v>
      </c>
      <c r="B53" s="834" t="s">
        <v>122</v>
      </c>
      <c r="C53" s="31" t="s">
        <v>123</v>
      </c>
      <c r="D53" s="148">
        <f t="shared" si="2"/>
        <v>53580</v>
      </c>
      <c r="E53" s="148">
        <f t="shared" si="0"/>
        <v>4018</v>
      </c>
      <c r="F53" s="126">
        <v>836</v>
      </c>
      <c r="G53" s="126">
        <v>10</v>
      </c>
      <c r="H53" s="126">
        <v>3182</v>
      </c>
      <c r="I53" s="148">
        <f t="shared" si="7"/>
        <v>7990</v>
      </c>
      <c r="J53" s="126">
        <v>7888</v>
      </c>
      <c r="K53" s="126">
        <v>135</v>
      </c>
      <c r="L53" s="126">
        <v>915</v>
      </c>
      <c r="M53" s="126">
        <f t="shared" si="4"/>
        <v>102</v>
      </c>
      <c r="N53" s="126">
        <v>60</v>
      </c>
      <c r="O53" s="126">
        <v>42</v>
      </c>
      <c r="P53" s="148">
        <f t="shared" si="5"/>
        <v>1895</v>
      </c>
      <c r="Q53" s="126">
        <v>861</v>
      </c>
      <c r="R53" s="126">
        <v>1034</v>
      </c>
      <c r="S53" s="148">
        <f t="shared" si="6"/>
        <v>39677</v>
      </c>
      <c r="T53" s="127">
        <v>12494</v>
      </c>
      <c r="U53" s="127">
        <v>13460</v>
      </c>
      <c r="V53" s="127">
        <v>4379</v>
      </c>
      <c r="W53" s="127">
        <v>9344</v>
      </c>
    </row>
    <row r="54" spans="1:23" x14ac:dyDescent="0.2">
      <c r="A54" s="128">
        <v>43</v>
      </c>
      <c r="B54" s="72" t="s">
        <v>124</v>
      </c>
      <c r="C54" s="31" t="s">
        <v>125</v>
      </c>
      <c r="D54" s="148">
        <f t="shared" si="2"/>
        <v>73239</v>
      </c>
      <c r="E54" s="148">
        <f t="shared" si="0"/>
        <v>5202</v>
      </c>
      <c r="F54" s="126">
        <v>1142</v>
      </c>
      <c r="G54" s="126">
        <v>90</v>
      </c>
      <c r="H54" s="126">
        <v>4060</v>
      </c>
      <c r="I54" s="148">
        <f t="shared" si="7"/>
        <v>10825</v>
      </c>
      <c r="J54" s="126">
        <v>10774</v>
      </c>
      <c r="K54" s="126">
        <v>864</v>
      </c>
      <c r="L54" s="126">
        <v>1250</v>
      </c>
      <c r="M54" s="126">
        <f t="shared" si="4"/>
        <v>51</v>
      </c>
      <c r="N54" s="126">
        <v>0</v>
      </c>
      <c r="O54" s="126">
        <v>51</v>
      </c>
      <c r="P54" s="148">
        <f t="shared" si="5"/>
        <v>2798</v>
      </c>
      <c r="Q54" s="126">
        <v>1282</v>
      </c>
      <c r="R54" s="126">
        <v>1516</v>
      </c>
      <c r="S54" s="148">
        <f t="shared" si="6"/>
        <v>54414</v>
      </c>
      <c r="T54" s="127">
        <v>9379</v>
      </c>
      <c r="U54" s="127">
        <v>28404</v>
      </c>
      <c r="V54" s="127">
        <v>6849</v>
      </c>
      <c r="W54" s="127">
        <v>9782</v>
      </c>
    </row>
    <row r="55" spans="1:23" x14ac:dyDescent="0.2">
      <c r="A55" s="128">
        <v>44</v>
      </c>
      <c r="B55" s="834" t="s">
        <v>126</v>
      </c>
      <c r="C55" s="31" t="s">
        <v>127</v>
      </c>
      <c r="D55" s="148">
        <f t="shared" si="2"/>
        <v>87163</v>
      </c>
      <c r="E55" s="148">
        <f t="shared" si="0"/>
        <v>6710</v>
      </c>
      <c r="F55" s="126">
        <v>1338</v>
      </c>
      <c r="G55" s="126">
        <v>210</v>
      </c>
      <c r="H55" s="126">
        <v>5372</v>
      </c>
      <c r="I55" s="148">
        <f t="shared" si="7"/>
        <v>12735</v>
      </c>
      <c r="J55" s="126">
        <v>12627</v>
      </c>
      <c r="K55" s="126">
        <v>1260</v>
      </c>
      <c r="L55" s="126">
        <v>1464</v>
      </c>
      <c r="M55" s="126">
        <f t="shared" si="4"/>
        <v>108</v>
      </c>
      <c r="N55" s="126">
        <v>65</v>
      </c>
      <c r="O55" s="126">
        <v>43</v>
      </c>
      <c r="P55" s="148">
        <f t="shared" si="5"/>
        <v>3369</v>
      </c>
      <c r="Q55" s="126">
        <v>1579</v>
      </c>
      <c r="R55" s="126">
        <v>1790</v>
      </c>
      <c r="S55" s="148">
        <f t="shared" si="6"/>
        <v>64349</v>
      </c>
      <c r="T55" s="127">
        <v>10786</v>
      </c>
      <c r="U55" s="127">
        <v>27434</v>
      </c>
      <c r="V55" s="127">
        <v>13904</v>
      </c>
      <c r="W55" s="127">
        <v>12225</v>
      </c>
    </row>
    <row r="56" spans="1:23" x14ac:dyDescent="0.2">
      <c r="A56" s="128">
        <v>45</v>
      </c>
      <c r="B56" s="72" t="s">
        <v>128</v>
      </c>
      <c r="C56" s="31" t="s">
        <v>129</v>
      </c>
      <c r="D56" s="148">
        <f t="shared" si="2"/>
        <v>105035</v>
      </c>
      <c r="E56" s="148">
        <f t="shared" si="0"/>
        <v>8389</v>
      </c>
      <c r="F56" s="126">
        <v>1581</v>
      </c>
      <c r="G56" s="126">
        <v>71</v>
      </c>
      <c r="H56" s="126">
        <v>6808</v>
      </c>
      <c r="I56" s="148">
        <f t="shared" si="7"/>
        <v>14997</v>
      </c>
      <c r="J56" s="126">
        <v>14920</v>
      </c>
      <c r="K56" s="126">
        <v>507</v>
      </c>
      <c r="L56" s="126">
        <v>1730</v>
      </c>
      <c r="M56" s="126">
        <f t="shared" si="4"/>
        <v>77</v>
      </c>
      <c r="N56" s="126">
        <v>20</v>
      </c>
      <c r="O56" s="126">
        <v>57</v>
      </c>
      <c r="P56" s="148">
        <f t="shared" si="5"/>
        <v>4348</v>
      </c>
      <c r="Q56" s="126">
        <v>2117</v>
      </c>
      <c r="R56" s="126">
        <v>2231</v>
      </c>
      <c r="S56" s="148">
        <f t="shared" si="6"/>
        <v>77301</v>
      </c>
      <c r="T56" s="127">
        <v>14645</v>
      </c>
      <c r="U56" s="127">
        <v>36351</v>
      </c>
      <c r="V56" s="127">
        <v>784</v>
      </c>
      <c r="W56" s="127">
        <v>25521</v>
      </c>
    </row>
    <row r="57" spans="1:23" x14ac:dyDescent="0.2">
      <c r="A57" s="128">
        <v>46</v>
      </c>
      <c r="B57" s="834" t="s">
        <v>130</v>
      </c>
      <c r="C57" s="31" t="s">
        <v>131</v>
      </c>
      <c r="D57" s="148">
        <f t="shared" si="2"/>
        <v>34492</v>
      </c>
      <c r="E57" s="148">
        <f t="shared" si="0"/>
        <v>2243</v>
      </c>
      <c r="F57" s="126">
        <v>563</v>
      </c>
      <c r="G57" s="126">
        <v>96</v>
      </c>
      <c r="H57" s="126">
        <v>1680</v>
      </c>
      <c r="I57" s="148">
        <f t="shared" si="7"/>
        <v>5367</v>
      </c>
      <c r="J57" s="126">
        <v>5311</v>
      </c>
      <c r="K57" s="126">
        <v>416</v>
      </c>
      <c r="L57" s="126">
        <v>616</v>
      </c>
      <c r="M57" s="126">
        <f t="shared" si="4"/>
        <v>56</v>
      </c>
      <c r="N57" s="126">
        <v>6</v>
      </c>
      <c r="O57" s="126">
        <v>50</v>
      </c>
      <c r="P57" s="148">
        <f t="shared" si="5"/>
        <v>1317</v>
      </c>
      <c r="Q57" s="126">
        <v>568</v>
      </c>
      <c r="R57" s="126">
        <v>749</v>
      </c>
      <c r="S57" s="148">
        <f t="shared" si="6"/>
        <v>25565</v>
      </c>
      <c r="T57" s="127">
        <v>13130</v>
      </c>
      <c r="U57" s="127">
        <v>6763</v>
      </c>
      <c r="V57" s="127">
        <v>1884</v>
      </c>
      <c r="W57" s="127">
        <v>3788</v>
      </c>
    </row>
    <row r="58" spans="1:23" x14ac:dyDescent="0.2">
      <c r="A58" s="128">
        <v>47</v>
      </c>
      <c r="B58" s="72" t="s">
        <v>132</v>
      </c>
      <c r="C58" s="31" t="s">
        <v>133</v>
      </c>
      <c r="D58" s="148">
        <f t="shared" si="2"/>
        <v>67959</v>
      </c>
      <c r="E58" s="148">
        <f t="shared" si="0"/>
        <v>5221</v>
      </c>
      <c r="F58" s="126">
        <v>1030</v>
      </c>
      <c r="G58" s="126">
        <v>117</v>
      </c>
      <c r="H58" s="126">
        <v>4191</v>
      </c>
      <c r="I58" s="148">
        <f t="shared" si="7"/>
        <v>9734</v>
      </c>
      <c r="J58" s="126">
        <v>9714</v>
      </c>
      <c r="K58" s="126">
        <v>318</v>
      </c>
      <c r="L58" s="126">
        <v>1127</v>
      </c>
      <c r="M58" s="126">
        <f t="shared" si="4"/>
        <v>20</v>
      </c>
      <c r="N58" s="126">
        <v>0</v>
      </c>
      <c r="O58" s="126">
        <v>20</v>
      </c>
      <c r="P58" s="148">
        <f t="shared" si="5"/>
        <v>2321</v>
      </c>
      <c r="Q58" s="126">
        <v>1071</v>
      </c>
      <c r="R58" s="126">
        <v>1250</v>
      </c>
      <c r="S58" s="148">
        <f t="shared" si="6"/>
        <v>50683</v>
      </c>
      <c r="T58" s="127">
        <v>13202</v>
      </c>
      <c r="U58" s="127">
        <v>13761</v>
      </c>
      <c r="V58" s="127">
        <v>11490</v>
      </c>
      <c r="W58" s="127">
        <v>12230</v>
      </c>
    </row>
    <row r="59" spans="1:23" x14ac:dyDescent="0.2">
      <c r="A59" s="128">
        <v>48</v>
      </c>
      <c r="B59" s="834" t="s">
        <v>134</v>
      </c>
      <c r="C59" s="31" t="s">
        <v>135</v>
      </c>
      <c r="D59" s="148">
        <f t="shared" si="2"/>
        <v>104969</v>
      </c>
      <c r="E59" s="148">
        <f t="shared" si="0"/>
        <v>7975</v>
      </c>
      <c r="F59" s="126">
        <v>1627</v>
      </c>
      <c r="G59" s="126">
        <v>595</v>
      </c>
      <c r="H59" s="126">
        <v>6348</v>
      </c>
      <c r="I59" s="148">
        <f t="shared" si="7"/>
        <v>15438</v>
      </c>
      <c r="J59" s="126">
        <v>15356</v>
      </c>
      <c r="K59" s="126">
        <v>1268</v>
      </c>
      <c r="L59" s="126">
        <v>1781</v>
      </c>
      <c r="M59" s="126">
        <f t="shared" si="4"/>
        <v>82</v>
      </c>
      <c r="N59" s="126">
        <v>18</v>
      </c>
      <c r="O59" s="126">
        <v>64</v>
      </c>
      <c r="P59" s="148">
        <f t="shared" si="5"/>
        <v>4191</v>
      </c>
      <c r="Q59" s="126">
        <v>1944</v>
      </c>
      <c r="R59" s="126">
        <v>2247</v>
      </c>
      <c r="S59" s="148">
        <f t="shared" si="6"/>
        <v>77365</v>
      </c>
      <c r="T59" s="127">
        <v>29636</v>
      </c>
      <c r="U59" s="127">
        <v>21701</v>
      </c>
      <c r="V59" s="127">
        <v>11301</v>
      </c>
      <c r="W59" s="127">
        <v>14727</v>
      </c>
    </row>
    <row r="60" spans="1:23" x14ac:dyDescent="0.2">
      <c r="A60" s="128">
        <v>49</v>
      </c>
      <c r="B60" s="834" t="s">
        <v>136</v>
      </c>
      <c r="C60" s="31" t="s">
        <v>137</v>
      </c>
      <c r="D60" s="148">
        <f t="shared" si="2"/>
        <v>384639</v>
      </c>
      <c r="E60" s="148">
        <f t="shared" si="0"/>
        <v>32411</v>
      </c>
      <c r="F60" s="126">
        <v>5565</v>
      </c>
      <c r="G60" s="126">
        <v>1430</v>
      </c>
      <c r="H60" s="126">
        <v>26846</v>
      </c>
      <c r="I60" s="148">
        <f t="shared" si="7"/>
        <v>52933</v>
      </c>
      <c r="J60" s="126">
        <v>52506</v>
      </c>
      <c r="K60" s="126">
        <v>3870</v>
      </c>
      <c r="L60" s="126">
        <v>6089</v>
      </c>
      <c r="M60" s="126">
        <f t="shared" si="4"/>
        <v>427</v>
      </c>
      <c r="N60" s="126">
        <v>287</v>
      </c>
      <c r="O60" s="126">
        <v>140</v>
      </c>
      <c r="P60" s="148">
        <f t="shared" si="5"/>
        <v>16919</v>
      </c>
      <c r="Q60" s="126">
        <v>8499</v>
      </c>
      <c r="R60" s="126">
        <v>8420</v>
      </c>
      <c r="S60" s="148">
        <f t="shared" si="6"/>
        <v>282376</v>
      </c>
      <c r="T60" s="127">
        <v>55809</v>
      </c>
      <c r="U60" s="127">
        <v>118031</v>
      </c>
      <c r="V60" s="127">
        <v>33569</v>
      </c>
      <c r="W60" s="127">
        <v>74967</v>
      </c>
    </row>
    <row r="61" spans="1:23" x14ac:dyDescent="0.2">
      <c r="A61" s="128">
        <v>50</v>
      </c>
      <c r="B61" s="834" t="s">
        <v>138</v>
      </c>
      <c r="C61" s="31" t="s">
        <v>139</v>
      </c>
      <c r="D61" s="148">
        <f t="shared" si="2"/>
        <v>74730</v>
      </c>
      <c r="E61" s="148">
        <f t="shared" si="0"/>
        <v>5935</v>
      </c>
      <c r="F61" s="126">
        <v>1156</v>
      </c>
      <c r="G61" s="126">
        <v>493</v>
      </c>
      <c r="H61" s="126">
        <v>4779</v>
      </c>
      <c r="I61" s="148">
        <f t="shared" si="7"/>
        <v>10952</v>
      </c>
      <c r="J61" s="126">
        <v>10912</v>
      </c>
      <c r="K61" s="126">
        <v>715</v>
      </c>
      <c r="L61" s="126">
        <v>1265</v>
      </c>
      <c r="M61" s="126">
        <f t="shared" si="4"/>
        <v>40</v>
      </c>
      <c r="N61" s="126">
        <v>6</v>
      </c>
      <c r="O61" s="126">
        <v>34</v>
      </c>
      <c r="P61" s="148">
        <f t="shared" si="5"/>
        <v>2798</v>
      </c>
      <c r="Q61" s="126">
        <v>1343</v>
      </c>
      <c r="R61" s="126">
        <v>1455</v>
      </c>
      <c r="S61" s="148">
        <f t="shared" si="6"/>
        <v>55045</v>
      </c>
      <c r="T61" s="127">
        <v>15253</v>
      </c>
      <c r="U61" s="127">
        <v>21604</v>
      </c>
      <c r="V61" s="127">
        <v>7525</v>
      </c>
      <c r="W61" s="127">
        <v>10663</v>
      </c>
    </row>
    <row r="62" spans="1:23" x14ac:dyDescent="0.2">
      <c r="A62" s="128">
        <v>51</v>
      </c>
      <c r="B62" s="834" t="s">
        <v>140</v>
      </c>
      <c r="C62" s="31" t="s">
        <v>141</v>
      </c>
      <c r="D62" s="148">
        <f t="shared" si="2"/>
        <v>55185</v>
      </c>
      <c r="E62" s="148">
        <f t="shared" si="0"/>
        <v>4073</v>
      </c>
      <c r="F62" s="126">
        <v>859</v>
      </c>
      <c r="G62" s="126">
        <v>51</v>
      </c>
      <c r="H62" s="126">
        <v>3214</v>
      </c>
      <c r="I62" s="148">
        <f t="shared" si="7"/>
        <v>8167</v>
      </c>
      <c r="J62" s="126">
        <v>8108</v>
      </c>
      <c r="K62" s="126">
        <v>648</v>
      </c>
      <c r="L62" s="126">
        <v>940</v>
      </c>
      <c r="M62" s="126">
        <f t="shared" si="4"/>
        <v>59</v>
      </c>
      <c r="N62" s="126">
        <v>15</v>
      </c>
      <c r="O62" s="126">
        <v>44</v>
      </c>
      <c r="P62" s="148">
        <f t="shared" si="5"/>
        <v>2223</v>
      </c>
      <c r="Q62" s="126">
        <v>948</v>
      </c>
      <c r="R62" s="126">
        <v>1275</v>
      </c>
      <c r="S62" s="148">
        <f t="shared" si="6"/>
        <v>40722</v>
      </c>
      <c r="T62" s="127">
        <v>12440</v>
      </c>
      <c r="U62" s="127">
        <v>11636</v>
      </c>
      <c r="V62" s="127">
        <v>8496</v>
      </c>
      <c r="W62" s="127">
        <v>8150</v>
      </c>
    </row>
    <row r="63" spans="1:23" x14ac:dyDescent="0.2">
      <c r="A63" s="128">
        <v>52</v>
      </c>
      <c r="B63" s="72" t="s">
        <v>142</v>
      </c>
      <c r="C63" s="31" t="s">
        <v>143</v>
      </c>
      <c r="D63" s="148">
        <f t="shared" si="2"/>
        <v>60568</v>
      </c>
      <c r="E63" s="148">
        <f t="shared" si="0"/>
        <v>4790</v>
      </c>
      <c r="F63" s="126">
        <v>927</v>
      </c>
      <c r="G63" s="126">
        <v>76</v>
      </c>
      <c r="H63" s="126">
        <v>3863</v>
      </c>
      <c r="I63" s="148">
        <f t="shared" si="7"/>
        <v>8792</v>
      </c>
      <c r="J63" s="126">
        <v>8746</v>
      </c>
      <c r="K63" s="126">
        <v>680</v>
      </c>
      <c r="L63" s="126">
        <v>1014</v>
      </c>
      <c r="M63" s="126">
        <f t="shared" si="4"/>
        <v>46</v>
      </c>
      <c r="N63" s="126">
        <v>5</v>
      </c>
      <c r="O63" s="126">
        <v>41</v>
      </c>
      <c r="P63" s="148">
        <f t="shared" si="5"/>
        <v>2585</v>
      </c>
      <c r="Q63" s="126">
        <v>1206</v>
      </c>
      <c r="R63" s="126">
        <v>1379</v>
      </c>
      <c r="S63" s="148">
        <f t="shared" si="6"/>
        <v>44401</v>
      </c>
      <c r="T63" s="127">
        <v>8899</v>
      </c>
      <c r="U63" s="127">
        <v>20711</v>
      </c>
      <c r="V63" s="127">
        <v>9554</v>
      </c>
      <c r="W63" s="127">
        <v>5237</v>
      </c>
    </row>
    <row r="64" spans="1:23" x14ac:dyDescent="0.2">
      <c r="A64" s="128">
        <v>53</v>
      </c>
      <c r="B64" s="834" t="s">
        <v>144</v>
      </c>
      <c r="C64" s="31" t="s">
        <v>145</v>
      </c>
      <c r="D64" s="148">
        <f t="shared" si="2"/>
        <v>0</v>
      </c>
      <c r="E64" s="148">
        <f t="shared" si="0"/>
        <v>0</v>
      </c>
      <c r="F64" s="126">
        <v>0</v>
      </c>
      <c r="G64" s="126">
        <v>0</v>
      </c>
      <c r="H64" s="126">
        <v>0</v>
      </c>
      <c r="I64" s="148">
        <f t="shared" si="7"/>
        <v>0</v>
      </c>
      <c r="J64" s="126">
        <v>0</v>
      </c>
      <c r="K64" s="126">
        <v>0</v>
      </c>
      <c r="L64" s="126">
        <v>0</v>
      </c>
      <c r="M64" s="126">
        <f t="shared" si="4"/>
        <v>0</v>
      </c>
      <c r="N64" s="126">
        <v>0</v>
      </c>
      <c r="O64" s="126">
        <v>0</v>
      </c>
      <c r="P64" s="148">
        <f t="shared" si="5"/>
        <v>0</v>
      </c>
      <c r="Q64" s="126">
        <v>0</v>
      </c>
      <c r="R64" s="126">
        <v>0</v>
      </c>
      <c r="S64" s="148">
        <f t="shared" si="6"/>
        <v>0</v>
      </c>
      <c r="T64" s="127">
        <v>0</v>
      </c>
      <c r="U64" s="127">
        <v>0</v>
      </c>
      <c r="V64" s="127">
        <v>0</v>
      </c>
      <c r="W64" s="127">
        <v>0</v>
      </c>
    </row>
    <row r="65" spans="1:23" x14ac:dyDescent="0.2">
      <c r="A65" s="128">
        <v>54</v>
      </c>
      <c r="B65" s="834" t="s">
        <v>146</v>
      </c>
      <c r="C65" s="31" t="s">
        <v>147</v>
      </c>
      <c r="D65" s="148">
        <f t="shared" si="2"/>
        <v>0</v>
      </c>
      <c r="E65" s="148">
        <f t="shared" si="0"/>
        <v>0</v>
      </c>
      <c r="F65" s="126">
        <v>0</v>
      </c>
      <c r="G65" s="126">
        <v>0</v>
      </c>
      <c r="H65" s="126">
        <v>0</v>
      </c>
      <c r="I65" s="148">
        <f t="shared" si="7"/>
        <v>0</v>
      </c>
      <c r="J65" s="126">
        <v>0</v>
      </c>
      <c r="K65" s="126">
        <v>0</v>
      </c>
      <c r="L65" s="126">
        <v>0</v>
      </c>
      <c r="M65" s="126">
        <f t="shared" si="4"/>
        <v>0</v>
      </c>
      <c r="N65" s="126">
        <v>0</v>
      </c>
      <c r="O65" s="126">
        <v>0</v>
      </c>
      <c r="P65" s="148">
        <f t="shared" si="5"/>
        <v>0</v>
      </c>
      <c r="Q65" s="126">
        <v>0</v>
      </c>
      <c r="R65" s="126">
        <v>0</v>
      </c>
      <c r="S65" s="148">
        <f t="shared" si="6"/>
        <v>0</v>
      </c>
      <c r="T65" s="127">
        <v>0</v>
      </c>
      <c r="U65" s="127">
        <v>0</v>
      </c>
      <c r="V65" s="127">
        <v>0</v>
      </c>
      <c r="W65" s="127">
        <v>0</v>
      </c>
    </row>
    <row r="66" spans="1:23" x14ac:dyDescent="0.2">
      <c r="A66" s="128">
        <v>55</v>
      </c>
      <c r="B66" s="834" t="s">
        <v>148</v>
      </c>
      <c r="C66" s="31" t="s">
        <v>149</v>
      </c>
      <c r="D66" s="148">
        <f t="shared" si="2"/>
        <v>203954</v>
      </c>
      <c r="E66" s="148">
        <f t="shared" si="0"/>
        <v>39008</v>
      </c>
      <c r="F66" s="126">
        <v>0</v>
      </c>
      <c r="G66" s="126">
        <v>0</v>
      </c>
      <c r="H66" s="126">
        <v>39008</v>
      </c>
      <c r="I66" s="148">
        <f t="shared" si="7"/>
        <v>205</v>
      </c>
      <c r="J66" s="126">
        <v>0</v>
      </c>
      <c r="K66" s="126">
        <v>0</v>
      </c>
      <c r="L66" s="126">
        <v>0</v>
      </c>
      <c r="M66" s="126">
        <f t="shared" si="4"/>
        <v>205</v>
      </c>
      <c r="N66" s="126">
        <v>135</v>
      </c>
      <c r="O66" s="126">
        <v>70</v>
      </c>
      <c r="P66" s="148">
        <f t="shared" si="5"/>
        <v>0</v>
      </c>
      <c r="Q66" s="126">
        <v>0</v>
      </c>
      <c r="R66" s="126">
        <v>0</v>
      </c>
      <c r="S66" s="148">
        <f t="shared" si="6"/>
        <v>164741</v>
      </c>
      <c r="T66" s="127">
        <v>0</v>
      </c>
      <c r="U66" s="127">
        <v>91341</v>
      </c>
      <c r="V66" s="127">
        <v>0</v>
      </c>
      <c r="W66" s="127">
        <v>73400</v>
      </c>
    </row>
    <row r="67" spans="1:23" x14ac:dyDescent="0.2">
      <c r="A67" s="128">
        <v>56</v>
      </c>
      <c r="B67" s="72" t="s">
        <v>150</v>
      </c>
      <c r="C67" s="31" t="s">
        <v>151</v>
      </c>
      <c r="D67" s="148">
        <f t="shared" si="2"/>
        <v>155310</v>
      </c>
      <c r="E67" s="148">
        <f t="shared" si="0"/>
        <v>29930</v>
      </c>
      <c r="F67" s="126">
        <v>0</v>
      </c>
      <c r="G67" s="126">
        <v>0</v>
      </c>
      <c r="H67" s="126">
        <v>29930</v>
      </c>
      <c r="I67" s="148">
        <f t="shared" si="7"/>
        <v>332</v>
      </c>
      <c r="J67" s="126">
        <v>0</v>
      </c>
      <c r="K67" s="126">
        <v>0</v>
      </c>
      <c r="L67" s="126">
        <v>0</v>
      </c>
      <c r="M67" s="126">
        <f t="shared" si="4"/>
        <v>332</v>
      </c>
      <c r="N67" s="126">
        <v>194</v>
      </c>
      <c r="O67" s="126">
        <v>138</v>
      </c>
      <c r="P67" s="148">
        <f t="shared" si="5"/>
        <v>0</v>
      </c>
      <c r="Q67" s="126">
        <v>0</v>
      </c>
      <c r="R67" s="126">
        <v>0</v>
      </c>
      <c r="S67" s="148">
        <f t="shared" si="6"/>
        <v>125048</v>
      </c>
      <c r="T67" s="127">
        <v>0</v>
      </c>
      <c r="U67" s="127">
        <v>64988</v>
      </c>
      <c r="V67" s="127">
        <v>0</v>
      </c>
      <c r="W67" s="127">
        <v>60060</v>
      </c>
    </row>
    <row r="68" spans="1:23" x14ac:dyDescent="0.2">
      <c r="A68" s="128">
        <v>57</v>
      </c>
      <c r="B68" s="71" t="s">
        <v>152</v>
      </c>
      <c r="C68" s="31" t="s">
        <v>153</v>
      </c>
      <c r="D68" s="148">
        <f t="shared" si="2"/>
        <v>0</v>
      </c>
      <c r="E68" s="148">
        <f t="shared" si="0"/>
        <v>0</v>
      </c>
      <c r="F68" s="126">
        <v>0</v>
      </c>
      <c r="G68" s="126">
        <v>0</v>
      </c>
      <c r="H68" s="126">
        <v>0</v>
      </c>
      <c r="I68" s="148">
        <f t="shared" si="7"/>
        <v>0</v>
      </c>
      <c r="J68" s="126">
        <v>0</v>
      </c>
      <c r="K68" s="126">
        <v>0</v>
      </c>
      <c r="L68" s="126">
        <v>0</v>
      </c>
      <c r="M68" s="126">
        <f t="shared" si="4"/>
        <v>0</v>
      </c>
      <c r="N68" s="126">
        <v>0</v>
      </c>
      <c r="O68" s="126">
        <v>0</v>
      </c>
      <c r="P68" s="148">
        <f t="shared" si="5"/>
        <v>0</v>
      </c>
      <c r="Q68" s="126">
        <v>0</v>
      </c>
      <c r="R68" s="126">
        <v>0</v>
      </c>
      <c r="S68" s="148">
        <f t="shared" si="6"/>
        <v>0</v>
      </c>
      <c r="T68" s="127">
        <v>0</v>
      </c>
      <c r="U68" s="127">
        <v>0</v>
      </c>
      <c r="V68" s="127">
        <v>0</v>
      </c>
      <c r="W68" s="127">
        <v>0</v>
      </c>
    </row>
    <row r="69" spans="1:23" x14ac:dyDescent="0.2">
      <c r="A69" s="128">
        <v>58</v>
      </c>
      <c r="B69" s="72" t="s">
        <v>154</v>
      </c>
      <c r="C69" s="31" t="s">
        <v>155</v>
      </c>
      <c r="D69" s="148">
        <f t="shared" si="2"/>
        <v>306625</v>
      </c>
      <c r="E69" s="148">
        <f t="shared" si="0"/>
        <v>57606</v>
      </c>
      <c r="F69" s="126">
        <v>0</v>
      </c>
      <c r="G69" s="126">
        <v>0</v>
      </c>
      <c r="H69" s="126">
        <v>57606</v>
      </c>
      <c r="I69" s="148">
        <f t="shared" si="7"/>
        <v>284</v>
      </c>
      <c r="J69" s="126">
        <v>0</v>
      </c>
      <c r="K69" s="126">
        <v>0</v>
      </c>
      <c r="L69" s="126">
        <v>0</v>
      </c>
      <c r="M69" s="126">
        <f t="shared" si="4"/>
        <v>284</v>
      </c>
      <c r="N69" s="126">
        <v>60</v>
      </c>
      <c r="O69" s="126">
        <v>224</v>
      </c>
      <c r="P69" s="148">
        <f t="shared" si="5"/>
        <v>0</v>
      </c>
      <c r="Q69" s="126">
        <v>0</v>
      </c>
      <c r="R69" s="126">
        <v>0</v>
      </c>
      <c r="S69" s="148">
        <f t="shared" si="6"/>
        <v>248735</v>
      </c>
      <c r="T69" s="127">
        <v>0</v>
      </c>
      <c r="U69" s="127">
        <v>133735</v>
      </c>
      <c r="V69" s="127">
        <v>0</v>
      </c>
      <c r="W69" s="127">
        <v>115000</v>
      </c>
    </row>
    <row r="70" spans="1:23" x14ac:dyDescent="0.2">
      <c r="A70" s="128">
        <v>59</v>
      </c>
      <c r="B70" s="834" t="s">
        <v>156</v>
      </c>
      <c r="C70" s="31" t="s">
        <v>157</v>
      </c>
      <c r="D70" s="148">
        <f t="shared" si="2"/>
        <v>0</v>
      </c>
      <c r="E70" s="148">
        <f t="shared" si="0"/>
        <v>0</v>
      </c>
      <c r="F70" s="126">
        <v>0</v>
      </c>
      <c r="G70" s="126">
        <v>0</v>
      </c>
      <c r="H70" s="126">
        <v>0</v>
      </c>
      <c r="I70" s="148">
        <f t="shared" si="7"/>
        <v>0</v>
      </c>
      <c r="J70" s="126">
        <v>0</v>
      </c>
      <c r="K70" s="126">
        <v>0</v>
      </c>
      <c r="L70" s="126">
        <v>0</v>
      </c>
      <c r="M70" s="126">
        <f t="shared" si="4"/>
        <v>0</v>
      </c>
      <c r="N70" s="126">
        <v>0</v>
      </c>
      <c r="O70" s="126">
        <v>0</v>
      </c>
      <c r="P70" s="148">
        <f t="shared" si="5"/>
        <v>0</v>
      </c>
      <c r="Q70" s="126">
        <v>0</v>
      </c>
      <c r="R70" s="126">
        <v>0</v>
      </c>
      <c r="S70" s="148">
        <f t="shared" si="6"/>
        <v>0</v>
      </c>
      <c r="T70" s="127">
        <v>0</v>
      </c>
      <c r="U70" s="127">
        <v>0</v>
      </c>
      <c r="V70" s="127">
        <v>0</v>
      </c>
      <c r="W70" s="127">
        <v>0</v>
      </c>
    </row>
    <row r="71" spans="1:23" ht="24" x14ac:dyDescent="0.2">
      <c r="A71" s="128">
        <v>60</v>
      </c>
      <c r="B71" s="71" t="s">
        <v>158</v>
      </c>
      <c r="C71" s="31" t="s">
        <v>159</v>
      </c>
      <c r="D71" s="148">
        <f t="shared" si="2"/>
        <v>33833</v>
      </c>
      <c r="E71" s="148">
        <f t="shared" si="0"/>
        <v>0</v>
      </c>
      <c r="F71" s="126">
        <v>0</v>
      </c>
      <c r="G71" s="126">
        <v>0</v>
      </c>
      <c r="H71" s="126">
        <v>0</v>
      </c>
      <c r="I71" s="148">
        <f t="shared" si="7"/>
        <v>0</v>
      </c>
      <c r="J71" s="126">
        <v>0</v>
      </c>
      <c r="K71" s="126">
        <v>0</v>
      </c>
      <c r="L71" s="126">
        <v>0</v>
      </c>
      <c r="M71" s="126">
        <f t="shared" si="4"/>
        <v>0</v>
      </c>
      <c r="N71" s="126">
        <v>0</v>
      </c>
      <c r="O71" s="126">
        <v>0</v>
      </c>
      <c r="P71" s="148">
        <f t="shared" si="5"/>
        <v>0</v>
      </c>
      <c r="Q71" s="126">
        <v>0</v>
      </c>
      <c r="R71" s="126">
        <v>0</v>
      </c>
      <c r="S71" s="148">
        <f t="shared" si="6"/>
        <v>33833</v>
      </c>
      <c r="T71" s="127">
        <v>0</v>
      </c>
      <c r="U71" s="127">
        <v>30354</v>
      </c>
      <c r="V71" s="127">
        <v>3479</v>
      </c>
      <c r="W71" s="127">
        <v>0</v>
      </c>
    </row>
    <row r="72" spans="1:23" ht="24" x14ac:dyDescent="0.2">
      <c r="A72" s="128">
        <v>61</v>
      </c>
      <c r="B72" s="71" t="s">
        <v>160</v>
      </c>
      <c r="C72" s="31" t="s">
        <v>161</v>
      </c>
      <c r="D72" s="148">
        <f t="shared" si="2"/>
        <v>31475</v>
      </c>
      <c r="E72" s="148">
        <f t="shared" si="0"/>
        <v>0</v>
      </c>
      <c r="F72" s="126">
        <v>0</v>
      </c>
      <c r="G72" s="126">
        <v>0</v>
      </c>
      <c r="H72" s="126">
        <v>0</v>
      </c>
      <c r="I72" s="148">
        <f t="shared" si="7"/>
        <v>0</v>
      </c>
      <c r="J72" s="126">
        <v>0</v>
      </c>
      <c r="K72" s="126">
        <v>0</v>
      </c>
      <c r="L72" s="126">
        <v>0</v>
      </c>
      <c r="M72" s="126">
        <f t="shared" si="4"/>
        <v>0</v>
      </c>
      <c r="N72" s="126">
        <v>0</v>
      </c>
      <c r="O72" s="126">
        <v>0</v>
      </c>
      <c r="P72" s="148">
        <f t="shared" si="5"/>
        <v>0</v>
      </c>
      <c r="Q72" s="126">
        <v>0</v>
      </c>
      <c r="R72" s="126">
        <v>0</v>
      </c>
      <c r="S72" s="148">
        <f t="shared" si="6"/>
        <v>31475</v>
      </c>
      <c r="T72" s="127">
        <v>0</v>
      </c>
      <c r="U72" s="127">
        <v>23397</v>
      </c>
      <c r="V72" s="127">
        <v>8078</v>
      </c>
      <c r="W72" s="127">
        <v>0</v>
      </c>
    </row>
    <row r="73" spans="1:23" x14ac:dyDescent="0.2">
      <c r="A73" s="128">
        <v>62</v>
      </c>
      <c r="B73" s="72" t="s">
        <v>162</v>
      </c>
      <c r="C73" s="31" t="s">
        <v>163</v>
      </c>
      <c r="D73" s="148">
        <f t="shared" si="2"/>
        <v>200604</v>
      </c>
      <c r="E73" s="148">
        <f t="shared" si="0"/>
        <v>4907</v>
      </c>
      <c r="F73" s="126">
        <v>4907</v>
      </c>
      <c r="G73" s="126">
        <v>247</v>
      </c>
      <c r="H73" s="126">
        <v>0</v>
      </c>
      <c r="I73" s="148">
        <f t="shared" si="7"/>
        <v>46302</v>
      </c>
      <c r="J73" s="126">
        <v>46302</v>
      </c>
      <c r="K73" s="126">
        <v>1146</v>
      </c>
      <c r="L73" s="126">
        <v>5370</v>
      </c>
      <c r="M73" s="126">
        <f t="shared" si="4"/>
        <v>0</v>
      </c>
      <c r="N73" s="126">
        <v>0</v>
      </c>
      <c r="O73" s="126">
        <v>0</v>
      </c>
      <c r="P73" s="148">
        <f t="shared" si="5"/>
        <v>16782</v>
      </c>
      <c r="Q73" s="126">
        <v>9255</v>
      </c>
      <c r="R73" s="126">
        <v>7527</v>
      </c>
      <c r="S73" s="148">
        <f t="shared" si="6"/>
        <v>132613</v>
      </c>
      <c r="T73" s="127">
        <v>38269</v>
      </c>
      <c r="U73" s="127">
        <v>77469</v>
      </c>
      <c r="V73" s="127">
        <v>991</v>
      </c>
      <c r="W73" s="127">
        <v>15884</v>
      </c>
    </row>
    <row r="74" spans="1:23" x14ac:dyDescent="0.2">
      <c r="A74" s="128">
        <v>63</v>
      </c>
      <c r="B74" s="72" t="s">
        <v>164</v>
      </c>
      <c r="C74" s="31" t="s">
        <v>165</v>
      </c>
      <c r="D74" s="148">
        <f t="shared" si="2"/>
        <v>93680</v>
      </c>
      <c r="E74" s="148">
        <f t="shared" si="0"/>
        <v>2842</v>
      </c>
      <c r="F74" s="126">
        <v>2842</v>
      </c>
      <c r="G74" s="126">
        <v>50</v>
      </c>
      <c r="H74" s="126">
        <v>0</v>
      </c>
      <c r="I74" s="148">
        <f t="shared" si="7"/>
        <v>26814</v>
      </c>
      <c r="J74" s="126">
        <v>26814</v>
      </c>
      <c r="K74" s="126">
        <v>140</v>
      </c>
      <c r="L74" s="126">
        <v>3110</v>
      </c>
      <c r="M74" s="126">
        <f t="shared" si="4"/>
        <v>0</v>
      </c>
      <c r="N74" s="126">
        <v>0</v>
      </c>
      <c r="O74" s="126">
        <v>0</v>
      </c>
      <c r="P74" s="148">
        <f t="shared" si="5"/>
        <v>9583</v>
      </c>
      <c r="Q74" s="126">
        <v>5304</v>
      </c>
      <c r="R74" s="126">
        <v>4279</v>
      </c>
      <c r="S74" s="148">
        <f t="shared" si="6"/>
        <v>54441</v>
      </c>
      <c r="T74" s="127">
        <v>27602</v>
      </c>
      <c r="U74" s="127">
        <v>18947</v>
      </c>
      <c r="V74" s="127">
        <v>0</v>
      </c>
      <c r="W74" s="127">
        <v>7892</v>
      </c>
    </row>
    <row r="75" spans="1:23" x14ac:dyDescent="0.2">
      <c r="A75" s="128">
        <v>64</v>
      </c>
      <c r="B75" s="72" t="s">
        <v>166</v>
      </c>
      <c r="C75" s="31" t="s">
        <v>167</v>
      </c>
      <c r="D75" s="148">
        <f t="shared" si="2"/>
        <v>260731</v>
      </c>
      <c r="E75" s="148">
        <f t="shared" ref="E75:E138" si="8">F75+H75</f>
        <v>5524</v>
      </c>
      <c r="F75" s="126">
        <v>5524</v>
      </c>
      <c r="G75" s="126">
        <v>1290</v>
      </c>
      <c r="H75" s="126">
        <v>0</v>
      </c>
      <c r="I75" s="148">
        <f t="shared" si="7"/>
        <v>62557</v>
      </c>
      <c r="J75" s="126">
        <v>62557</v>
      </c>
      <c r="K75" s="126">
        <v>2651</v>
      </c>
      <c r="L75" s="126">
        <v>7139</v>
      </c>
      <c r="M75" s="126">
        <f t="shared" si="4"/>
        <v>0</v>
      </c>
      <c r="N75" s="126">
        <v>0</v>
      </c>
      <c r="O75" s="126">
        <v>0</v>
      </c>
      <c r="P75" s="148">
        <f t="shared" si="5"/>
        <v>22252</v>
      </c>
      <c r="Q75" s="126">
        <v>12230</v>
      </c>
      <c r="R75" s="126">
        <v>10022</v>
      </c>
      <c r="S75" s="148">
        <f t="shared" si="6"/>
        <v>170398</v>
      </c>
      <c r="T75" s="127">
        <v>77380</v>
      </c>
      <c r="U75" s="127">
        <v>79160</v>
      </c>
      <c r="V75" s="127">
        <v>0</v>
      </c>
      <c r="W75" s="127">
        <v>13858</v>
      </c>
    </row>
    <row r="76" spans="1:23" ht="24" x14ac:dyDescent="0.2">
      <c r="A76" s="128">
        <v>65</v>
      </c>
      <c r="B76" s="72" t="s">
        <v>168</v>
      </c>
      <c r="C76" s="31" t="s">
        <v>169</v>
      </c>
      <c r="D76" s="148">
        <f t="shared" ref="D76:D139" si="9">E76+I76+P76+S76</f>
        <v>0</v>
      </c>
      <c r="E76" s="148">
        <f t="shared" si="8"/>
        <v>0</v>
      </c>
      <c r="F76" s="126">
        <v>0</v>
      </c>
      <c r="G76" s="126">
        <v>0</v>
      </c>
      <c r="H76" s="126">
        <v>0</v>
      </c>
      <c r="I76" s="148">
        <f t="shared" si="7"/>
        <v>0</v>
      </c>
      <c r="J76" s="126">
        <v>0</v>
      </c>
      <c r="K76" s="126">
        <v>0</v>
      </c>
      <c r="L76" s="126">
        <v>0</v>
      </c>
      <c r="M76" s="126">
        <f t="shared" si="4"/>
        <v>0</v>
      </c>
      <c r="N76" s="126">
        <v>0</v>
      </c>
      <c r="O76" s="126">
        <v>0</v>
      </c>
      <c r="P76" s="148">
        <f t="shared" si="5"/>
        <v>0</v>
      </c>
      <c r="Q76" s="126">
        <v>0</v>
      </c>
      <c r="R76" s="126">
        <v>0</v>
      </c>
      <c r="S76" s="148">
        <f t="shared" ref="S76:S139" si="10">SUM(T76:X76)</f>
        <v>0</v>
      </c>
      <c r="T76" s="127">
        <v>0</v>
      </c>
      <c r="U76" s="127">
        <v>0</v>
      </c>
      <c r="V76" s="127">
        <v>0</v>
      </c>
      <c r="W76" s="127">
        <v>0</v>
      </c>
    </row>
    <row r="77" spans="1:23" ht="24" x14ac:dyDescent="0.2">
      <c r="A77" s="128">
        <v>66</v>
      </c>
      <c r="B77" s="71" t="s">
        <v>170</v>
      </c>
      <c r="C77" s="31" t="s">
        <v>171</v>
      </c>
      <c r="D77" s="148">
        <f t="shared" si="9"/>
        <v>46954</v>
      </c>
      <c r="E77" s="148">
        <f t="shared" si="8"/>
        <v>0</v>
      </c>
      <c r="F77" s="126">
        <v>0</v>
      </c>
      <c r="G77" s="126">
        <v>0</v>
      </c>
      <c r="H77" s="126">
        <v>0</v>
      </c>
      <c r="I77" s="148">
        <f t="shared" si="7"/>
        <v>0</v>
      </c>
      <c r="J77" s="126">
        <v>0</v>
      </c>
      <c r="K77" s="126">
        <v>0</v>
      </c>
      <c r="L77" s="126">
        <v>0</v>
      </c>
      <c r="M77" s="126">
        <f t="shared" si="4"/>
        <v>0</v>
      </c>
      <c r="N77" s="126">
        <v>0</v>
      </c>
      <c r="O77" s="126">
        <v>0</v>
      </c>
      <c r="P77" s="148">
        <f t="shared" si="5"/>
        <v>0</v>
      </c>
      <c r="Q77" s="126">
        <v>0</v>
      </c>
      <c r="R77" s="126">
        <v>0</v>
      </c>
      <c r="S77" s="148">
        <f t="shared" si="10"/>
        <v>46954</v>
      </c>
      <c r="T77" s="127">
        <v>2703</v>
      </c>
      <c r="U77" s="127">
        <v>41185</v>
      </c>
      <c r="V77" s="127">
        <v>320</v>
      </c>
      <c r="W77" s="127">
        <v>2746</v>
      </c>
    </row>
    <row r="78" spans="1:23" ht="24" x14ac:dyDescent="0.2">
      <c r="A78" s="128">
        <v>67</v>
      </c>
      <c r="B78" s="72" t="s">
        <v>172</v>
      </c>
      <c r="C78" s="31" t="s">
        <v>173</v>
      </c>
      <c r="D78" s="148">
        <f t="shared" si="9"/>
        <v>0</v>
      </c>
      <c r="E78" s="148">
        <f t="shared" si="8"/>
        <v>0</v>
      </c>
      <c r="F78" s="126">
        <v>0</v>
      </c>
      <c r="G78" s="126">
        <v>0</v>
      </c>
      <c r="H78" s="126">
        <v>0</v>
      </c>
      <c r="I78" s="148">
        <f t="shared" ref="I78:I141" si="11">J78+M78</f>
        <v>0</v>
      </c>
      <c r="J78" s="126">
        <v>0</v>
      </c>
      <c r="K78" s="126">
        <v>0</v>
      </c>
      <c r="L78" s="126">
        <v>0</v>
      </c>
      <c r="M78" s="126">
        <f t="shared" ref="M78:M141" si="12">N78+O78</f>
        <v>0</v>
      </c>
      <c r="N78" s="126">
        <v>0</v>
      </c>
      <c r="O78" s="126">
        <v>0</v>
      </c>
      <c r="P78" s="148">
        <f t="shared" ref="P78:P141" si="13">Q78+R78</f>
        <v>0</v>
      </c>
      <c r="Q78" s="126">
        <v>0</v>
      </c>
      <c r="R78" s="126">
        <v>0</v>
      </c>
      <c r="S78" s="148">
        <f t="shared" si="10"/>
        <v>0</v>
      </c>
      <c r="T78" s="127">
        <v>0</v>
      </c>
      <c r="U78" s="127">
        <v>0</v>
      </c>
      <c r="V78" s="127">
        <v>0</v>
      </c>
      <c r="W78" s="127">
        <v>0</v>
      </c>
    </row>
    <row r="79" spans="1:23" ht="24" x14ac:dyDescent="0.2">
      <c r="A79" s="128">
        <v>68</v>
      </c>
      <c r="B79" s="72" t="s">
        <v>174</v>
      </c>
      <c r="C79" s="31" t="s">
        <v>175</v>
      </c>
      <c r="D79" s="148">
        <f t="shared" si="9"/>
        <v>0</v>
      </c>
      <c r="E79" s="148">
        <f t="shared" si="8"/>
        <v>0</v>
      </c>
      <c r="F79" s="126">
        <v>0</v>
      </c>
      <c r="G79" s="126">
        <v>0</v>
      </c>
      <c r="H79" s="126">
        <v>0</v>
      </c>
      <c r="I79" s="148">
        <f t="shared" si="11"/>
        <v>0</v>
      </c>
      <c r="J79" s="126">
        <v>0</v>
      </c>
      <c r="K79" s="126">
        <v>0</v>
      </c>
      <c r="L79" s="126">
        <v>0</v>
      </c>
      <c r="M79" s="126">
        <f t="shared" si="12"/>
        <v>0</v>
      </c>
      <c r="N79" s="126">
        <v>0</v>
      </c>
      <c r="O79" s="126">
        <v>0</v>
      </c>
      <c r="P79" s="148">
        <f t="shared" si="13"/>
        <v>0</v>
      </c>
      <c r="Q79" s="126">
        <v>0</v>
      </c>
      <c r="R79" s="126">
        <v>0</v>
      </c>
      <c r="S79" s="148">
        <f t="shared" si="10"/>
        <v>0</v>
      </c>
      <c r="T79" s="127">
        <v>0</v>
      </c>
      <c r="U79" s="127">
        <v>0</v>
      </c>
      <c r="V79" s="127">
        <v>0</v>
      </c>
      <c r="W79" s="127">
        <v>0</v>
      </c>
    </row>
    <row r="80" spans="1:23" ht="24" x14ac:dyDescent="0.2">
      <c r="A80" s="128">
        <v>69</v>
      </c>
      <c r="B80" s="71" t="s">
        <v>176</v>
      </c>
      <c r="C80" s="31" t="s">
        <v>177</v>
      </c>
      <c r="D80" s="148">
        <f t="shared" si="9"/>
        <v>73485</v>
      </c>
      <c r="E80" s="148">
        <f t="shared" si="8"/>
        <v>0</v>
      </c>
      <c r="F80" s="126">
        <v>0</v>
      </c>
      <c r="G80" s="126">
        <v>0</v>
      </c>
      <c r="H80" s="126">
        <v>0</v>
      </c>
      <c r="I80" s="148">
        <f t="shared" si="11"/>
        <v>0</v>
      </c>
      <c r="J80" s="126">
        <v>0</v>
      </c>
      <c r="K80" s="126">
        <v>0</v>
      </c>
      <c r="L80" s="126">
        <v>0</v>
      </c>
      <c r="M80" s="126">
        <f t="shared" si="12"/>
        <v>0</v>
      </c>
      <c r="N80" s="126">
        <v>0</v>
      </c>
      <c r="O80" s="126">
        <v>0</v>
      </c>
      <c r="P80" s="148">
        <f t="shared" si="13"/>
        <v>0</v>
      </c>
      <c r="Q80" s="126">
        <v>0</v>
      </c>
      <c r="R80" s="126">
        <v>0</v>
      </c>
      <c r="S80" s="148">
        <f t="shared" si="10"/>
        <v>73485</v>
      </c>
      <c r="T80" s="127">
        <v>68</v>
      </c>
      <c r="U80" s="127">
        <v>62574</v>
      </c>
      <c r="V80" s="127">
        <v>5062</v>
      </c>
      <c r="W80" s="127">
        <v>5781</v>
      </c>
    </row>
    <row r="81" spans="1:23" ht="24" x14ac:dyDescent="0.2">
      <c r="A81" s="128">
        <v>70</v>
      </c>
      <c r="B81" s="71" t="s">
        <v>178</v>
      </c>
      <c r="C81" s="31" t="s">
        <v>179</v>
      </c>
      <c r="D81" s="148">
        <f t="shared" si="9"/>
        <v>0</v>
      </c>
      <c r="E81" s="148">
        <f t="shared" si="8"/>
        <v>0</v>
      </c>
      <c r="F81" s="126">
        <v>0</v>
      </c>
      <c r="G81" s="126">
        <v>0</v>
      </c>
      <c r="H81" s="126">
        <v>0</v>
      </c>
      <c r="I81" s="148">
        <f t="shared" si="11"/>
        <v>0</v>
      </c>
      <c r="J81" s="126">
        <v>0</v>
      </c>
      <c r="K81" s="126">
        <v>0</v>
      </c>
      <c r="L81" s="126">
        <v>0</v>
      </c>
      <c r="M81" s="126">
        <f t="shared" si="12"/>
        <v>0</v>
      </c>
      <c r="N81" s="126">
        <v>0</v>
      </c>
      <c r="O81" s="126">
        <v>0</v>
      </c>
      <c r="P81" s="148">
        <f t="shared" si="13"/>
        <v>0</v>
      </c>
      <c r="Q81" s="126">
        <v>0</v>
      </c>
      <c r="R81" s="126">
        <v>0</v>
      </c>
      <c r="S81" s="148">
        <f t="shared" si="10"/>
        <v>0</v>
      </c>
      <c r="T81" s="127">
        <v>0</v>
      </c>
      <c r="U81" s="127">
        <v>0</v>
      </c>
      <c r="V81" s="127">
        <v>0</v>
      </c>
      <c r="W81" s="127">
        <v>0</v>
      </c>
    </row>
    <row r="82" spans="1:23" ht="24" x14ac:dyDescent="0.2">
      <c r="A82" s="128">
        <v>71</v>
      </c>
      <c r="B82" s="71" t="s">
        <v>180</v>
      </c>
      <c r="C82" s="31" t="s">
        <v>181</v>
      </c>
      <c r="D82" s="148">
        <f t="shared" si="9"/>
        <v>0</v>
      </c>
      <c r="E82" s="148">
        <f t="shared" si="8"/>
        <v>0</v>
      </c>
      <c r="F82" s="126">
        <v>0</v>
      </c>
      <c r="G82" s="126">
        <v>0</v>
      </c>
      <c r="H82" s="126">
        <v>0</v>
      </c>
      <c r="I82" s="148">
        <f t="shared" si="11"/>
        <v>0</v>
      </c>
      <c r="J82" s="126">
        <v>0</v>
      </c>
      <c r="K82" s="126">
        <v>0</v>
      </c>
      <c r="L82" s="126">
        <v>0</v>
      </c>
      <c r="M82" s="126">
        <f t="shared" si="12"/>
        <v>0</v>
      </c>
      <c r="N82" s="126">
        <v>0</v>
      </c>
      <c r="O82" s="126">
        <v>0</v>
      </c>
      <c r="P82" s="148">
        <f t="shared" si="13"/>
        <v>0</v>
      </c>
      <c r="Q82" s="126">
        <v>0</v>
      </c>
      <c r="R82" s="126">
        <v>0</v>
      </c>
      <c r="S82" s="148">
        <f t="shared" si="10"/>
        <v>0</v>
      </c>
      <c r="T82" s="127">
        <v>0</v>
      </c>
      <c r="U82" s="127">
        <v>0</v>
      </c>
      <c r="V82" s="127">
        <v>0</v>
      </c>
      <c r="W82" s="127">
        <v>0</v>
      </c>
    </row>
    <row r="83" spans="1:23" x14ac:dyDescent="0.2">
      <c r="A83" s="128">
        <v>72</v>
      </c>
      <c r="B83" s="834" t="s">
        <v>182</v>
      </c>
      <c r="C83" s="31" t="s">
        <v>183</v>
      </c>
      <c r="D83" s="148">
        <f t="shared" si="9"/>
        <v>288957</v>
      </c>
      <c r="E83" s="148">
        <f t="shared" si="8"/>
        <v>29595</v>
      </c>
      <c r="F83" s="126">
        <v>3807</v>
      </c>
      <c r="G83" s="126">
        <v>712</v>
      </c>
      <c r="H83" s="126">
        <v>25788</v>
      </c>
      <c r="I83" s="148">
        <f t="shared" si="11"/>
        <v>36112</v>
      </c>
      <c r="J83" s="126">
        <v>35920</v>
      </c>
      <c r="K83" s="126">
        <v>1721</v>
      </c>
      <c r="L83" s="126">
        <v>4166</v>
      </c>
      <c r="M83" s="126">
        <f t="shared" si="12"/>
        <v>192</v>
      </c>
      <c r="N83" s="126">
        <v>105</v>
      </c>
      <c r="O83" s="126">
        <v>87</v>
      </c>
      <c r="P83" s="148">
        <f t="shared" si="13"/>
        <v>14080</v>
      </c>
      <c r="Q83" s="126">
        <v>7649</v>
      </c>
      <c r="R83" s="126">
        <v>6431</v>
      </c>
      <c r="S83" s="148">
        <f t="shared" si="10"/>
        <v>209170</v>
      </c>
      <c r="T83" s="127">
        <v>25758</v>
      </c>
      <c r="U83" s="127">
        <v>105131</v>
      </c>
      <c r="V83" s="127">
        <v>12593</v>
      </c>
      <c r="W83" s="127">
        <v>65688</v>
      </c>
    </row>
    <row r="84" spans="1:23" x14ac:dyDescent="0.2">
      <c r="A84" s="128">
        <v>73</v>
      </c>
      <c r="B84" s="71" t="s">
        <v>184</v>
      </c>
      <c r="C84" s="31" t="s">
        <v>185</v>
      </c>
      <c r="D84" s="148">
        <f t="shared" si="9"/>
        <v>377473</v>
      </c>
      <c r="E84" s="148">
        <f t="shared" si="8"/>
        <v>12205</v>
      </c>
      <c r="F84" s="126">
        <v>9180</v>
      </c>
      <c r="G84" s="126">
        <v>530</v>
      </c>
      <c r="H84" s="126">
        <v>3025</v>
      </c>
      <c r="I84" s="148">
        <f t="shared" si="11"/>
        <v>86619</v>
      </c>
      <c r="J84" s="126">
        <v>86619</v>
      </c>
      <c r="K84" s="126">
        <v>2000</v>
      </c>
      <c r="L84" s="126">
        <v>10046</v>
      </c>
      <c r="M84" s="126">
        <f t="shared" si="12"/>
        <v>0</v>
      </c>
      <c r="N84" s="126">
        <v>0</v>
      </c>
      <c r="O84" s="126">
        <v>0</v>
      </c>
      <c r="P84" s="148">
        <f t="shared" si="13"/>
        <v>34561</v>
      </c>
      <c r="Q84" s="126">
        <v>19396</v>
      </c>
      <c r="R84" s="126">
        <v>15165</v>
      </c>
      <c r="S84" s="148">
        <f t="shared" si="10"/>
        <v>244088</v>
      </c>
      <c r="T84" s="127">
        <v>86638</v>
      </c>
      <c r="U84" s="127">
        <v>120765</v>
      </c>
      <c r="V84" s="127">
        <v>5933</v>
      </c>
      <c r="W84" s="127">
        <v>30752</v>
      </c>
    </row>
    <row r="85" spans="1:23" x14ac:dyDescent="0.2">
      <c r="A85" s="128">
        <v>74</v>
      </c>
      <c r="B85" s="834" t="s">
        <v>186</v>
      </c>
      <c r="C85" s="31" t="s">
        <v>187</v>
      </c>
      <c r="D85" s="148">
        <f t="shared" si="9"/>
        <v>176396</v>
      </c>
      <c r="E85" s="148">
        <f t="shared" si="8"/>
        <v>4993</v>
      </c>
      <c r="F85" s="126">
        <v>4993</v>
      </c>
      <c r="G85" s="126">
        <v>312</v>
      </c>
      <c r="H85" s="126">
        <v>0</v>
      </c>
      <c r="I85" s="148">
        <f t="shared" si="11"/>
        <v>47112</v>
      </c>
      <c r="J85" s="126">
        <v>47112</v>
      </c>
      <c r="K85" s="126">
        <v>1020</v>
      </c>
      <c r="L85" s="126">
        <v>5464</v>
      </c>
      <c r="M85" s="126">
        <f t="shared" si="12"/>
        <v>0</v>
      </c>
      <c r="N85" s="126">
        <v>0</v>
      </c>
      <c r="O85" s="126">
        <v>0</v>
      </c>
      <c r="P85" s="148">
        <f t="shared" si="13"/>
        <v>16783</v>
      </c>
      <c r="Q85" s="126">
        <v>8785</v>
      </c>
      <c r="R85" s="126">
        <v>7998</v>
      </c>
      <c r="S85" s="148">
        <f t="shared" si="10"/>
        <v>107508</v>
      </c>
      <c r="T85" s="127">
        <v>70649</v>
      </c>
      <c r="U85" s="127">
        <v>18384</v>
      </c>
      <c r="V85" s="127">
        <v>5586</v>
      </c>
      <c r="W85" s="127">
        <v>12889</v>
      </c>
    </row>
    <row r="86" spans="1:23" x14ac:dyDescent="0.2">
      <c r="A86" s="128">
        <v>75</v>
      </c>
      <c r="B86" s="71" t="s">
        <v>188</v>
      </c>
      <c r="C86" s="31" t="s">
        <v>461</v>
      </c>
      <c r="D86" s="148">
        <f t="shared" si="9"/>
        <v>317441</v>
      </c>
      <c r="E86" s="148">
        <f t="shared" si="8"/>
        <v>36938</v>
      </c>
      <c r="F86" s="126">
        <v>3389</v>
      </c>
      <c r="G86" s="126">
        <v>745</v>
      </c>
      <c r="H86" s="126">
        <v>33549</v>
      </c>
      <c r="I86" s="148">
        <f t="shared" si="11"/>
        <v>32122</v>
      </c>
      <c r="J86" s="126">
        <v>31974</v>
      </c>
      <c r="K86" s="126">
        <v>2457</v>
      </c>
      <c r="L86" s="126">
        <v>3708</v>
      </c>
      <c r="M86" s="126">
        <f t="shared" si="12"/>
        <v>148</v>
      </c>
      <c r="N86" s="126">
        <v>8</v>
      </c>
      <c r="O86" s="126">
        <v>140</v>
      </c>
      <c r="P86" s="148">
        <f t="shared" si="13"/>
        <v>12143</v>
      </c>
      <c r="Q86" s="126">
        <v>6612</v>
      </c>
      <c r="R86" s="126">
        <v>5531</v>
      </c>
      <c r="S86" s="148">
        <f t="shared" si="10"/>
        <v>236238</v>
      </c>
      <c r="T86" s="127">
        <v>33879</v>
      </c>
      <c r="U86" s="127">
        <v>137939</v>
      </c>
      <c r="V86" s="127">
        <v>7147</v>
      </c>
      <c r="W86" s="127">
        <v>57273</v>
      </c>
    </row>
    <row r="87" spans="1:23" x14ac:dyDescent="0.2">
      <c r="A87" s="128">
        <v>76</v>
      </c>
      <c r="B87" s="71" t="s">
        <v>190</v>
      </c>
      <c r="C87" s="31" t="s">
        <v>191</v>
      </c>
      <c r="D87" s="148">
        <f t="shared" si="9"/>
        <v>370864</v>
      </c>
      <c r="E87" s="148">
        <f t="shared" si="8"/>
        <v>8456</v>
      </c>
      <c r="F87" s="126">
        <v>8456</v>
      </c>
      <c r="G87" s="126">
        <v>2649</v>
      </c>
      <c r="H87" s="126">
        <v>0</v>
      </c>
      <c r="I87" s="148">
        <f t="shared" si="11"/>
        <v>79792</v>
      </c>
      <c r="J87" s="126">
        <v>79792</v>
      </c>
      <c r="K87" s="126">
        <v>9705</v>
      </c>
      <c r="L87" s="126">
        <v>9254</v>
      </c>
      <c r="M87" s="126">
        <f t="shared" si="12"/>
        <v>0</v>
      </c>
      <c r="N87" s="126">
        <v>0</v>
      </c>
      <c r="O87" s="126">
        <v>0</v>
      </c>
      <c r="P87" s="148">
        <f t="shared" si="13"/>
        <v>28789</v>
      </c>
      <c r="Q87" s="126">
        <v>14907</v>
      </c>
      <c r="R87" s="126">
        <v>13882</v>
      </c>
      <c r="S87" s="148">
        <f t="shared" si="10"/>
        <v>253827</v>
      </c>
      <c r="T87" s="127">
        <v>43942</v>
      </c>
      <c r="U87" s="127">
        <v>149022</v>
      </c>
      <c r="V87" s="127">
        <v>19003</v>
      </c>
      <c r="W87" s="127">
        <v>41860</v>
      </c>
    </row>
    <row r="88" spans="1:23" x14ac:dyDescent="0.2">
      <c r="A88" s="128">
        <v>77</v>
      </c>
      <c r="B88" s="71" t="s">
        <v>192</v>
      </c>
      <c r="C88" s="31" t="s">
        <v>193</v>
      </c>
      <c r="D88" s="148">
        <f t="shared" si="9"/>
        <v>386921</v>
      </c>
      <c r="E88" s="148">
        <f t="shared" si="8"/>
        <v>73290</v>
      </c>
      <c r="F88" s="126">
        <v>0</v>
      </c>
      <c r="G88" s="126">
        <v>0</v>
      </c>
      <c r="H88" s="126">
        <v>73290</v>
      </c>
      <c r="I88" s="148">
        <f t="shared" si="11"/>
        <v>476</v>
      </c>
      <c r="J88" s="126">
        <v>0</v>
      </c>
      <c r="K88" s="126">
        <v>0</v>
      </c>
      <c r="L88" s="126">
        <v>0</v>
      </c>
      <c r="M88" s="126">
        <f t="shared" si="12"/>
        <v>476</v>
      </c>
      <c r="N88" s="126">
        <v>138</v>
      </c>
      <c r="O88" s="126">
        <v>338</v>
      </c>
      <c r="P88" s="148">
        <f t="shared" si="13"/>
        <v>0</v>
      </c>
      <c r="Q88" s="126">
        <v>0</v>
      </c>
      <c r="R88" s="126">
        <v>0</v>
      </c>
      <c r="S88" s="148">
        <f t="shared" si="10"/>
        <v>313155</v>
      </c>
      <c r="T88" s="127">
        <v>0</v>
      </c>
      <c r="U88" s="127">
        <v>180176</v>
      </c>
      <c r="V88" s="127">
        <v>6181</v>
      </c>
      <c r="W88" s="127">
        <v>126798</v>
      </c>
    </row>
    <row r="89" spans="1:23" x14ac:dyDescent="0.2">
      <c r="A89" s="128">
        <v>78</v>
      </c>
      <c r="B89" s="71" t="s">
        <v>194</v>
      </c>
      <c r="C89" s="31" t="s">
        <v>195</v>
      </c>
      <c r="D89" s="148">
        <f t="shared" si="9"/>
        <v>256046</v>
      </c>
      <c r="E89" s="148">
        <f t="shared" si="8"/>
        <v>6805</v>
      </c>
      <c r="F89" s="126">
        <v>6805</v>
      </c>
      <c r="G89" s="126">
        <v>1580</v>
      </c>
      <c r="H89" s="126">
        <v>0</v>
      </c>
      <c r="I89" s="148">
        <f t="shared" si="11"/>
        <v>64207</v>
      </c>
      <c r="J89" s="126">
        <v>64207</v>
      </c>
      <c r="K89" s="126">
        <v>529</v>
      </c>
      <c r="L89" s="126">
        <v>7446</v>
      </c>
      <c r="M89" s="126">
        <f t="shared" si="12"/>
        <v>0</v>
      </c>
      <c r="N89" s="126">
        <v>0</v>
      </c>
      <c r="O89" s="126">
        <v>0</v>
      </c>
      <c r="P89" s="148">
        <f t="shared" si="13"/>
        <v>24669</v>
      </c>
      <c r="Q89" s="126">
        <v>12642</v>
      </c>
      <c r="R89" s="126">
        <v>12027</v>
      </c>
      <c r="S89" s="148">
        <f t="shared" si="10"/>
        <v>160365</v>
      </c>
      <c r="T89" s="127">
        <v>80028</v>
      </c>
      <c r="U89" s="127">
        <v>52869</v>
      </c>
      <c r="V89" s="127">
        <v>1771</v>
      </c>
      <c r="W89" s="127">
        <v>25697</v>
      </c>
    </row>
    <row r="90" spans="1:23" x14ac:dyDescent="0.2">
      <c r="A90" s="128">
        <v>79</v>
      </c>
      <c r="B90" s="71" t="s">
        <v>196</v>
      </c>
      <c r="C90" s="31" t="s">
        <v>197</v>
      </c>
      <c r="D90" s="148">
        <f t="shared" si="9"/>
        <v>61669</v>
      </c>
      <c r="E90" s="148">
        <f t="shared" si="8"/>
        <v>0</v>
      </c>
      <c r="F90" s="126">
        <v>0</v>
      </c>
      <c r="G90" s="126">
        <v>0</v>
      </c>
      <c r="H90" s="126">
        <v>0</v>
      </c>
      <c r="I90" s="148">
        <f t="shared" si="11"/>
        <v>0</v>
      </c>
      <c r="J90" s="126">
        <v>0</v>
      </c>
      <c r="K90" s="126">
        <v>0</v>
      </c>
      <c r="L90" s="126">
        <v>0</v>
      </c>
      <c r="M90" s="126">
        <f t="shared" si="12"/>
        <v>0</v>
      </c>
      <c r="N90" s="126">
        <v>0</v>
      </c>
      <c r="O90" s="126">
        <v>0</v>
      </c>
      <c r="P90" s="148">
        <f t="shared" si="13"/>
        <v>0</v>
      </c>
      <c r="Q90" s="126">
        <v>0</v>
      </c>
      <c r="R90" s="126">
        <v>0</v>
      </c>
      <c r="S90" s="148">
        <f t="shared" si="10"/>
        <v>61669</v>
      </c>
      <c r="T90" s="127">
        <v>1600</v>
      </c>
      <c r="U90" s="127">
        <v>27321</v>
      </c>
      <c r="V90" s="127">
        <v>0</v>
      </c>
      <c r="W90" s="127">
        <v>32748</v>
      </c>
    </row>
    <row r="91" spans="1:23" x14ac:dyDescent="0.2">
      <c r="A91" s="128">
        <v>80</v>
      </c>
      <c r="B91" s="72" t="s">
        <v>30</v>
      </c>
      <c r="C91" s="31" t="s">
        <v>198</v>
      </c>
      <c r="D91" s="148">
        <f t="shared" si="9"/>
        <v>0</v>
      </c>
      <c r="E91" s="148">
        <f t="shared" si="8"/>
        <v>0</v>
      </c>
      <c r="F91" s="126">
        <v>0</v>
      </c>
      <c r="G91" s="126">
        <v>0</v>
      </c>
      <c r="H91" s="126">
        <v>0</v>
      </c>
      <c r="I91" s="148">
        <f t="shared" si="11"/>
        <v>0</v>
      </c>
      <c r="J91" s="126">
        <v>0</v>
      </c>
      <c r="K91" s="126">
        <v>0</v>
      </c>
      <c r="L91" s="126">
        <v>0</v>
      </c>
      <c r="M91" s="126">
        <f t="shared" si="12"/>
        <v>0</v>
      </c>
      <c r="N91" s="126">
        <v>0</v>
      </c>
      <c r="O91" s="126">
        <v>0</v>
      </c>
      <c r="P91" s="148">
        <f t="shared" si="13"/>
        <v>0</v>
      </c>
      <c r="Q91" s="126">
        <v>0</v>
      </c>
      <c r="R91" s="126">
        <v>0</v>
      </c>
      <c r="S91" s="148">
        <f t="shared" si="10"/>
        <v>0</v>
      </c>
      <c r="T91" s="127">
        <v>0</v>
      </c>
      <c r="U91" s="127">
        <v>0</v>
      </c>
      <c r="V91" s="127">
        <v>0</v>
      </c>
      <c r="W91" s="127">
        <v>0</v>
      </c>
    </row>
    <row r="92" spans="1:23" ht="24" x14ac:dyDescent="0.2">
      <c r="A92" s="949">
        <v>81</v>
      </c>
      <c r="B92" s="952" t="s">
        <v>199</v>
      </c>
      <c r="C92" s="31" t="s">
        <v>200</v>
      </c>
      <c r="D92" s="148">
        <f t="shared" si="9"/>
        <v>34997</v>
      </c>
      <c r="E92" s="148">
        <f t="shared" si="8"/>
        <v>1368</v>
      </c>
      <c r="F92" s="126">
        <v>1368</v>
      </c>
      <c r="G92" s="126">
        <v>1300</v>
      </c>
      <c r="H92" s="126">
        <v>0</v>
      </c>
      <c r="I92" s="148">
        <f t="shared" si="11"/>
        <v>2473</v>
      </c>
      <c r="J92" s="126">
        <v>2473</v>
      </c>
      <c r="K92" s="126">
        <v>2413</v>
      </c>
      <c r="L92" s="126">
        <v>403</v>
      </c>
      <c r="M92" s="126">
        <f t="shared" si="12"/>
        <v>0</v>
      </c>
      <c r="N92" s="126">
        <v>0</v>
      </c>
      <c r="O92" s="126">
        <v>0</v>
      </c>
      <c r="P92" s="148">
        <f t="shared" si="13"/>
        <v>2126</v>
      </c>
      <c r="Q92" s="126">
        <v>1624</v>
      </c>
      <c r="R92" s="126">
        <v>502</v>
      </c>
      <c r="S92" s="148">
        <f t="shared" si="10"/>
        <v>29030</v>
      </c>
      <c r="T92" s="127">
        <v>989</v>
      </c>
      <c r="U92" s="127">
        <v>27136</v>
      </c>
      <c r="V92" s="127">
        <v>0</v>
      </c>
      <c r="W92" s="127">
        <v>905</v>
      </c>
    </row>
    <row r="93" spans="1:23" ht="36" x14ac:dyDescent="0.2">
      <c r="A93" s="950"/>
      <c r="B93" s="953"/>
      <c r="C93" s="31" t="s">
        <v>201</v>
      </c>
      <c r="D93" s="148">
        <f t="shared" si="9"/>
        <v>19570</v>
      </c>
      <c r="E93" s="148">
        <f t="shared" si="8"/>
        <v>1368</v>
      </c>
      <c r="F93" s="126">
        <v>1368</v>
      </c>
      <c r="G93" s="126">
        <v>1300</v>
      </c>
      <c r="H93" s="126">
        <v>0</v>
      </c>
      <c r="I93" s="148">
        <f t="shared" si="11"/>
        <v>2473</v>
      </c>
      <c r="J93" s="126">
        <v>2473</v>
      </c>
      <c r="K93" s="126">
        <v>2413</v>
      </c>
      <c r="L93" s="126">
        <v>403</v>
      </c>
      <c r="M93" s="126">
        <f t="shared" si="12"/>
        <v>0</v>
      </c>
      <c r="N93" s="126">
        <v>0</v>
      </c>
      <c r="O93" s="126">
        <v>0</v>
      </c>
      <c r="P93" s="148">
        <f t="shared" si="13"/>
        <v>2126</v>
      </c>
      <c r="Q93" s="126">
        <v>1624</v>
      </c>
      <c r="R93" s="126">
        <v>502</v>
      </c>
      <c r="S93" s="148">
        <f t="shared" si="10"/>
        <v>13603</v>
      </c>
      <c r="T93" s="127">
        <v>989</v>
      </c>
      <c r="U93" s="127">
        <v>11709</v>
      </c>
      <c r="V93" s="127">
        <v>0</v>
      </c>
      <c r="W93" s="127">
        <v>905</v>
      </c>
    </row>
    <row r="94" spans="1:23" ht="24" x14ac:dyDescent="0.2">
      <c r="A94" s="950"/>
      <c r="B94" s="953"/>
      <c r="C94" s="31" t="s">
        <v>202</v>
      </c>
      <c r="D94" s="148">
        <f t="shared" si="9"/>
        <v>5490</v>
      </c>
      <c r="E94" s="148">
        <f t="shared" si="8"/>
        <v>0</v>
      </c>
      <c r="F94" s="126">
        <v>0</v>
      </c>
      <c r="G94" s="126">
        <v>0</v>
      </c>
      <c r="H94" s="126">
        <v>0</v>
      </c>
      <c r="I94" s="148">
        <f t="shared" si="11"/>
        <v>0</v>
      </c>
      <c r="J94" s="126">
        <v>0</v>
      </c>
      <c r="K94" s="126">
        <v>0</v>
      </c>
      <c r="L94" s="126">
        <v>0</v>
      </c>
      <c r="M94" s="126">
        <f t="shared" si="12"/>
        <v>0</v>
      </c>
      <c r="N94" s="126">
        <v>0</v>
      </c>
      <c r="O94" s="126">
        <v>0</v>
      </c>
      <c r="P94" s="148">
        <f t="shared" si="13"/>
        <v>0</v>
      </c>
      <c r="Q94" s="126">
        <v>0</v>
      </c>
      <c r="R94" s="126">
        <v>0</v>
      </c>
      <c r="S94" s="148">
        <f t="shared" si="10"/>
        <v>5490</v>
      </c>
      <c r="T94" s="127">
        <v>0</v>
      </c>
      <c r="U94" s="127">
        <v>5490</v>
      </c>
      <c r="V94" s="127">
        <v>0</v>
      </c>
      <c r="W94" s="127">
        <v>0</v>
      </c>
    </row>
    <row r="95" spans="1:23" ht="36" x14ac:dyDescent="0.2">
      <c r="A95" s="951"/>
      <c r="B95" s="954"/>
      <c r="C95" s="131" t="s">
        <v>203</v>
      </c>
      <c r="D95" s="148">
        <f t="shared" si="9"/>
        <v>9937</v>
      </c>
      <c r="E95" s="148">
        <f t="shared" si="8"/>
        <v>0</v>
      </c>
      <c r="F95" s="126">
        <v>0</v>
      </c>
      <c r="G95" s="126">
        <v>0</v>
      </c>
      <c r="H95" s="126">
        <v>0</v>
      </c>
      <c r="I95" s="148">
        <f t="shared" si="11"/>
        <v>0</v>
      </c>
      <c r="J95" s="126">
        <v>0</v>
      </c>
      <c r="K95" s="126">
        <v>0</v>
      </c>
      <c r="L95" s="126">
        <v>0</v>
      </c>
      <c r="M95" s="126">
        <f t="shared" si="12"/>
        <v>0</v>
      </c>
      <c r="N95" s="126">
        <v>0</v>
      </c>
      <c r="O95" s="126">
        <v>0</v>
      </c>
      <c r="P95" s="148">
        <f t="shared" si="13"/>
        <v>0</v>
      </c>
      <c r="Q95" s="126">
        <v>0</v>
      </c>
      <c r="R95" s="126">
        <v>0</v>
      </c>
      <c r="S95" s="148">
        <f t="shared" si="10"/>
        <v>9937</v>
      </c>
      <c r="T95" s="127">
        <v>0</v>
      </c>
      <c r="U95" s="127">
        <v>9937</v>
      </c>
      <c r="V95" s="127">
        <v>0</v>
      </c>
      <c r="W95" s="127">
        <v>0</v>
      </c>
    </row>
    <row r="96" spans="1:23" ht="24" x14ac:dyDescent="0.2">
      <c r="A96" s="128">
        <v>82</v>
      </c>
      <c r="B96" s="72" t="s">
        <v>204</v>
      </c>
      <c r="C96" s="31" t="s">
        <v>205</v>
      </c>
      <c r="D96" s="148">
        <f t="shared" si="9"/>
        <v>10547</v>
      </c>
      <c r="E96" s="148">
        <f t="shared" si="8"/>
        <v>0</v>
      </c>
      <c r="F96" s="126">
        <v>0</v>
      </c>
      <c r="G96" s="126">
        <v>0</v>
      </c>
      <c r="H96" s="126">
        <v>0</v>
      </c>
      <c r="I96" s="148">
        <f t="shared" si="11"/>
        <v>0</v>
      </c>
      <c r="J96" s="126">
        <v>0</v>
      </c>
      <c r="K96" s="126">
        <v>0</v>
      </c>
      <c r="L96" s="126">
        <v>0</v>
      </c>
      <c r="M96" s="126">
        <f t="shared" si="12"/>
        <v>0</v>
      </c>
      <c r="N96" s="126">
        <v>0</v>
      </c>
      <c r="O96" s="126">
        <v>0</v>
      </c>
      <c r="P96" s="148">
        <f t="shared" si="13"/>
        <v>0</v>
      </c>
      <c r="Q96" s="126">
        <v>0</v>
      </c>
      <c r="R96" s="126">
        <v>0</v>
      </c>
      <c r="S96" s="148">
        <f t="shared" si="10"/>
        <v>10547</v>
      </c>
      <c r="T96" s="127">
        <v>0</v>
      </c>
      <c r="U96" s="127">
        <v>10547</v>
      </c>
      <c r="V96" s="127">
        <v>0</v>
      </c>
      <c r="W96" s="127">
        <v>0</v>
      </c>
    </row>
    <row r="97" spans="1:23" x14ac:dyDescent="0.2">
      <c r="A97" s="128">
        <v>83</v>
      </c>
      <c r="B97" s="72" t="s">
        <v>206</v>
      </c>
      <c r="C97" s="31" t="s">
        <v>207</v>
      </c>
      <c r="D97" s="148">
        <f t="shared" si="9"/>
        <v>16471</v>
      </c>
      <c r="E97" s="148">
        <f t="shared" si="8"/>
        <v>292</v>
      </c>
      <c r="F97" s="126">
        <v>292</v>
      </c>
      <c r="G97" s="126">
        <v>100</v>
      </c>
      <c r="H97" s="126">
        <v>0</v>
      </c>
      <c r="I97" s="148">
        <f t="shared" si="11"/>
        <v>2754</v>
      </c>
      <c r="J97" s="126">
        <v>2754</v>
      </c>
      <c r="K97" s="126">
        <v>700</v>
      </c>
      <c r="L97" s="126">
        <v>319</v>
      </c>
      <c r="M97" s="126">
        <f t="shared" si="12"/>
        <v>0</v>
      </c>
      <c r="N97" s="126">
        <v>0</v>
      </c>
      <c r="O97" s="126">
        <v>0</v>
      </c>
      <c r="P97" s="148">
        <f t="shared" si="13"/>
        <v>740</v>
      </c>
      <c r="Q97" s="126">
        <v>440</v>
      </c>
      <c r="R97" s="126">
        <v>300</v>
      </c>
      <c r="S97" s="148">
        <f t="shared" si="10"/>
        <v>12685</v>
      </c>
      <c r="T97" s="127">
        <v>7310</v>
      </c>
      <c r="U97" s="127">
        <v>3388</v>
      </c>
      <c r="V97" s="127">
        <v>0</v>
      </c>
      <c r="W97" s="127">
        <v>1987</v>
      </c>
    </row>
    <row r="98" spans="1:23" x14ac:dyDescent="0.2">
      <c r="A98" s="128">
        <v>84</v>
      </c>
      <c r="B98" s="834" t="s">
        <v>208</v>
      </c>
      <c r="C98" s="31" t="s">
        <v>209</v>
      </c>
      <c r="D98" s="148">
        <f t="shared" si="9"/>
        <v>74863</v>
      </c>
      <c r="E98" s="148">
        <f t="shared" si="8"/>
        <v>1816</v>
      </c>
      <c r="F98" s="126">
        <v>1816</v>
      </c>
      <c r="G98" s="126">
        <v>584</v>
      </c>
      <c r="H98" s="126">
        <v>0</v>
      </c>
      <c r="I98" s="148">
        <f t="shared" si="11"/>
        <v>17138</v>
      </c>
      <c r="J98" s="126">
        <v>17138</v>
      </c>
      <c r="K98" s="126">
        <v>2068</v>
      </c>
      <c r="L98" s="126">
        <v>1988</v>
      </c>
      <c r="M98" s="126">
        <f t="shared" si="12"/>
        <v>0</v>
      </c>
      <c r="N98" s="126">
        <v>0</v>
      </c>
      <c r="O98" s="126">
        <v>0</v>
      </c>
      <c r="P98" s="148">
        <f t="shared" si="13"/>
        <v>5990</v>
      </c>
      <c r="Q98" s="126">
        <v>3018</v>
      </c>
      <c r="R98" s="126">
        <v>2972</v>
      </c>
      <c r="S98" s="148">
        <f t="shared" si="10"/>
        <v>49919</v>
      </c>
      <c r="T98" s="127">
        <v>4781</v>
      </c>
      <c r="U98" s="127">
        <v>36354</v>
      </c>
      <c r="V98" s="127">
        <v>5213</v>
      </c>
      <c r="W98" s="127">
        <v>3571</v>
      </c>
    </row>
    <row r="99" spans="1:23" x14ac:dyDescent="0.2">
      <c r="A99" s="128">
        <v>85</v>
      </c>
      <c r="B99" s="72" t="s">
        <v>210</v>
      </c>
      <c r="C99" s="31" t="s">
        <v>211</v>
      </c>
      <c r="D99" s="148">
        <f t="shared" si="9"/>
        <v>46673</v>
      </c>
      <c r="E99" s="148">
        <f t="shared" si="8"/>
        <v>3822</v>
      </c>
      <c r="F99" s="126">
        <v>708</v>
      </c>
      <c r="G99" s="126">
        <v>15</v>
      </c>
      <c r="H99" s="126">
        <v>3114</v>
      </c>
      <c r="I99" s="148">
        <f t="shared" si="11"/>
        <v>6725</v>
      </c>
      <c r="J99" s="126">
        <v>6685</v>
      </c>
      <c r="K99" s="126">
        <v>223</v>
      </c>
      <c r="L99" s="126">
        <v>775</v>
      </c>
      <c r="M99" s="126">
        <f t="shared" si="12"/>
        <v>40</v>
      </c>
      <c r="N99" s="126">
        <v>0</v>
      </c>
      <c r="O99" s="126">
        <v>40</v>
      </c>
      <c r="P99" s="148">
        <f t="shared" si="13"/>
        <v>1912</v>
      </c>
      <c r="Q99" s="126">
        <v>835</v>
      </c>
      <c r="R99" s="126">
        <v>1077</v>
      </c>
      <c r="S99" s="148">
        <f t="shared" si="10"/>
        <v>34214</v>
      </c>
      <c r="T99" s="127">
        <v>7522</v>
      </c>
      <c r="U99" s="127">
        <v>19225</v>
      </c>
      <c r="V99" s="127">
        <v>870</v>
      </c>
      <c r="W99" s="127">
        <v>6597</v>
      </c>
    </row>
    <row r="100" spans="1:23" x14ac:dyDescent="0.2">
      <c r="A100" s="128">
        <v>86</v>
      </c>
      <c r="B100" s="834" t="s">
        <v>212</v>
      </c>
      <c r="C100" s="31" t="s">
        <v>213</v>
      </c>
      <c r="D100" s="148">
        <f t="shared" si="9"/>
        <v>49371</v>
      </c>
      <c r="E100" s="148">
        <f t="shared" si="8"/>
        <v>4162</v>
      </c>
      <c r="F100" s="126">
        <v>742</v>
      </c>
      <c r="G100" s="126">
        <v>76</v>
      </c>
      <c r="H100" s="126">
        <v>3420</v>
      </c>
      <c r="I100" s="148">
        <f t="shared" si="11"/>
        <v>7020</v>
      </c>
      <c r="J100" s="126">
        <v>7001</v>
      </c>
      <c r="K100" s="126">
        <v>803</v>
      </c>
      <c r="L100" s="126">
        <v>812</v>
      </c>
      <c r="M100" s="126">
        <f t="shared" si="12"/>
        <v>19</v>
      </c>
      <c r="N100" s="126">
        <v>10</v>
      </c>
      <c r="O100" s="126">
        <v>9</v>
      </c>
      <c r="P100" s="148">
        <f t="shared" si="13"/>
        <v>2073</v>
      </c>
      <c r="Q100" s="126">
        <v>947</v>
      </c>
      <c r="R100" s="126">
        <v>1126</v>
      </c>
      <c r="S100" s="148">
        <f t="shared" si="10"/>
        <v>36116</v>
      </c>
      <c r="T100" s="127">
        <v>6992</v>
      </c>
      <c r="U100" s="127">
        <v>16869</v>
      </c>
      <c r="V100" s="127">
        <v>4167</v>
      </c>
      <c r="W100" s="127">
        <v>8088</v>
      </c>
    </row>
    <row r="101" spans="1:23" x14ac:dyDescent="0.2">
      <c r="A101" s="128">
        <v>87</v>
      </c>
      <c r="B101" s="834" t="s">
        <v>214</v>
      </c>
      <c r="C101" s="31" t="s">
        <v>215</v>
      </c>
      <c r="D101" s="148">
        <f t="shared" si="9"/>
        <v>143997</v>
      </c>
      <c r="E101" s="148">
        <f t="shared" si="8"/>
        <v>12537</v>
      </c>
      <c r="F101" s="126">
        <v>2079</v>
      </c>
      <c r="G101" s="126">
        <v>1200</v>
      </c>
      <c r="H101" s="126">
        <v>10458</v>
      </c>
      <c r="I101" s="148">
        <f t="shared" si="11"/>
        <v>19780</v>
      </c>
      <c r="J101" s="126">
        <v>19620</v>
      </c>
      <c r="K101" s="126">
        <v>2642</v>
      </c>
      <c r="L101" s="126">
        <v>2275</v>
      </c>
      <c r="M101" s="126">
        <f t="shared" si="12"/>
        <v>160</v>
      </c>
      <c r="N101" s="126">
        <v>0</v>
      </c>
      <c r="O101" s="126">
        <v>160</v>
      </c>
      <c r="P101" s="148">
        <f t="shared" si="13"/>
        <v>6821</v>
      </c>
      <c r="Q101" s="126">
        <v>3362</v>
      </c>
      <c r="R101" s="126">
        <v>3459</v>
      </c>
      <c r="S101" s="148">
        <f t="shared" si="10"/>
        <v>104859</v>
      </c>
      <c r="T101" s="127">
        <v>22053</v>
      </c>
      <c r="U101" s="127">
        <v>43210</v>
      </c>
      <c r="V101" s="127">
        <v>9980</v>
      </c>
      <c r="W101" s="127">
        <v>29616</v>
      </c>
    </row>
    <row r="102" spans="1:23" x14ac:dyDescent="0.2">
      <c r="A102" s="128">
        <v>88</v>
      </c>
      <c r="B102" s="72" t="s">
        <v>216</v>
      </c>
      <c r="C102" s="31" t="s">
        <v>217</v>
      </c>
      <c r="D102" s="148">
        <f t="shared" si="9"/>
        <v>58997</v>
      </c>
      <c r="E102" s="148">
        <f t="shared" si="8"/>
        <v>4739</v>
      </c>
      <c r="F102" s="126">
        <v>876</v>
      </c>
      <c r="G102" s="126">
        <v>147</v>
      </c>
      <c r="H102" s="126">
        <v>3863</v>
      </c>
      <c r="I102" s="148">
        <f t="shared" si="11"/>
        <v>8299</v>
      </c>
      <c r="J102" s="126">
        <v>8263</v>
      </c>
      <c r="K102" s="126">
        <v>720</v>
      </c>
      <c r="L102" s="126">
        <v>958</v>
      </c>
      <c r="M102" s="126">
        <f t="shared" si="12"/>
        <v>36</v>
      </c>
      <c r="N102" s="126">
        <v>0</v>
      </c>
      <c r="O102" s="126">
        <v>36</v>
      </c>
      <c r="P102" s="148">
        <f t="shared" si="13"/>
        <v>2313</v>
      </c>
      <c r="Q102" s="126">
        <v>1063</v>
      </c>
      <c r="R102" s="126">
        <v>1250</v>
      </c>
      <c r="S102" s="148">
        <f t="shared" si="10"/>
        <v>43646</v>
      </c>
      <c r="T102" s="127">
        <v>10541</v>
      </c>
      <c r="U102" s="127">
        <v>16566</v>
      </c>
      <c r="V102" s="127">
        <v>8183</v>
      </c>
      <c r="W102" s="127">
        <v>8356</v>
      </c>
    </row>
    <row r="103" spans="1:23" x14ac:dyDescent="0.2">
      <c r="A103" s="128">
        <v>89</v>
      </c>
      <c r="B103" s="71" t="s">
        <v>218</v>
      </c>
      <c r="C103" s="31" t="s">
        <v>219</v>
      </c>
      <c r="D103" s="148">
        <f t="shared" si="9"/>
        <v>188812</v>
      </c>
      <c r="E103" s="148">
        <f t="shared" si="8"/>
        <v>19119</v>
      </c>
      <c r="F103" s="126">
        <v>2546</v>
      </c>
      <c r="G103" s="126">
        <v>533</v>
      </c>
      <c r="H103" s="126">
        <v>16573</v>
      </c>
      <c r="I103" s="148">
        <f t="shared" si="11"/>
        <v>24224</v>
      </c>
      <c r="J103" s="126">
        <v>24024</v>
      </c>
      <c r="K103" s="126">
        <v>2024</v>
      </c>
      <c r="L103" s="126">
        <v>2786</v>
      </c>
      <c r="M103" s="126">
        <f t="shared" si="12"/>
        <v>200</v>
      </c>
      <c r="N103" s="126">
        <v>50</v>
      </c>
      <c r="O103" s="126">
        <v>150</v>
      </c>
      <c r="P103" s="148">
        <f t="shared" si="13"/>
        <v>8650</v>
      </c>
      <c r="Q103" s="126">
        <v>4232</v>
      </c>
      <c r="R103" s="126">
        <v>4418</v>
      </c>
      <c r="S103" s="148">
        <f t="shared" si="10"/>
        <v>136819</v>
      </c>
      <c r="T103" s="127">
        <v>23082</v>
      </c>
      <c r="U103" s="127">
        <v>46914</v>
      </c>
      <c r="V103" s="127">
        <v>26781</v>
      </c>
      <c r="W103" s="127">
        <v>40042</v>
      </c>
    </row>
    <row r="104" spans="1:23" x14ac:dyDescent="0.2">
      <c r="A104" s="128">
        <v>90</v>
      </c>
      <c r="B104" s="71" t="s">
        <v>220</v>
      </c>
      <c r="C104" s="31" t="s">
        <v>221</v>
      </c>
      <c r="D104" s="148">
        <f t="shared" si="9"/>
        <v>134023</v>
      </c>
      <c r="E104" s="148">
        <f t="shared" si="8"/>
        <v>11403</v>
      </c>
      <c r="F104" s="126">
        <v>1961</v>
      </c>
      <c r="G104" s="126">
        <v>62</v>
      </c>
      <c r="H104" s="126">
        <v>9442</v>
      </c>
      <c r="I104" s="148">
        <f t="shared" si="11"/>
        <v>18610</v>
      </c>
      <c r="J104" s="126">
        <v>18508</v>
      </c>
      <c r="K104" s="126">
        <v>463</v>
      </c>
      <c r="L104" s="126">
        <v>2146</v>
      </c>
      <c r="M104" s="126">
        <f t="shared" si="12"/>
        <v>102</v>
      </c>
      <c r="N104" s="126">
        <v>0</v>
      </c>
      <c r="O104" s="126">
        <v>102</v>
      </c>
      <c r="P104" s="148">
        <f t="shared" si="13"/>
        <v>5703</v>
      </c>
      <c r="Q104" s="126">
        <v>2706</v>
      </c>
      <c r="R104" s="126">
        <v>2997</v>
      </c>
      <c r="S104" s="148">
        <f t="shared" si="10"/>
        <v>98307</v>
      </c>
      <c r="T104" s="127">
        <v>23011</v>
      </c>
      <c r="U104" s="127">
        <v>46931</v>
      </c>
      <c r="V104" s="127">
        <v>5060</v>
      </c>
      <c r="W104" s="127">
        <v>23305</v>
      </c>
    </row>
    <row r="105" spans="1:23" x14ac:dyDescent="0.2">
      <c r="A105" s="128">
        <v>91</v>
      </c>
      <c r="B105" s="834" t="s">
        <v>222</v>
      </c>
      <c r="C105" s="31" t="s">
        <v>223</v>
      </c>
      <c r="D105" s="148">
        <f t="shared" si="9"/>
        <v>44961</v>
      </c>
      <c r="E105" s="148">
        <f t="shared" si="8"/>
        <v>3776</v>
      </c>
      <c r="F105" s="126">
        <v>672</v>
      </c>
      <c r="G105" s="126">
        <v>135</v>
      </c>
      <c r="H105" s="126">
        <v>3104</v>
      </c>
      <c r="I105" s="148">
        <f t="shared" si="11"/>
        <v>6411</v>
      </c>
      <c r="J105" s="126">
        <v>6339</v>
      </c>
      <c r="K105" s="126">
        <v>775</v>
      </c>
      <c r="L105" s="126">
        <v>735</v>
      </c>
      <c r="M105" s="126">
        <f t="shared" si="12"/>
        <v>72</v>
      </c>
      <c r="N105" s="126">
        <v>14</v>
      </c>
      <c r="O105" s="126">
        <v>58</v>
      </c>
      <c r="P105" s="148">
        <f t="shared" si="13"/>
        <v>1837</v>
      </c>
      <c r="Q105" s="126">
        <v>829</v>
      </c>
      <c r="R105" s="126">
        <v>1008</v>
      </c>
      <c r="S105" s="148">
        <f t="shared" si="10"/>
        <v>32937</v>
      </c>
      <c r="T105" s="127">
        <v>7914</v>
      </c>
      <c r="U105" s="127">
        <v>15980</v>
      </c>
      <c r="V105" s="127">
        <v>3488</v>
      </c>
      <c r="W105" s="127">
        <v>5555</v>
      </c>
    </row>
    <row r="106" spans="1:23" x14ac:dyDescent="0.2">
      <c r="A106" s="128">
        <v>92</v>
      </c>
      <c r="B106" s="71" t="s">
        <v>224</v>
      </c>
      <c r="C106" s="31" t="s">
        <v>225</v>
      </c>
      <c r="D106" s="148">
        <f t="shared" si="9"/>
        <v>70436</v>
      </c>
      <c r="E106" s="148">
        <f t="shared" si="8"/>
        <v>5994</v>
      </c>
      <c r="F106" s="126">
        <v>1053</v>
      </c>
      <c r="G106" s="126">
        <v>220</v>
      </c>
      <c r="H106" s="126">
        <v>4941</v>
      </c>
      <c r="I106" s="148">
        <f t="shared" si="11"/>
        <v>9987</v>
      </c>
      <c r="J106" s="126">
        <v>9939</v>
      </c>
      <c r="K106" s="126">
        <v>605</v>
      </c>
      <c r="L106" s="126">
        <v>1153</v>
      </c>
      <c r="M106" s="126">
        <f t="shared" si="12"/>
        <v>48</v>
      </c>
      <c r="N106" s="126">
        <v>0</v>
      </c>
      <c r="O106" s="126">
        <v>48</v>
      </c>
      <c r="P106" s="148">
        <f t="shared" si="13"/>
        <v>2734</v>
      </c>
      <c r="Q106" s="126">
        <v>1332</v>
      </c>
      <c r="R106" s="126">
        <v>1402</v>
      </c>
      <c r="S106" s="148">
        <f t="shared" si="10"/>
        <v>51721</v>
      </c>
      <c r="T106" s="127">
        <v>20460</v>
      </c>
      <c r="U106" s="127">
        <v>16383</v>
      </c>
      <c r="V106" s="127">
        <v>4285</v>
      </c>
      <c r="W106" s="127">
        <v>10593</v>
      </c>
    </row>
    <row r="107" spans="1:23" x14ac:dyDescent="0.2">
      <c r="A107" s="128">
        <v>93</v>
      </c>
      <c r="B107" s="71" t="s">
        <v>226</v>
      </c>
      <c r="C107" s="31" t="s">
        <v>227</v>
      </c>
      <c r="D107" s="148">
        <f t="shared" si="9"/>
        <v>67525</v>
      </c>
      <c r="E107" s="148">
        <f t="shared" si="8"/>
        <v>5856</v>
      </c>
      <c r="F107" s="126">
        <v>995</v>
      </c>
      <c r="G107" s="126">
        <v>138</v>
      </c>
      <c r="H107" s="126">
        <v>4861</v>
      </c>
      <c r="I107" s="148">
        <f t="shared" si="11"/>
        <v>9451</v>
      </c>
      <c r="J107" s="126">
        <v>9386</v>
      </c>
      <c r="K107" s="126">
        <v>250</v>
      </c>
      <c r="L107" s="126">
        <v>1089</v>
      </c>
      <c r="M107" s="126">
        <f t="shared" si="12"/>
        <v>65</v>
      </c>
      <c r="N107" s="126">
        <v>30</v>
      </c>
      <c r="O107" s="126">
        <v>35</v>
      </c>
      <c r="P107" s="148">
        <f t="shared" si="13"/>
        <v>2789</v>
      </c>
      <c r="Q107" s="126">
        <v>1300</v>
      </c>
      <c r="R107" s="126">
        <v>1489</v>
      </c>
      <c r="S107" s="148">
        <f t="shared" si="10"/>
        <v>49429</v>
      </c>
      <c r="T107" s="127">
        <v>10903</v>
      </c>
      <c r="U107" s="127">
        <v>19980</v>
      </c>
      <c r="V107" s="127">
        <v>9717</v>
      </c>
      <c r="W107" s="127">
        <v>8829</v>
      </c>
    </row>
    <row r="108" spans="1:23" x14ac:dyDescent="0.2">
      <c r="A108" s="128">
        <v>94</v>
      </c>
      <c r="B108" s="72" t="s">
        <v>32</v>
      </c>
      <c r="C108" s="31" t="s">
        <v>33</v>
      </c>
      <c r="D108" s="148">
        <f t="shared" si="9"/>
        <v>87290</v>
      </c>
      <c r="E108" s="148">
        <f t="shared" si="8"/>
        <v>7627</v>
      </c>
      <c r="F108" s="126">
        <v>1204</v>
      </c>
      <c r="G108" s="126">
        <v>590</v>
      </c>
      <c r="H108" s="126">
        <v>6423</v>
      </c>
      <c r="I108" s="148">
        <f t="shared" si="11"/>
        <v>11429</v>
      </c>
      <c r="J108" s="126">
        <v>11364</v>
      </c>
      <c r="K108" s="126">
        <v>1137</v>
      </c>
      <c r="L108" s="126">
        <v>1318</v>
      </c>
      <c r="M108" s="126">
        <f t="shared" si="12"/>
        <v>65</v>
      </c>
      <c r="N108" s="126">
        <v>2</v>
      </c>
      <c r="O108" s="126">
        <v>63</v>
      </c>
      <c r="P108" s="148">
        <f t="shared" si="13"/>
        <v>3637</v>
      </c>
      <c r="Q108" s="126">
        <v>1814</v>
      </c>
      <c r="R108" s="126">
        <v>1823</v>
      </c>
      <c r="S108" s="148">
        <f t="shared" si="10"/>
        <v>64597</v>
      </c>
      <c r="T108" s="127">
        <v>7595</v>
      </c>
      <c r="U108" s="127">
        <v>26998</v>
      </c>
      <c r="V108" s="127">
        <v>9087</v>
      </c>
      <c r="W108" s="127">
        <v>20917</v>
      </c>
    </row>
    <row r="109" spans="1:23" x14ac:dyDescent="0.2">
      <c r="A109" s="128">
        <v>95</v>
      </c>
      <c r="B109" s="834" t="s">
        <v>228</v>
      </c>
      <c r="C109" s="31" t="s">
        <v>229</v>
      </c>
      <c r="D109" s="148">
        <f t="shared" si="9"/>
        <v>52164</v>
      </c>
      <c r="E109" s="148">
        <f t="shared" si="8"/>
        <v>4433</v>
      </c>
      <c r="F109" s="126">
        <v>771</v>
      </c>
      <c r="G109" s="126">
        <v>538</v>
      </c>
      <c r="H109" s="126">
        <v>3662</v>
      </c>
      <c r="I109" s="148">
        <f t="shared" si="11"/>
        <v>7340</v>
      </c>
      <c r="J109" s="126">
        <v>7278</v>
      </c>
      <c r="K109" s="126">
        <v>1532</v>
      </c>
      <c r="L109" s="126">
        <v>844</v>
      </c>
      <c r="M109" s="126">
        <f t="shared" si="12"/>
        <v>62</v>
      </c>
      <c r="N109" s="126">
        <v>0</v>
      </c>
      <c r="O109" s="126">
        <v>62</v>
      </c>
      <c r="P109" s="148">
        <f t="shared" si="13"/>
        <v>2110</v>
      </c>
      <c r="Q109" s="126">
        <v>967</v>
      </c>
      <c r="R109" s="126">
        <v>1143</v>
      </c>
      <c r="S109" s="148">
        <f t="shared" si="10"/>
        <v>38281</v>
      </c>
      <c r="T109" s="127">
        <v>6725</v>
      </c>
      <c r="U109" s="127">
        <v>13355</v>
      </c>
      <c r="V109" s="127">
        <v>7119</v>
      </c>
      <c r="W109" s="127">
        <v>11082</v>
      </c>
    </row>
    <row r="110" spans="1:23" x14ac:dyDescent="0.2">
      <c r="A110" s="128">
        <v>96</v>
      </c>
      <c r="B110" s="71" t="s">
        <v>230</v>
      </c>
      <c r="C110" s="31" t="s">
        <v>231</v>
      </c>
      <c r="D110" s="148">
        <f t="shared" si="9"/>
        <v>134906</v>
      </c>
      <c r="E110" s="148">
        <f t="shared" si="8"/>
        <v>11052</v>
      </c>
      <c r="F110" s="126">
        <v>2040</v>
      </c>
      <c r="G110" s="126">
        <v>630</v>
      </c>
      <c r="H110" s="126">
        <v>9012</v>
      </c>
      <c r="I110" s="148">
        <f t="shared" si="11"/>
        <v>19313</v>
      </c>
      <c r="J110" s="126">
        <v>19247</v>
      </c>
      <c r="K110" s="126">
        <v>1895</v>
      </c>
      <c r="L110" s="126">
        <v>2232</v>
      </c>
      <c r="M110" s="126">
        <f t="shared" si="12"/>
        <v>66</v>
      </c>
      <c r="N110" s="126">
        <v>6</v>
      </c>
      <c r="O110" s="126">
        <v>60</v>
      </c>
      <c r="P110" s="148">
        <f t="shared" si="13"/>
        <v>5792</v>
      </c>
      <c r="Q110" s="126">
        <v>2771</v>
      </c>
      <c r="R110" s="126">
        <v>3021</v>
      </c>
      <c r="S110" s="148">
        <f t="shared" si="10"/>
        <v>98749</v>
      </c>
      <c r="T110" s="127">
        <v>23450</v>
      </c>
      <c r="U110" s="127">
        <v>38696</v>
      </c>
      <c r="V110" s="127">
        <v>11963</v>
      </c>
      <c r="W110" s="127">
        <v>24640</v>
      </c>
    </row>
    <row r="111" spans="1:23" x14ac:dyDescent="0.2">
      <c r="A111" s="128">
        <v>97</v>
      </c>
      <c r="B111" s="71" t="s">
        <v>232</v>
      </c>
      <c r="C111" s="31" t="s">
        <v>233</v>
      </c>
      <c r="D111" s="148">
        <f t="shared" si="9"/>
        <v>9320</v>
      </c>
      <c r="E111" s="148">
        <f t="shared" si="8"/>
        <v>0</v>
      </c>
      <c r="F111" s="126">
        <v>0</v>
      </c>
      <c r="G111" s="126">
        <v>0</v>
      </c>
      <c r="H111" s="126">
        <v>0</v>
      </c>
      <c r="I111" s="148">
        <f t="shared" si="11"/>
        <v>0</v>
      </c>
      <c r="J111" s="126">
        <v>0</v>
      </c>
      <c r="K111" s="126">
        <v>0</v>
      </c>
      <c r="L111" s="126">
        <v>0</v>
      </c>
      <c r="M111" s="126">
        <f t="shared" si="12"/>
        <v>0</v>
      </c>
      <c r="N111" s="126">
        <v>0</v>
      </c>
      <c r="O111" s="126">
        <v>0</v>
      </c>
      <c r="P111" s="148">
        <f t="shared" si="13"/>
        <v>0</v>
      </c>
      <c r="Q111" s="126">
        <v>0</v>
      </c>
      <c r="R111" s="126">
        <v>0</v>
      </c>
      <c r="S111" s="148">
        <f t="shared" si="10"/>
        <v>9320</v>
      </c>
      <c r="T111" s="127">
        <v>932</v>
      </c>
      <c r="U111" s="127">
        <v>8388</v>
      </c>
      <c r="V111" s="127">
        <v>0</v>
      </c>
      <c r="W111" s="127">
        <v>0</v>
      </c>
    </row>
    <row r="112" spans="1:23" x14ac:dyDescent="0.2">
      <c r="A112" s="128">
        <v>98</v>
      </c>
      <c r="B112" s="71" t="s">
        <v>234</v>
      </c>
      <c r="C112" s="31" t="s">
        <v>235</v>
      </c>
      <c r="D112" s="148">
        <f t="shared" si="9"/>
        <v>0</v>
      </c>
      <c r="E112" s="148">
        <f t="shared" si="8"/>
        <v>0</v>
      </c>
      <c r="F112" s="126">
        <v>0</v>
      </c>
      <c r="G112" s="126">
        <v>0</v>
      </c>
      <c r="H112" s="126">
        <v>0</v>
      </c>
      <c r="I112" s="148">
        <f t="shared" si="11"/>
        <v>0</v>
      </c>
      <c r="J112" s="126">
        <v>0</v>
      </c>
      <c r="K112" s="126">
        <v>0</v>
      </c>
      <c r="L112" s="126">
        <v>0</v>
      </c>
      <c r="M112" s="126">
        <f t="shared" si="12"/>
        <v>0</v>
      </c>
      <c r="N112" s="126">
        <v>0</v>
      </c>
      <c r="O112" s="126">
        <v>0</v>
      </c>
      <c r="P112" s="148">
        <f t="shared" si="13"/>
        <v>0</v>
      </c>
      <c r="Q112" s="126">
        <v>0</v>
      </c>
      <c r="R112" s="126">
        <v>0</v>
      </c>
      <c r="S112" s="148">
        <f t="shared" si="10"/>
        <v>0</v>
      </c>
      <c r="T112" s="127">
        <v>0</v>
      </c>
      <c r="U112" s="127">
        <v>0</v>
      </c>
      <c r="V112" s="127">
        <v>0</v>
      </c>
      <c r="W112" s="127">
        <v>0</v>
      </c>
    </row>
    <row r="113" spans="1:23" x14ac:dyDescent="0.2">
      <c r="A113" s="128">
        <v>99</v>
      </c>
      <c r="B113" s="834" t="s">
        <v>236</v>
      </c>
      <c r="C113" s="31" t="s">
        <v>237</v>
      </c>
      <c r="D113" s="148">
        <f t="shared" si="9"/>
        <v>0</v>
      </c>
      <c r="E113" s="148">
        <f t="shared" si="8"/>
        <v>0</v>
      </c>
      <c r="F113" s="126">
        <v>0</v>
      </c>
      <c r="G113" s="126">
        <v>0</v>
      </c>
      <c r="H113" s="126">
        <v>0</v>
      </c>
      <c r="I113" s="148">
        <f t="shared" si="11"/>
        <v>0</v>
      </c>
      <c r="J113" s="126">
        <v>0</v>
      </c>
      <c r="K113" s="126">
        <v>0</v>
      </c>
      <c r="L113" s="126">
        <v>0</v>
      </c>
      <c r="M113" s="126">
        <f t="shared" si="12"/>
        <v>0</v>
      </c>
      <c r="N113" s="126">
        <v>0</v>
      </c>
      <c r="O113" s="126">
        <v>0</v>
      </c>
      <c r="P113" s="148">
        <f t="shared" si="13"/>
        <v>0</v>
      </c>
      <c r="Q113" s="126">
        <v>0</v>
      </c>
      <c r="R113" s="126">
        <v>0</v>
      </c>
      <c r="S113" s="148">
        <f t="shared" si="10"/>
        <v>0</v>
      </c>
      <c r="T113" s="127">
        <v>0</v>
      </c>
      <c r="U113" s="127">
        <v>0</v>
      </c>
      <c r="V113" s="127">
        <v>0</v>
      </c>
      <c r="W113" s="127">
        <v>0</v>
      </c>
    </row>
    <row r="114" spans="1:23" x14ac:dyDescent="0.2">
      <c r="A114" s="128">
        <v>100</v>
      </c>
      <c r="B114" s="834" t="s">
        <v>238</v>
      </c>
      <c r="C114" s="31" t="s">
        <v>239</v>
      </c>
      <c r="D114" s="148">
        <f t="shared" si="9"/>
        <v>0</v>
      </c>
      <c r="E114" s="148">
        <f t="shared" si="8"/>
        <v>0</v>
      </c>
      <c r="F114" s="126">
        <v>0</v>
      </c>
      <c r="G114" s="126">
        <v>0</v>
      </c>
      <c r="H114" s="126">
        <v>0</v>
      </c>
      <c r="I114" s="148">
        <f t="shared" si="11"/>
        <v>0</v>
      </c>
      <c r="J114" s="126">
        <v>0</v>
      </c>
      <c r="K114" s="126">
        <v>0</v>
      </c>
      <c r="L114" s="126">
        <v>0</v>
      </c>
      <c r="M114" s="126">
        <f t="shared" si="12"/>
        <v>0</v>
      </c>
      <c r="N114" s="126">
        <v>0</v>
      </c>
      <c r="O114" s="126">
        <v>0</v>
      </c>
      <c r="P114" s="148">
        <f t="shared" si="13"/>
        <v>0</v>
      </c>
      <c r="Q114" s="126">
        <v>0</v>
      </c>
      <c r="R114" s="126">
        <v>0</v>
      </c>
      <c r="S114" s="148">
        <f t="shared" si="10"/>
        <v>0</v>
      </c>
      <c r="T114" s="127">
        <v>0</v>
      </c>
      <c r="U114" s="127">
        <v>0</v>
      </c>
      <c r="V114" s="127">
        <v>0</v>
      </c>
      <c r="W114" s="127">
        <v>0</v>
      </c>
    </row>
    <row r="115" spans="1:23" x14ac:dyDescent="0.2">
      <c r="A115" s="128">
        <v>101</v>
      </c>
      <c r="B115" s="834" t="s">
        <v>240</v>
      </c>
      <c r="C115" s="31" t="s">
        <v>241</v>
      </c>
      <c r="D115" s="148">
        <f t="shared" si="9"/>
        <v>0</v>
      </c>
      <c r="E115" s="148">
        <f t="shared" si="8"/>
        <v>0</v>
      </c>
      <c r="F115" s="126">
        <v>0</v>
      </c>
      <c r="G115" s="126">
        <v>0</v>
      </c>
      <c r="H115" s="126">
        <v>0</v>
      </c>
      <c r="I115" s="148">
        <f t="shared" si="11"/>
        <v>0</v>
      </c>
      <c r="J115" s="126">
        <v>0</v>
      </c>
      <c r="K115" s="126">
        <v>0</v>
      </c>
      <c r="L115" s="126">
        <v>0</v>
      </c>
      <c r="M115" s="126">
        <f t="shared" si="12"/>
        <v>0</v>
      </c>
      <c r="N115" s="126">
        <v>0</v>
      </c>
      <c r="O115" s="126">
        <v>0</v>
      </c>
      <c r="P115" s="148">
        <f t="shared" si="13"/>
        <v>0</v>
      </c>
      <c r="Q115" s="126">
        <v>0</v>
      </c>
      <c r="R115" s="126">
        <v>0</v>
      </c>
      <c r="S115" s="148">
        <f t="shared" si="10"/>
        <v>0</v>
      </c>
      <c r="T115" s="127">
        <v>0</v>
      </c>
      <c r="U115" s="127">
        <v>0</v>
      </c>
      <c r="V115" s="127">
        <v>0</v>
      </c>
      <c r="W115" s="127">
        <v>0</v>
      </c>
    </row>
    <row r="116" spans="1:23" x14ac:dyDescent="0.2">
      <c r="A116" s="128">
        <v>102</v>
      </c>
      <c r="B116" s="834" t="s">
        <v>242</v>
      </c>
      <c r="C116" s="31" t="s">
        <v>243</v>
      </c>
      <c r="D116" s="148">
        <f t="shared" si="9"/>
        <v>0</v>
      </c>
      <c r="E116" s="148">
        <f t="shared" si="8"/>
        <v>0</v>
      </c>
      <c r="F116" s="126">
        <v>0</v>
      </c>
      <c r="G116" s="126">
        <v>0</v>
      </c>
      <c r="H116" s="126">
        <v>0</v>
      </c>
      <c r="I116" s="148">
        <f t="shared" si="11"/>
        <v>0</v>
      </c>
      <c r="J116" s="126">
        <v>0</v>
      </c>
      <c r="K116" s="126">
        <v>0</v>
      </c>
      <c r="L116" s="126">
        <v>0</v>
      </c>
      <c r="M116" s="126">
        <f t="shared" si="12"/>
        <v>0</v>
      </c>
      <c r="N116" s="126">
        <v>0</v>
      </c>
      <c r="O116" s="126">
        <v>0</v>
      </c>
      <c r="P116" s="148">
        <f t="shared" si="13"/>
        <v>0</v>
      </c>
      <c r="Q116" s="126">
        <v>0</v>
      </c>
      <c r="R116" s="126">
        <v>0</v>
      </c>
      <c r="S116" s="148">
        <f t="shared" si="10"/>
        <v>0</v>
      </c>
      <c r="T116" s="127">
        <v>0</v>
      </c>
      <c r="U116" s="127">
        <v>0</v>
      </c>
      <c r="V116" s="127">
        <v>0</v>
      </c>
      <c r="W116" s="127">
        <v>0</v>
      </c>
    </row>
    <row r="117" spans="1:23" x14ac:dyDescent="0.2">
      <c r="A117" s="128">
        <v>103</v>
      </c>
      <c r="B117" s="834" t="s">
        <v>244</v>
      </c>
      <c r="C117" s="31" t="s">
        <v>245</v>
      </c>
      <c r="D117" s="148">
        <f t="shared" si="9"/>
        <v>39400</v>
      </c>
      <c r="E117" s="148">
        <f t="shared" si="8"/>
        <v>0</v>
      </c>
      <c r="F117" s="126">
        <v>0</v>
      </c>
      <c r="G117" s="126">
        <v>0</v>
      </c>
      <c r="H117" s="126">
        <v>0</v>
      </c>
      <c r="I117" s="148">
        <f t="shared" si="11"/>
        <v>0</v>
      </c>
      <c r="J117" s="126">
        <v>0</v>
      </c>
      <c r="K117" s="126">
        <v>0</v>
      </c>
      <c r="L117" s="126">
        <v>0</v>
      </c>
      <c r="M117" s="126">
        <f t="shared" si="12"/>
        <v>0</v>
      </c>
      <c r="N117" s="126">
        <v>0</v>
      </c>
      <c r="O117" s="126">
        <v>0</v>
      </c>
      <c r="P117" s="148">
        <f t="shared" si="13"/>
        <v>0</v>
      </c>
      <c r="Q117" s="126">
        <v>0</v>
      </c>
      <c r="R117" s="126">
        <v>0</v>
      </c>
      <c r="S117" s="148">
        <f t="shared" si="10"/>
        <v>39400</v>
      </c>
      <c r="T117" s="127">
        <v>3940</v>
      </c>
      <c r="U117" s="127">
        <v>35460</v>
      </c>
      <c r="V117" s="127">
        <v>0</v>
      </c>
      <c r="W117" s="127">
        <v>0</v>
      </c>
    </row>
    <row r="118" spans="1:23" x14ac:dyDescent="0.2">
      <c r="A118" s="128">
        <v>104</v>
      </c>
      <c r="B118" s="132" t="s">
        <v>246</v>
      </c>
      <c r="C118" s="130" t="s">
        <v>247</v>
      </c>
      <c r="D118" s="148">
        <f t="shared" si="9"/>
        <v>0</v>
      </c>
      <c r="E118" s="148">
        <f t="shared" si="8"/>
        <v>0</v>
      </c>
      <c r="F118" s="126">
        <v>0</v>
      </c>
      <c r="G118" s="126">
        <v>0</v>
      </c>
      <c r="H118" s="126">
        <v>0</v>
      </c>
      <c r="I118" s="148">
        <f t="shared" si="11"/>
        <v>0</v>
      </c>
      <c r="J118" s="126">
        <v>0</v>
      </c>
      <c r="K118" s="126">
        <v>0</v>
      </c>
      <c r="L118" s="126">
        <v>0</v>
      </c>
      <c r="M118" s="126">
        <f t="shared" si="12"/>
        <v>0</v>
      </c>
      <c r="N118" s="126">
        <v>0</v>
      </c>
      <c r="O118" s="126">
        <v>0</v>
      </c>
      <c r="P118" s="148">
        <f t="shared" si="13"/>
        <v>0</v>
      </c>
      <c r="Q118" s="126">
        <v>0</v>
      </c>
      <c r="R118" s="126">
        <v>0</v>
      </c>
      <c r="S118" s="148">
        <f t="shared" si="10"/>
        <v>0</v>
      </c>
      <c r="T118" s="127">
        <v>0</v>
      </c>
      <c r="U118" s="127">
        <v>0</v>
      </c>
      <c r="V118" s="127">
        <v>0</v>
      </c>
      <c r="W118" s="127">
        <v>0</v>
      </c>
    </row>
    <row r="119" spans="1:23" x14ac:dyDescent="0.2">
      <c r="A119" s="128">
        <v>105</v>
      </c>
      <c r="B119" s="72" t="s">
        <v>248</v>
      </c>
      <c r="C119" s="31" t="s">
        <v>249</v>
      </c>
      <c r="D119" s="148">
        <f t="shared" si="9"/>
        <v>0</v>
      </c>
      <c r="E119" s="148">
        <f t="shared" si="8"/>
        <v>0</v>
      </c>
      <c r="F119" s="126">
        <v>0</v>
      </c>
      <c r="G119" s="126">
        <v>0</v>
      </c>
      <c r="H119" s="126">
        <v>0</v>
      </c>
      <c r="I119" s="148">
        <f t="shared" si="11"/>
        <v>0</v>
      </c>
      <c r="J119" s="126">
        <v>0</v>
      </c>
      <c r="K119" s="126">
        <v>0</v>
      </c>
      <c r="L119" s="126">
        <v>0</v>
      </c>
      <c r="M119" s="126">
        <f t="shared" si="12"/>
        <v>0</v>
      </c>
      <c r="N119" s="126">
        <v>0</v>
      </c>
      <c r="O119" s="126">
        <v>0</v>
      </c>
      <c r="P119" s="148">
        <f t="shared" si="13"/>
        <v>0</v>
      </c>
      <c r="Q119" s="126">
        <v>0</v>
      </c>
      <c r="R119" s="126">
        <v>0</v>
      </c>
      <c r="S119" s="148">
        <f t="shared" si="10"/>
        <v>0</v>
      </c>
      <c r="T119" s="127">
        <v>0</v>
      </c>
      <c r="U119" s="127">
        <v>0</v>
      </c>
      <c r="V119" s="127">
        <v>0</v>
      </c>
      <c r="W119" s="127">
        <v>0</v>
      </c>
    </row>
    <row r="120" spans="1:23" x14ac:dyDescent="0.2">
      <c r="A120" s="128">
        <v>106</v>
      </c>
      <c r="B120" s="834" t="s">
        <v>250</v>
      </c>
      <c r="C120" s="31" t="s">
        <v>251</v>
      </c>
      <c r="D120" s="148">
        <f t="shared" si="9"/>
        <v>0</v>
      </c>
      <c r="E120" s="148">
        <f t="shared" si="8"/>
        <v>0</v>
      </c>
      <c r="F120" s="126">
        <v>0</v>
      </c>
      <c r="G120" s="126">
        <v>0</v>
      </c>
      <c r="H120" s="126">
        <v>0</v>
      </c>
      <c r="I120" s="148">
        <f t="shared" si="11"/>
        <v>0</v>
      </c>
      <c r="J120" s="126">
        <v>0</v>
      </c>
      <c r="K120" s="126">
        <v>0</v>
      </c>
      <c r="L120" s="126">
        <v>0</v>
      </c>
      <c r="M120" s="126">
        <f t="shared" si="12"/>
        <v>0</v>
      </c>
      <c r="N120" s="126">
        <v>0</v>
      </c>
      <c r="O120" s="126">
        <v>0</v>
      </c>
      <c r="P120" s="148">
        <f t="shared" si="13"/>
        <v>0</v>
      </c>
      <c r="Q120" s="126">
        <v>0</v>
      </c>
      <c r="R120" s="126">
        <v>0</v>
      </c>
      <c r="S120" s="148">
        <f t="shared" si="10"/>
        <v>0</v>
      </c>
      <c r="T120" s="127">
        <v>0</v>
      </c>
      <c r="U120" s="127">
        <v>0</v>
      </c>
      <c r="V120" s="127">
        <v>0</v>
      </c>
      <c r="W120" s="127">
        <v>0</v>
      </c>
    </row>
    <row r="121" spans="1:23" x14ac:dyDescent="0.2">
      <c r="A121" s="128">
        <v>107</v>
      </c>
      <c r="B121" s="71" t="s">
        <v>252</v>
      </c>
      <c r="C121" s="133" t="s">
        <v>253</v>
      </c>
      <c r="D121" s="148">
        <f t="shared" si="9"/>
        <v>0</v>
      </c>
      <c r="E121" s="148">
        <f t="shared" si="8"/>
        <v>0</v>
      </c>
      <c r="F121" s="126">
        <v>0</v>
      </c>
      <c r="G121" s="126">
        <v>0</v>
      </c>
      <c r="H121" s="126">
        <v>0</v>
      </c>
      <c r="I121" s="148">
        <f t="shared" si="11"/>
        <v>0</v>
      </c>
      <c r="J121" s="126">
        <v>0</v>
      </c>
      <c r="K121" s="126">
        <v>0</v>
      </c>
      <c r="L121" s="126">
        <v>0</v>
      </c>
      <c r="M121" s="126">
        <f t="shared" si="12"/>
        <v>0</v>
      </c>
      <c r="N121" s="126">
        <v>0</v>
      </c>
      <c r="O121" s="126">
        <v>0</v>
      </c>
      <c r="P121" s="148">
        <f t="shared" si="13"/>
        <v>0</v>
      </c>
      <c r="Q121" s="126">
        <v>0</v>
      </c>
      <c r="R121" s="126">
        <v>0</v>
      </c>
      <c r="S121" s="148">
        <f t="shared" si="10"/>
        <v>0</v>
      </c>
      <c r="T121" s="127">
        <v>0</v>
      </c>
      <c r="U121" s="127">
        <v>0</v>
      </c>
      <c r="V121" s="127">
        <v>0</v>
      </c>
      <c r="W121" s="127">
        <v>0</v>
      </c>
    </row>
    <row r="122" spans="1:23" x14ac:dyDescent="0.2">
      <c r="A122" s="128">
        <v>108</v>
      </c>
      <c r="B122" s="834" t="s">
        <v>254</v>
      </c>
      <c r="C122" s="31" t="s">
        <v>255</v>
      </c>
      <c r="D122" s="148">
        <f t="shared" si="9"/>
        <v>0</v>
      </c>
      <c r="E122" s="148">
        <f t="shared" si="8"/>
        <v>0</v>
      </c>
      <c r="F122" s="126">
        <v>0</v>
      </c>
      <c r="G122" s="126">
        <v>0</v>
      </c>
      <c r="H122" s="126">
        <v>0</v>
      </c>
      <c r="I122" s="148">
        <f t="shared" si="11"/>
        <v>0</v>
      </c>
      <c r="J122" s="126">
        <v>0</v>
      </c>
      <c r="K122" s="126">
        <v>0</v>
      </c>
      <c r="L122" s="126">
        <v>0</v>
      </c>
      <c r="M122" s="126">
        <f t="shared" si="12"/>
        <v>0</v>
      </c>
      <c r="N122" s="126">
        <v>0</v>
      </c>
      <c r="O122" s="126">
        <v>0</v>
      </c>
      <c r="P122" s="148">
        <f t="shared" si="13"/>
        <v>0</v>
      </c>
      <c r="Q122" s="126">
        <v>0</v>
      </c>
      <c r="R122" s="126">
        <v>0</v>
      </c>
      <c r="S122" s="148">
        <f t="shared" si="10"/>
        <v>0</v>
      </c>
      <c r="T122" s="127">
        <v>0</v>
      </c>
      <c r="U122" s="127">
        <v>0</v>
      </c>
      <c r="V122" s="127">
        <v>0</v>
      </c>
      <c r="W122" s="127">
        <v>0</v>
      </c>
    </row>
    <row r="123" spans="1:23" x14ac:dyDescent="0.2">
      <c r="A123" s="128">
        <v>109</v>
      </c>
      <c r="B123" s="72" t="s">
        <v>256</v>
      </c>
      <c r="C123" s="31" t="s">
        <v>257</v>
      </c>
      <c r="D123" s="148">
        <f t="shared" si="9"/>
        <v>0</v>
      </c>
      <c r="E123" s="148">
        <f t="shared" si="8"/>
        <v>0</v>
      </c>
      <c r="F123" s="126">
        <v>0</v>
      </c>
      <c r="G123" s="126">
        <v>0</v>
      </c>
      <c r="H123" s="126">
        <v>0</v>
      </c>
      <c r="I123" s="148">
        <f t="shared" si="11"/>
        <v>0</v>
      </c>
      <c r="J123" s="126">
        <v>0</v>
      </c>
      <c r="K123" s="126">
        <v>0</v>
      </c>
      <c r="L123" s="126">
        <v>0</v>
      </c>
      <c r="M123" s="126">
        <f t="shared" si="12"/>
        <v>0</v>
      </c>
      <c r="N123" s="126">
        <v>0</v>
      </c>
      <c r="O123" s="126">
        <v>0</v>
      </c>
      <c r="P123" s="148">
        <f t="shared" si="13"/>
        <v>0</v>
      </c>
      <c r="Q123" s="126">
        <v>0</v>
      </c>
      <c r="R123" s="126">
        <v>0</v>
      </c>
      <c r="S123" s="148">
        <f t="shared" si="10"/>
        <v>0</v>
      </c>
      <c r="T123" s="127">
        <v>0</v>
      </c>
      <c r="U123" s="127">
        <v>0</v>
      </c>
      <c r="V123" s="127">
        <v>0</v>
      </c>
      <c r="W123" s="127">
        <v>0</v>
      </c>
    </row>
    <row r="124" spans="1:23" x14ac:dyDescent="0.2">
      <c r="A124" s="128">
        <v>110</v>
      </c>
      <c r="B124" s="72" t="s">
        <v>258</v>
      </c>
      <c r="C124" s="31" t="s">
        <v>259</v>
      </c>
      <c r="D124" s="148">
        <f t="shared" si="9"/>
        <v>0</v>
      </c>
      <c r="E124" s="148">
        <f t="shared" si="8"/>
        <v>0</v>
      </c>
      <c r="F124" s="126">
        <v>0</v>
      </c>
      <c r="G124" s="126">
        <v>0</v>
      </c>
      <c r="H124" s="126">
        <v>0</v>
      </c>
      <c r="I124" s="148">
        <f t="shared" si="11"/>
        <v>0</v>
      </c>
      <c r="J124" s="126">
        <v>0</v>
      </c>
      <c r="K124" s="126">
        <v>0</v>
      </c>
      <c r="L124" s="126">
        <v>0</v>
      </c>
      <c r="M124" s="126">
        <f t="shared" si="12"/>
        <v>0</v>
      </c>
      <c r="N124" s="126">
        <v>0</v>
      </c>
      <c r="O124" s="126">
        <v>0</v>
      </c>
      <c r="P124" s="148">
        <f t="shared" si="13"/>
        <v>0</v>
      </c>
      <c r="Q124" s="126">
        <v>0</v>
      </c>
      <c r="R124" s="126">
        <v>0</v>
      </c>
      <c r="S124" s="148">
        <f t="shared" si="10"/>
        <v>0</v>
      </c>
      <c r="T124" s="127">
        <v>0</v>
      </c>
      <c r="U124" s="127">
        <v>0</v>
      </c>
      <c r="V124" s="127">
        <v>0</v>
      </c>
      <c r="W124" s="127">
        <v>0</v>
      </c>
    </row>
    <row r="125" spans="1:23" x14ac:dyDescent="0.2">
      <c r="A125" s="128">
        <v>111</v>
      </c>
      <c r="B125" s="262" t="s">
        <v>551</v>
      </c>
      <c r="C125" s="261" t="s">
        <v>552</v>
      </c>
      <c r="D125" s="148">
        <f t="shared" si="9"/>
        <v>0</v>
      </c>
      <c r="E125" s="148">
        <f t="shared" si="8"/>
        <v>0</v>
      </c>
      <c r="F125" s="126">
        <v>0</v>
      </c>
      <c r="G125" s="126">
        <v>0</v>
      </c>
      <c r="H125" s="126">
        <v>0</v>
      </c>
      <c r="I125" s="148">
        <f t="shared" si="11"/>
        <v>0</v>
      </c>
      <c r="J125" s="126">
        <v>0</v>
      </c>
      <c r="K125" s="126">
        <v>0</v>
      </c>
      <c r="L125" s="126">
        <v>0</v>
      </c>
      <c r="M125" s="126">
        <f t="shared" si="12"/>
        <v>0</v>
      </c>
      <c r="N125" s="126">
        <v>0</v>
      </c>
      <c r="O125" s="126">
        <v>0</v>
      </c>
      <c r="P125" s="148">
        <f t="shared" si="13"/>
        <v>0</v>
      </c>
      <c r="Q125" s="126">
        <v>0</v>
      </c>
      <c r="R125" s="126">
        <v>0</v>
      </c>
      <c r="S125" s="148">
        <f t="shared" si="10"/>
        <v>0</v>
      </c>
      <c r="T125" s="127">
        <v>0</v>
      </c>
      <c r="U125" s="127">
        <v>0</v>
      </c>
      <c r="V125" s="127">
        <v>0</v>
      </c>
      <c r="W125" s="127">
        <v>0</v>
      </c>
    </row>
    <row r="126" spans="1:23" x14ac:dyDescent="0.2">
      <c r="A126" s="128">
        <v>112</v>
      </c>
      <c r="B126" s="72" t="s">
        <v>260</v>
      </c>
      <c r="C126" s="31" t="s">
        <v>261</v>
      </c>
      <c r="D126" s="148">
        <f t="shared" si="9"/>
        <v>0</v>
      </c>
      <c r="E126" s="148">
        <f t="shared" si="8"/>
        <v>0</v>
      </c>
      <c r="F126" s="126">
        <v>0</v>
      </c>
      <c r="G126" s="126">
        <v>0</v>
      </c>
      <c r="H126" s="126">
        <v>0</v>
      </c>
      <c r="I126" s="148">
        <f t="shared" si="11"/>
        <v>0</v>
      </c>
      <c r="J126" s="126">
        <v>0</v>
      </c>
      <c r="K126" s="126">
        <v>0</v>
      </c>
      <c r="L126" s="126">
        <v>0</v>
      </c>
      <c r="M126" s="126">
        <f t="shared" si="12"/>
        <v>0</v>
      </c>
      <c r="N126" s="126">
        <v>0</v>
      </c>
      <c r="O126" s="126">
        <v>0</v>
      </c>
      <c r="P126" s="148">
        <f t="shared" si="13"/>
        <v>0</v>
      </c>
      <c r="Q126" s="126">
        <v>0</v>
      </c>
      <c r="R126" s="126">
        <v>0</v>
      </c>
      <c r="S126" s="148">
        <f t="shared" si="10"/>
        <v>0</v>
      </c>
      <c r="T126" s="127">
        <v>0</v>
      </c>
      <c r="U126" s="127">
        <v>0</v>
      </c>
      <c r="V126" s="127">
        <v>0</v>
      </c>
      <c r="W126" s="127">
        <v>0</v>
      </c>
    </row>
    <row r="127" spans="1:23" x14ac:dyDescent="0.2">
      <c r="A127" s="128">
        <v>113</v>
      </c>
      <c r="B127" s="834" t="s">
        <v>262</v>
      </c>
      <c r="C127" s="31" t="s">
        <v>263</v>
      </c>
      <c r="D127" s="148">
        <f t="shared" si="9"/>
        <v>10800</v>
      </c>
      <c r="E127" s="148">
        <f t="shared" si="8"/>
        <v>0</v>
      </c>
      <c r="F127" s="126">
        <v>0</v>
      </c>
      <c r="G127" s="126">
        <v>0</v>
      </c>
      <c r="H127" s="126">
        <v>0</v>
      </c>
      <c r="I127" s="148">
        <f t="shared" si="11"/>
        <v>0</v>
      </c>
      <c r="J127" s="126">
        <v>0</v>
      </c>
      <c r="K127" s="126">
        <v>0</v>
      </c>
      <c r="L127" s="126">
        <v>0</v>
      </c>
      <c r="M127" s="126">
        <f t="shared" si="12"/>
        <v>0</v>
      </c>
      <c r="N127" s="126">
        <v>0</v>
      </c>
      <c r="O127" s="126">
        <v>0</v>
      </c>
      <c r="P127" s="148">
        <f t="shared" si="13"/>
        <v>0</v>
      </c>
      <c r="Q127" s="126">
        <v>0</v>
      </c>
      <c r="R127" s="126">
        <v>0</v>
      </c>
      <c r="S127" s="148">
        <f t="shared" si="10"/>
        <v>10800</v>
      </c>
      <c r="T127" s="127">
        <v>1080</v>
      </c>
      <c r="U127" s="127">
        <v>9720</v>
      </c>
      <c r="V127" s="127">
        <v>0</v>
      </c>
      <c r="W127" s="127">
        <v>0</v>
      </c>
    </row>
    <row r="128" spans="1:23" ht="24" x14ac:dyDescent="0.2">
      <c r="A128" s="128">
        <v>114</v>
      </c>
      <c r="B128" s="834" t="s">
        <v>264</v>
      </c>
      <c r="C128" s="134" t="s">
        <v>265</v>
      </c>
      <c r="D128" s="148">
        <f t="shared" si="9"/>
        <v>0</v>
      </c>
      <c r="E128" s="148">
        <f t="shared" si="8"/>
        <v>0</v>
      </c>
      <c r="F128" s="126">
        <v>0</v>
      </c>
      <c r="G128" s="126">
        <v>0</v>
      </c>
      <c r="H128" s="126">
        <v>0</v>
      </c>
      <c r="I128" s="148">
        <f t="shared" si="11"/>
        <v>0</v>
      </c>
      <c r="J128" s="126">
        <v>0</v>
      </c>
      <c r="K128" s="126">
        <v>0</v>
      </c>
      <c r="L128" s="126">
        <v>0</v>
      </c>
      <c r="M128" s="126">
        <f t="shared" si="12"/>
        <v>0</v>
      </c>
      <c r="N128" s="126">
        <v>0</v>
      </c>
      <c r="O128" s="126">
        <v>0</v>
      </c>
      <c r="P128" s="148">
        <f t="shared" si="13"/>
        <v>0</v>
      </c>
      <c r="Q128" s="126">
        <v>0</v>
      </c>
      <c r="R128" s="126">
        <v>0</v>
      </c>
      <c r="S128" s="148">
        <f t="shared" si="10"/>
        <v>0</v>
      </c>
      <c r="T128" s="127">
        <v>0</v>
      </c>
      <c r="U128" s="127">
        <v>0</v>
      </c>
      <c r="V128" s="127">
        <v>0</v>
      </c>
      <c r="W128" s="127">
        <v>0</v>
      </c>
    </row>
    <row r="129" spans="1:23" x14ac:dyDescent="0.2">
      <c r="A129" s="128">
        <v>115</v>
      </c>
      <c r="B129" s="834" t="s">
        <v>266</v>
      </c>
      <c r="C129" s="31" t="s">
        <v>267</v>
      </c>
      <c r="D129" s="148">
        <f t="shared" si="9"/>
        <v>236713</v>
      </c>
      <c r="E129" s="148">
        <f t="shared" si="8"/>
        <v>0</v>
      </c>
      <c r="F129" s="126">
        <v>0</v>
      </c>
      <c r="G129" s="126">
        <v>0</v>
      </c>
      <c r="H129" s="126">
        <v>0</v>
      </c>
      <c r="I129" s="148">
        <f t="shared" si="11"/>
        <v>0</v>
      </c>
      <c r="J129" s="126">
        <v>0</v>
      </c>
      <c r="K129" s="126">
        <v>0</v>
      </c>
      <c r="L129" s="126">
        <v>0</v>
      </c>
      <c r="M129" s="126">
        <f t="shared" si="12"/>
        <v>0</v>
      </c>
      <c r="N129" s="126">
        <v>0</v>
      </c>
      <c r="O129" s="126">
        <v>0</v>
      </c>
      <c r="P129" s="148">
        <f t="shared" si="13"/>
        <v>0</v>
      </c>
      <c r="Q129" s="126">
        <v>0</v>
      </c>
      <c r="R129" s="126">
        <v>0</v>
      </c>
      <c r="S129" s="148">
        <f t="shared" si="10"/>
        <v>236713</v>
      </c>
      <c r="T129" s="127">
        <v>0</v>
      </c>
      <c r="U129" s="127">
        <v>236713</v>
      </c>
      <c r="V129" s="127">
        <v>0</v>
      </c>
      <c r="W129" s="127">
        <v>0</v>
      </c>
    </row>
    <row r="130" spans="1:23" x14ac:dyDescent="0.2">
      <c r="A130" s="128">
        <v>116</v>
      </c>
      <c r="B130" s="834" t="s">
        <v>268</v>
      </c>
      <c r="C130" s="31" t="s">
        <v>269</v>
      </c>
      <c r="D130" s="148">
        <f t="shared" si="9"/>
        <v>151340</v>
      </c>
      <c r="E130" s="148">
        <f t="shared" si="8"/>
        <v>0</v>
      </c>
      <c r="F130" s="126">
        <v>0</v>
      </c>
      <c r="G130" s="126">
        <v>0</v>
      </c>
      <c r="H130" s="126">
        <v>0</v>
      </c>
      <c r="I130" s="148">
        <f t="shared" si="11"/>
        <v>0</v>
      </c>
      <c r="J130" s="126">
        <v>0</v>
      </c>
      <c r="K130" s="126">
        <v>0</v>
      </c>
      <c r="L130" s="126">
        <v>0</v>
      </c>
      <c r="M130" s="126">
        <f t="shared" si="12"/>
        <v>0</v>
      </c>
      <c r="N130" s="126">
        <v>0</v>
      </c>
      <c r="O130" s="126">
        <v>0</v>
      </c>
      <c r="P130" s="148">
        <f t="shared" si="13"/>
        <v>0</v>
      </c>
      <c r="Q130" s="126">
        <v>0</v>
      </c>
      <c r="R130" s="126">
        <v>0</v>
      </c>
      <c r="S130" s="148">
        <f t="shared" si="10"/>
        <v>151340</v>
      </c>
      <c r="T130" s="127">
        <v>0</v>
      </c>
      <c r="U130" s="127">
        <v>151340</v>
      </c>
      <c r="V130" s="127">
        <v>0</v>
      </c>
      <c r="W130" s="127">
        <v>0</v>
      </c>
    </row>
    <row r="131" spans="1:23" x14ac:dyDescent="0.2">
      <c r="A131" s="128">
        <v>117</v>
      </c>
      <c r="B131" s="834" t="s">
        <v>270</v>
      </c>
      <c r="C131" s="31" t="s">
        <v>271</v>
      </c>
      <c r="D131" s="148">
        <f t="shared" si="9"/>
        <v>116425</v>
      </c>
      <c r="E131" s="148">
        <f t="shared" si="8"/>
        <v>0</v>
      </c>
      <c r="F131" s="126">
        <v>0</v>
      </c>
      <c r="G131" s="126">
        <v>0</v>
      </c>
      <c r="H131" s="126">
        <v>0</v>
      </c>
      <c r="I131" s="148">
        <f t="shared" si="11"/>
        <v>0</v>
      </c>
      <c r="J131" s="126">
        <v>0</v>
      </c>
      <c r="K131" s="126">
        <v>0</v>
      </c>
      <c r="L131" s="126">
        <v>0</v>
      </c>
      <c r="M131" s="126">
        <f t="shared" si="12"/>
        <v>0</v>
      </c>
      <c r="N131" s="126">
        <v>0</v>
      </c>
      <c r="O131" s="126">
        <v>0</v>
      </c>
      <c r="P131" s="148">
        <f t="shared" si="13"/>
        <v>0</v>
      </c>
      <c r="Q131" s="126">
        <v>0</v>
      </c>
      <c r="R131" s="126">
        <v>0</v>
      </c>
      <c r="S131" s="148">
        <f t="shared" si="10"/>
        <v>116425</v>
      </c>
      <c r="T131" s="127">
        <v>0</v>
      </c>
      <c r="U131" s="127">
        <v>116425</v>
      </c>
      <c r="V131" s="127">
        <v>0</v>
      </c>
      <c r="W131" s="127">
        <v>0</v>
      </c>
    </row>
    <row r="132" spans="1:23" x14ac:dyDescent="0.2">
      <c r="A132" s="128">
        <v>118</v>
      </c>
      <c r="B132" s="71" t="s">
        <v>272</v>
      </c>
      <c r="C132" s="31" t="s">
        <v>273</v>
      </c>
      <c r="D132" s="148">
        <f t="shared" si="9"/>
        <v>124548</v>
      </c>
      <c r="E132" s="148">
        <f t="shared" si="8"/>
        <v>0</v>
      </c>
      <c r="F132" s="126">
        <v>0</v>
      </c>
      <c r="G132" s="126">
        <v>0</v>
      </c>
      <c r="H132" s="126">
        <v>0</v>
      </c>
      <c r="I132" s="148">
        <f t="shared" si="11"/>
        <v>0</v>
      </c>
      <c r="J132" s="126">
        <v>0</v>
      </c>
      <c r="K132" s="126">
        <v>0</v>
      </c>
      <c r="L132" s="126">
        <v>0</v>
      </c>
      <c r="M132" s="126">
        <f t="shared" si="12"/>
        <v>0</v>
      </c>
      <c r="N132" s="126">
        <v>0</v>
      </c>
      <c r="O132" s="126">
        <v>0</v>
      </c>
      <c r="P132" s="148">
        <f t="shared" si="13"/>
        <v>0</v>
      </c>
      <c r="Q132" s="126">
        <v>0</v>
      </c>
      <c r="R132" s="126">
        <v>0</v>
      </c>
      <c r="S132" s="148">
        <f t="shared" si="10"/>
        <v>124548</v>
      </c>
      <c r="T132" s="127">
        <v>0</v>
      </c>
      <c r="U132" s="127">
        <v>124548</v>
      </c>
      <c r="V132" s="127">
        <v>0</v>
      </c>
      <c r="W132" s="127">
        <v>0</v>
      </c>
    </row>
    <row r="133" spans="1:23" x14ac:dyDescent="0.2">
      <c r="A133" s="128">
        <v>119</v>
      </c>
      <c r="B133" s="71" t="s">
        <v>274</v>
      </c>
      <c r="C133" s="31" t="s">
        <v>275</v>
      </c>
      <c r="D133" s="148">
        <f t="shared" si="9"/>
        <v>109892</v>
      </c>
      <c r="E133" s="148">
        <f t="shared" si="8"/>
        <v>0</v>
      </c>
      <c r="F133" s="126">
        <v>0</v>
      </c>
      <c r="G133" s="126">
        <v>0</v>
      </c>
      <c r="H133" s="126">
        <v>0</v>
      </c>
      <c r="I133" s="148">
        <f t="shared" si="11"/>
        <v>0</v>
      </c>
      <c r="J133" s="126">
        <v>0</v>
      </c>
      <c r="K133" s="126">
        <v>0</v>
      </c>
      <c r="L133" s="126">
        <v>0</v>
      </c>
      <c r="M133" s="126">
        <f t="shared" si="12"/>
        <v>0</v>
      </c>
      <c r="N133" s="126">
        <v>0</v>
      </c>
      <c r="O133" s="126">
        <v>0</v>
      </c>
      <c r="P133" s="148">
        <f t="shared" si="13"/>
        <v>0</v>
      </c>
      <c r="Q133" s="126">
        <v>0</v>
      </c>
      <c r="R133" s="126">
        <v>0</v>
      </c>
      <c r="S133" s="148">
        <f t="shared" si="10"/>
        <v>109892</v>
      </c>
      <c r="T133" s="127">
        <v>600</v>
      </c>
      <c r="U133" s="127">
        <v>97492</v>
      </c>
      <c r="V133" s="127">
        <v>0</v>
      </c>
      <c r="W133" s="127">
        <v>11800</v>
      </c>
    </row>
    <row r="134" spans="1:23" x14ac:dyDescent="0.2">
      <c r="A134" s="128">
        <v>120</v>
      </c>
      <c r="B134" s="71" t="s">
        <v>276</v>
      </c>
      <c r="C134" s="31" t="s">
        <v>277</v>
      </c>
      <c r="D134" s="148">
        <f t="shared" si="9"/>
        <v>82310</v>
      </c>
      <c r="E134" s="148">
        <f t="shared" si="8"/>
        <v>0</v>
      </c>
      <c r="F134" s="126">
        <v>0</v>
      </c>
      <c r="G134" s="126">
        <v>0</v>
      </c>
      <c r="H134" s="126">
        <v>0</v>
      </c>
      <c r="I134" s="148">
        <f t="shared" si="11"/>
        <v>0</v>
      </c>
      <c r="J134" s="126">
        <v>0</v>
      </c>
      <c r="K134" s="126">
        <v>0</v>
      </c>
      <c r="L134" s="126">
        <v>0</v>
      </c>
      <c r="M134" s="126">
        <f t="shared" si="12"/>
        <v>0</v>
      </c>
      <c r="N134" s="126">
        <v>0</v>
      </c>
      <c r="O134" s="126">
        <v>0</v>
      </c>
      <c r="P134" s="148">
        <f t="shared" si="13"/>
        <v>0</v>
      </c>
      <c r="Q134" s="126">
        <v>0</v>
      </c>
      <c r="R134" s="126">
        <v>0</v>
      </c>
      <c r="S134" s="148">
        <f t="shared" si="10"/>
        <v>82310</v>
      </c>
      <c r="T134" s="127">
        <v>0</v>
      </c>
      <c r="U134" s="127">
        <v>59180</v>
      </c>
      <c r="V134" s="127">
        <v>0</v>
      </c>
      <c r="W134" s="127">
        <v>23130</v>
      </c>
    </row>
    <row r="135" spans="1:23" x14ac:dyDescent="0.2">
      <c r="A135" s="128">
        <v>121</v>
      </c>
      <c r="B135" s="834" t="s">
        <v>278</v>
      </c>
      <c r="C135" s="31" t="s">
        <v>279</v>
      </c>
      <c r="D135" s="148">
        <f t="shared" si="9"/>
        <v>90176</v>
      </c>
      <c r="E135" s="148">
        <f t="shared" si="8"/>
        <v>0</v>
      </c>
      <c r="F135" s="126">
        <v>0</v>
      </c>
      <c r="G135" s="126">
        <v>0</v>
      </c>
      <c r="H135" s="126">
        <v>0</v>
      </c>
      <c r="I135" s="148">
        <f t="shared" si="11"/>
        <v>0</v>
      </c>
      <c r="J135" s="126">
        <v>0</v>
      </c>
      <c r="K135" s="126">
        <v>0</v>
      </c>
      <c r="L135" s="126">
        <v>0</v>
      </c>
      <c r="M135" s="126">
        <f t="shared" si="12"/>
        <v>0</v>
      </c>
      <c r="N135" s="126">
        <v>0</v>
      </c>
      <c r="O135" s="126">
        <v>0</v>
      </c>
      <c r="P135" s="148">
        <f t="shared" si="13"/>
        <v>0</v>
      </c>
      <c r="Q135" s="126">
        <v>0</v>
      </c>
      <c r="R135" s="126">
        <v>0</v>
      </c>
      <c r="S135" s="148">
        <f t="shared" si="10"/>
        <v>90176</v>
      </c>
      <c r="T135" s="127">
        <v>0</v>
      </c>
      <c r="U135" s="127">
        <v>90176</v>
      </c>
      <c r="V135" s="127">
        <v>0</v>
      </c>
      <c r="W135" s="127">
        <v>0</v>
      </c>
    </row>
    <row r="136" spans="1:23" x14ac:dyDescent="0.2">
      <c r="A136" s="128">
        <v>122</v>
      </c>
      <c r="B136" s="834" t="s">
        <v>280</v>
      </c>
      <c r="C136" s="31" t="s">
        <v>281</v>
      </c>
      <c r="D136" s="148">
        <f t="shared" si="9"/>
        <v>0</v>
      </c>
      <c r="E136" s="148">
        <f t="shared" si="8"/>
        <v>0</v>
      </c>
      <c r="F136" s="126">
        <v>0</v>
      </c>
      <c r="G136" s="126">
        <v>0</v>
      </c>
      <c r="H136" s="126">
        <v>0</v>
      </c>
      <c r="I136" s="148">
        <f t="shared" si="11"/>
        <v>0</v>
      </c>
      <c r="J136" s="126">
        <v>0</v>
      </c>
      <c r="K136" s="126">
        <v>0</v>
      </c>
      <c r="L136" s="126">
        <v>0</v>
      </c>
      <c r="M136" s="126">
        <f t="shared" si="12"/>
        <v>0</v>
      </c>
      <c r="N136" s="126">
        <v>0</v>
      </c>
      <c r="O136" s="126">
        <v>0</v>
      </c>
      <c r="P136" s="148">
        <f t="shared" si="13"/>
        <v>0</v>
      </c>
      <c r="Q136" s="126">
        <v>0</v>
      </c>
      <c r="R136" s="126">
        <v>0</v>
      </c>
      <c r="S136" s="148">
        <f t="shared" si="10"/>
        <v>0</v>
      </c>
      <c r="T136" s="127">
        <v>0</v>
      </c>
      <c r="U136" s="127">
        <v>0</v>
      </c>
      <c r="V136" s="127">
        <v>0</v>
      </c>
      <c r="W136" s="127">
        <v>0</v>
      </c>
    </row>
    <row r="137" spans="1:23" x14ac:dyDescent="0.2">
      <c r="A137" s="128">
        <v>123</v>
      </c>
      <c r="B137" s="834" t="s">
        <v>282</v>
      </c>
      <c r="C137" s="31" t="s">
        <v>783</v>
      </c>
      <c r="D137" s="148">
        <f t="shared" si="9"/>
        <v>60218</v>
      </c>
      <c r="E137" s="148">
        <f t="shared" si="8"/>
        <v>0</v>
      </c>
      <c r="F137" s="126">
        <v>0</v>
      </c>
      <c r="G137" s="126">
        <v>0</v>
      </c>
      <c r="H137" s="126">
        <v>0</v>
      </c>
      <c r="I137" s="148">
        <f t="shared" si="11"/>
        <v>0</v>
      </c>
      <c r="J137" s="126">
        <v>0</v>
      </c>
      <c r="K137" s="126">
        <v>0</v>
      </c>
      <c r="L137" s="126">
        <v>0</v>
      </c>
      <c r="M137" s="126">
        <f t="shared" si="12"/>
        <v>0</v>
      </c>
      <c r="N137" s="126">
        <v>0</v>
      </c>
      <c r="O137" s="126">
        <v>0</v>
      </c>
      <c r="P137" s="148">
        <f t="shared" si="13"/>
        <v>0</v>
      </c>
      <c r="Q137" s="126">
        <v>0</v>
      </c>
      <c r="R137" s="126">
        <v>0</v>
      </c>
      <c r="S137" s="148">
        <f t="shared" si="10"/>
        <v>60218</v>
      </c>
      <c r="T137" s="127">
        <v>0</v>
      </c>
      <c r="U137" s="127">
        <v>60218</v>
      </c>
      <c r="V137" s="127">
        <v>0</v>
      </c>
      <c r="W137" s="127">
        <v>0</v>
      </c>
    </row>
    <row r="138" spans="1:23" x14ac:dyDescent="0.2">
      <c r="A138" s="128">
        <v>124</v>
      </c>
      <c r="B138" s="71" t="s">
        <v>283</v>
      </c>
      <c r="C138" s="31" t="s">
        <v>284</v>
      </c>
      <c r="D138" s="148">
        <f t="shared" si="9"/>
        <v>117978</v>
      </c>
      <c r="E138" s="148">
        <f t="shared" si="8"/>
        <v>3513</v>
      </c>
      <c r="F138" s="126">
        <v>3513</v>
      </c>
      <c r="G138" s="126">
        <v>400</v>
      </c>
      <c r="H138" s="126">
        <v>0</v>
      </c>
      <c r="I138" s="148">
        <f t="shared" si="11"/>
        <v>33147</v>
      </c>
      <c r="J138" s="126">
        <v>33147</v>
      </c>
      <c r="K138" s="126">
        <v>850</v>
      </c>
      <c r="L138" s="126">
        <v>3844</v>
      </c>
      <c r="M138" s="126">
        <f t="shared" si="12"/>
        <v>0</v>
      </c>
      <c r="N138" s="126">
        <v>0</v>
      </c>
      <c r="O138" s="126">
        <v>0</v>
      </c>
      <c r="P138" s="148">
        <f t="shared" si="13"/>
        <v>12294</v>
      </c>
      <c r="Q138" s="126">
        <v>6824</v>
      </c>
      <c r="R138" s="126">
        <v>5470</v>
      </c>
      <c r="S138" s="148">
        <f t="shared" si="10"/>
        <v>69024</v>
      </c>
      <c r="T138" s="127">
        <v>39102</v>
      </c>
      <c r="U138" s="127">
        <v>23033</v>
      </c>
      <c r="V138" s="127">
        <v>0</v>
      </c>
      <c r="W138" s="127">
        <v>6889</v>
      </c>
    </row>
    <row r="139" spans="1:23" ht="24" x14ac:dyDescent="0.2">
      <c r="A139" s="128">
        <v>125</v>
      </c>
      <c r="B139" s="72" t="s">
        <v>285</v>
      </c>
      <c r="C139" s="50" t="s">
        <v>737</v>
      </c>
      <c r="D139" s="148">
        <f t="shared" si="9"/>
        <v>258919</v>
      </c>
      <c r="E139" s="148">
        <f t="shared" ref="E139:E149" si="14">F139+H139</f>
        <v>20299</v>
      </c>
      <c r="F139" s="126">
        <v>4462</v>
      </c>
      <c r="G139" s="126">
        <v>160</v>
      </c>
      <c r="H139" s="126">
        <v>15837</v>
      </c>
      <c r="I139" s="148">
        <f t="shared" si="11"/>
        <v>42170</v>
      </c>
      <c r="J139" s="126">
        <v>42105</v>
      </c>
      <c r="K139" s="126">
        <v>920</v>
      </c>
      <c r="L139" s="126">
        <v>4882</v>
      </c>
      <c r="M139" s="126">
        <f t="shared" si="12"/>
        <v>65</v>
      </c>
      <c r="N139" s="126">
        <v>0</v>
      </c>
      <c r="O139" s="126">
        <v>65</v>
      </c>
      <c r="P139" s="148">
        <f t="shared" si="13"/>
        <v>15668</v>
      </c>
      <c r="Q139" s="126">
        <v>8711</v>
      </c>
      <c r="R139" s="126">
        <v>6957</v>
      </c>
      <c r="S139" s="148">
        <f t="shared" si="10"/>
        <v>180782</v>
      </c>
      <c r="T139" s="127">
        <v>24178</v>
      </c>
      <c r="U139" s="127">
        <v>103471</v>
      </c>
      <c r="V139" s="127">
        <v>6924</v>
      </c>
      <c r="W139" s="127">
        <v>46209</v>
      </c>
    </row>
    <row r="140" spans="1:23" x14ac:dyDescent="0.2">
      <c r="A140" s="128">
        <v>126</v>
      </c>
      <c r="B140" s="834" t="s">
        <v>286</v>
      </c>
      <c r="C140" s="31" t="s">
        <v>287</v>
      </c>
      <c r="D140" s="148">
        <f t="shared" ref="D140:D149" si="15">E140+I140+P140+S140</f>
        <v>5638</v>
      </c>
      <c r="E140" s="148">
        <f t="shared" si="14"/>
        <v>0</v>
      </c>
      <c r="F140" s="126">
        <v>0</v>
      </c>
      <c r="G140" s="126">
        <v>0</v>
      </c>
      <c r="H140" s="126">
        <v>0</v>
      </c>
      <c r="I140" s="148">
        <f t="shared" si="11"/>
        <v>0</v>
      </c>
      <c r="J140" s="126">
        <v>0</v>
      </c>
      <c r="K140" s="126">
        <v>0</v>
      </c>
      <c r="L140" s="126">
        <v>0</v>
      </c>
      <c r="M140" s="126">
        <f t="shared" si="12"/>
        <v>0</v>
      </c>
      <c r="N140" s="126">
        <v>0</v>
      </c>
      <c r="O140" s="126">
        <v>0</v>
      </c>
      <c r="P140" s="148">
        <f t="shared" si="13"/>
        <v>0</v>
      </c>
      <c r="Q140" s="126">
        <v>0</v>
      </c>
      <c r="R140" s="126">
        <v>0</v>
      </c>
      <c r="S140" s="148">
        <f t="shared" ref="S140:S149" si="16">SUM(T140:X140)</f>
        <v>5638</v>
      </c>
      <c r="T140" s="127">
        <v>0</v>
      </c>
      <c r="U140" s="127">
        <v>5638</v>
      </c>
      <c r="V140" s="127">
        <v>0</v>
      </c>
      <c r="W140" s="127">
        <v>0</v>
      </c>
    </row>
    <row r="141" spans="1:23" x14ac:dyDescent="0.2">
      <c r="A141" s="128">
        <v>127</v>
      </c>
      <c r="B141" s="71" t="s">
        <v>288</v>
      </c>
      <c r="C141" s="31" t="s">
        <v>289</v>
      </c>
      <c r="D141" s="148">
        <f t="shared" si="15"/>
        <v>26015</v>
      </c>
      <c r="E141" s="148">
        <f t="shared" si="14"/>
        <v>0</v>
      </c>
      <c r="F141" s="126">
        <v>0</v>
      </c>
      <c r="G141" s="126">
        <v>0</v>
      </c>
      <c r="H141" s="126">
        <v>0</v>
      </c>
      <c r="I141" s="148">
        <f t="shared" si="11"/>
        <v>0</v>
      </c>
      <c r="J141" s="126">
        <v>0</v>
      </c>
      <c r="K141" s="126">
        <v>0</v>
      </c>
      <c r="L141" s="126">
        <v>0</v>
      </c>
      <c r="M141" s="126">
        <f t="shared" si="12"/>
        <v>0</v>
      </c>
      <c r="N141" s="126">
        <v>0</v>
      </c>
      <c r="O141" s="126">
        <v>0</v>
      </c>
      <c r="P141" s="148">
        <f t="shared" si="13"/>
        <v>0</v>
      </c>
      <c r="Q141" s="126">
        <v>0</v>
      </c>
      <c r="R141" s="126">
        <v>0</v>
      </c>
      <c r="S141" s="148">
        <f t="shared" si="16"/>
        <v>26015</v>
      </c>
      <c r="T141" s="127">
        <v>0</v>
      </c>
      <c r="U141" s="127">
        <v>26015</v>
      </c>
      <c r="V141" s="127">
        <v>0</v>
      </c>
      <c r="W141" s="127">
        <v>0</v>
      </c>
    </row>
    <row r="142" spans="1:23" ht="12.75" x14ac:dyDescent="0.2">
      <c r="A142" s="128">
        <v>128</v>
      </c>
      <c r="B142" s="841" t="s">
        <v>290</v>
      </c>
      <c r="C142" s="135" t="s">
        <v>291</v>
      </c>
      <c r="D142" s="148">
        <f t="shared" si="15"/>
        <v>0</v>
      </c>
      <c r="E142" s="148">
        <f t="shared" si="14"/>
        <v>0</v>
      </c>
      <c r="F142" s="126">
        <v>0</v>
      </c>
      <c r="G142" s="126">
        <v>0</v>
      </c>
      <c r="H142" s="126">
        <v>0</v>
      </c>
      <c r="I142" s="148">
        <f t="shared" ref="I142:I149" si="17">J142+M142</f>
        <v>0</v>
      </c>
      <c r="J142" s="126">
        <v>0</v>
      </c>
      <c r="K142" s="126">
        <v>0</v>
      </c>
      <c r="L142" s="126">
        <v>0</v>
      </c>
      <c r="M142" s="126">
        <f t="shared" ref="M142:M149" si="18">N142+O142</f>
        <v>0</v>
      </c>
      <c r="N142" s="126">
        <v>0</v>
      </c>
      <c r="O142" s="126">
        <v>0</v>
      </c>
      <c r="P142" s="148">
        <f t="shared" ref="P142:P149" si="19">Q142+R142</f>
        <v>0</v>
      </c>
      <c r="Q142" s="126">
        <v>0</v>
      </c>
      <c r="R142" s="126">
        <v>0</v>
      </c>
      <c r="S142" s="148">
        <f t="shared" si="16"/>
        <v>0</v>
      </c>
      <c r="T142" s="127">
        <v>0</v>
      </c>
      <c r="U142" s="127">
        <v>0</v>
      </c>
      <c r="V142" s="127">
        <v>0</v>
      </c>
      <c r="W142" s="127">
        <v>0</v>
      </c>
    </row>
    <row r="143" spans="1:23" ht="12.75" x14ac:dyDescent="0.2">
      <c r="A143" s="128">
        <v>129</v>
      </c>
      <c r="B143" s="136" t="s">
        <v>292</v>
      </c>
      <c r="C143" s="137" t="s">
        <v>293</v>
      </c>
      <c r="D143" s="148">
        <f t="shared" si="15"/>
        <v>0</v>
      </c>
      <c r="E143" s="148">
        <f t="shared" si="14"/>
        <v>0</v>
      </c>
      <c r="F143" s="126">
        <v>0</v>
      </c>
      <c r="G143" s="126">
        <v>0</v>
      </c>
      <c r="H143" s="126">
        <v>0</v>
      </c>
      <c r="I143" s="148">
        <f t="shared" si="17"/>
        <v>0</v>
      </c>
      <c r="J143" s="126">
        <v>0</v>
      </c>
      <c r="K143" s="126">
        <v>0</v>
      </c>
      <c r="L143" s="126">
        <v>0</v>
      </c>
      <c r="M143" s="126">
        <f t="shared" si="18"/>
        <v>0</v>
      </c>
      <c r="N143" s="126">
        <v>0</v>
      </c>
      <c r="O143" s="126">
        <v>0</v>
      </c>
      <c r="P143" s="148">
        <f t="shared" si="19"/>
        <v>0</v>
      </c>
      <c r="Q143" s="126">
        <v>0</v>
      </c>
      <c r="R143" s="126">
        <v>0</v>
      </c>
      <c r="S143" s="148">
        <f t="shared" si="16"/>
        <v>0</v>
      </c>
      <c r="T143" s="127">
        <v>0</v>
      </c>
      <c r="U143" s="127">
        <v>0</v>
      </c>
      <c r="V143" s="127">
        <v>0</v>
      </c>
      <c r="W143" s="127">
        <v>0</v>
      </c>
    </row>
    <row r="144" spans="1:23" ht="12.75" x14ac:dyDescent="0.2">
      <c r="A144" s="128">
        <v>130</v>
      </c>
      <c r="B144" s="138" t="s">
        <v>294</v>
      </c>
      <c r="C144" s="139" t="s">
        <v>295</v>
      </c>
      <c r="D144" s="148">
        <f t="shared" si="15"/>
        <v>0</v>
      </c>
      <c r="E144" s="148">
        <f t="shared" si="14"/>
        <v>0</v>
      </c>
      <c r="F144" s="126">
        <v>0</v>
      </c>
      <c r="G144" s="126">
        <v>0</v>
      </c>
      <c r="H144" s="126">
        <v>0</v>
      </c>
      <c r="I144" s="148">
        <f t="shared" si="17"/>
        <v>0</v>
      </c>
      <c r="J144" s="126">
        <v>0</v>
      </c>
      <c r="K144" s="126">
        <v>0</v>
      </c>
      <c r="L144" s="126">
        <v>0</v>
      </c>
      <c r="M144" s="126">
        <f t="shared" si="18"/>
        <v>0</v>
      </c>
      <c r="N144" s="126">
        <v>0</v>
      </c>
      <c r="O144" s="126">
        <v>0</v>
      </c>
      <c r="P144" s="148">
        <f t="shared" si="19"/>
        <v>0</v>
      </c>
      <c r="Q144" s="126">
        <v>0</v>
      </c>
      <c r="R144" s="126">
        <v>0</v>
      </c>
      <c r="S144" s="148">
        <f t="shared" si="16"/>
        <v>0</v>
      </c>
      <c r="T144" s="127">
        <v>0</v>
      </c>
      <c r="U144" s="127">
        <v>0</v>
      </c>
      <c r="V144" s="127">
        <v>0</v>
      </c>
      <c r="W144" s="127">
        <v>0</v>
      </c>
    </row>
    <row r="145" spans="1:23" ht="12.75" x14ac:dyDescent="0.2">
      <c r="A145" s="128">
        <v>131</v>
      </c>
      <c r="B145" s="140" t="s">
        <v>296</v>
      </c>
      <c r="C145" s="141" t="s">
        <v>462</v>
      </c>
      <c r="D145" s="148">
        <f t="shared" si="15"/>
        <v>0</v>
      </c>
      <c r="E145" s="148">
        <f t="shared" si="14"/>
        <v>0</v>
      </c>
      <c r="F145" s="126">
        <v>0</v>
      </c>
      <c r="G145" s="126">
        <v>0</v>
      </c>
      <c r="H145" s="126">
        <v>0</v>
      </c>
      <c r="I145" s="148">
        <f t="shared" si="17"/>
        <v>0</v>
      </c>
      <c r="J145" s="126">
        <v>0</v>
      </c>
      <c r="K145" s="126">
        <v>0</v>
      </c>
      <c r="L145" s="126">
        <v>0</v>
      </c>
      <c r="M145" s="126">
        <f t="shared" si="18"/>
        <v>0</v>
      </c>
      <c r="N145" s="126">
        <v>0</v>
      </c>
      <c r="O145" s="126">
        <v>0</v>
      </c>
      <c r="P145" s="148">
        <f t="shared" si="19"/>
        <v>0</v>
      </c>
      <c r="Q145" s="126">
        <v>0</v>
      </c>
      <c r="R145" s="126">
        <v>0</v>
      </c>
      <c r="S145" s="148">
        <f t="shared" si="16"/>
        <v>0</v>
      </c>
      <c r="T145" s="127">
        <v>0</v>
      </c>
      <c r="U145" s="127">
        <v>0</v>
      </c>
      <c r="V145" s="127">
        <v>0</v>
      </c>
      <c r="W145" s="127">
        <v>0</v>
      </c>
    </row>
    <row r="146" spans="1:23" x14ac:dyDescent="0.2">
      <c r="A146" s="128">
        <v>132</v>
      </c>
      <c r="B146" s="128" t="s">
        <v>298</v>
      </c>
      <c r="C146" s="142" t="s">
        <v>299</v>
      </c>
      <c r="D146" s="148">
        <f t="shared" si="15"/>
        <v>0</v>
      </c>
      <c r="E146" s="148">
        <f t="shared" si="14"/>
        <v>0</v>
      </c>
      <c r="F146" s="126">
        <v>0</v>
      </c>
      <c r="G146" s="126">
        <v>0</v>
      </c>
      <c r="H146" s="126">
        <v>0</v>
      </c>
      <c r="I146" s="148">
        <f t="shared" si="17"/>
        <v>0</v>
      </c>
      <c r="J146" s="126">
        <v>0</v>
      </c>
      <c r="K146" s="126">
        <v>0</v>
      </c>
      <c r="L146" s="126">
        <v>0</v>
      </c>
      <c r="M146" s="126">
        <f t="shared" si="18"/>
        <v>0</v>
      </c>
      <c r="N146" s="126">
        <v>0</v>
      </c>
      <c r="O146" s="126">
        <v>0</v>
      </c>
      <c r="P146" s="148">
        <f t="shared" si="19"/>
        <v>0</v>
      </c>
      <c r="Q146" s="126">
        <v>0</v>
      </c>
      <c r="R146" s="126">
        <v>0</v>
      </c>
      <c r="S146" s="148">
        <f t="shared" si="16"/>
        <v>0</v>
      </c>
      <c r="T146" s="127">
        <v>0</v>
      </c>
      <c r="U146" s="127">
        <v>0</v>
      </c>
      <c r="V146" s="127">
        <v>0</v>
      </c>
      <c r="W146" s="127">
        <v>0</v>
      </c>
    </row>
    <row r="147" spans="1:23" x14ac:dyDescent="0.2">
      <c r="A147" s="128">
        <v>133</v>
      </c>
      <c r="B147" s="143" t="s">
        <v>300</v>
      </c>
      <c r="C147" s="142" t="s">
        <v>301</v>
      </c>
      <c r="D147" s="148">
        <f t="shared" si="15"/>
        <v>0</v>
      </c>
      <c r="E147" s="148">
        <f t="shared" si="14"/>
        <v>0</v>
      </c>
      <c r="F147" s="126">
        <v>0</v>
      </c>
      <c r="G147" s="126">
        <v>0</v>
      </c>
      <c r="H147" s="126">
        <v>0</v>
      </c>
      <c r="I147" s="148">
        <f t="shared" si="17"/>
        <v>0</v>
      </c>
      <c r="J147" s="126">
        <v>0</v>
      </c>
      <c r="K147" s="126">
        <v>0</v>
      </c>
      <c r="L147" s="126">
        <v>0</v>
      </c>
      <c r="M147" s="126">
        <f t="shared" si="18"/>
        <v>0</v>
      </c>
      <c r="N147" s="126">
        <v>0</v>
      </c>
      <c r="O147" s="126">
        <v>0</v>
      </c>
      <c r="P147" s="148">
        <f t="shared" si="19"/>
        <v>0</v>
      </c>
      <c r="Q147" s="126">
        <v>0</v>
      </c>
      <c r="R147" s="126">
        <v>0</v>
      </c>
      <c r="S147" s="148">
        <f t="shared" si="16"/>
        <v>0</v>
      </c>
      <c r="T147" s="127">
        <v>0</v>
      </c>
      <c r="U147" s="127">
        <v>0</v>
      </c>
      <c r="V147" s="127">
        <v>0</v>
      </c>
      <c r="W147" s="127">
        <v>0</v>
      </c>
    </row>
    <row r="148" spans="1:23" x14ac:dyDescent="0.2">
      <c r="A148" s="128">
        <v>134</v>
      </c>
      <c r="B148" s="144" t="s">
        <v>302</v>
      </c>
      <c r="C148" s="145" t="s">
        <v>303</v>
      </c>
      <c r="D148" s="148">
        <f t="shared" si="15"/>
        <v>0</v>
      </c>
      <c r="E148" s="148">
        <f t="shared" si="14"/>
        <v>0</v>
      </c>
      <c r="F148" s="126">
        <v>0</v>
      </c>
      <c r="G148" s="126">
        <v>0</v>
      </c>
      <c r="H148" s="126">
        <v>0</v>
      </c>
      <c r="I148" s="148">
        <f t="shared" si="17"/>
        <v>0</v>
      </c>
      <c r="J148" s="126">
        <v>0</v>
      </c>
      <c r="K148" s="126">
        <v>0</v>
      </c>
      <c r="L148" s="126">
        <v>0</v>
      </c>
      <c r="M148" s="126">
        <f t="shared" si="18"/>
        <v>0</v>
      </c>
      <c r="N148" s="126">
        <v>0</v>
      </c>
      <c r="O148" s="126">
        <v>0</v>
      </c>
      <c r="P148" s="148">
        <f t="shared" si="19"/>
        <v>0</v>
      </c>
      <c r="Q148" s="126">
        <v>0</v>
      </c>
      <c r="R148" s="126">
        <v>0</v>
      </c>
      <c r="S148" s="148">
        <f t="shared" si="16"/>
        <v>0</v>
      </c>
      <c r="T148" s="127">
        <v>0</v>
      </c>
      <c r="U148" s="127">
        <v>0</v>
      </c>
      <c r="V148" s="127">
        <v>0</v>
      </c>
      <c r="W148" s="127">
        <v>0</v>
      </c>
    </row>
    <row r="149" spans="1:23" x14ac:dyDescent="0.2">
      <c r="A149" s="128">
        <v>135</v>
      </c>
      <c r="B149" s="143" t="s">
        <v>304</v>
      </c>
      <c r="C149" s="142" t="s">
        <v>305</v>
      </c>
      <c r="D149" s="148">
        <f t="shared" si="15"/>
        <v>0</v>
      </c>
      <c r="E149" s="148">
        <f t="shared" si="14"/>
        <v>0</v>
      </c>
      <c r="F149" s="126">
        <v>0</v>
      </c>
      <c r="G149" s="126">
        <v>0</v>
      </c>
      <c r="H149" s="126">
        <v>0</v>
      </c>
      <c r="I149" s="148">
        <f t="shared" si="17"/>
        <v>0</v>
      </c>
      <c r="J149" s="126">
        <v>0</v>
      </c>
      <c r="K149" s="126">
        <v>0</v>
      </c>
      <c r="L149" s="126">
        <v>0</v>
      </c>
      <c r="M149" s="126">
        <f t="shared" si="18"/>
        <v>0</v>
      </c>
      <c r="N149" s="126">
        <v>0</v>
      </c>
      <c r="O149" s="126">
        <v>0</v>
      </c>
      <c r="P149" s="148">
        <f t="shared" si="19"/>
        <v>0</v>
      </c>
      <c r="Q149" s="126">
        <v>0</v>
      </c>
      <c r="R149" s="126">
        <v>0</v>
      </c>
      <c r="S149" s="148">
        <f t="shared" si="16"/>
        <v>0</v>
      </c>
      <c r="T149" s="127">
        <v>0</v>
      </c>
      <c r="U149" s="127">
        <v>0</v>
      </c>
      <c r="V149" s="127">
        <v>0</v>
      </c>
      <c r="W149" s="127">
        <v>0</v>
      </c>
    </row>
    <row r="150" spans="1:23" ht="12.75" customHeight="1" x14ac:dyDescent="0.2">
      <c r="A150" s="955"/>
      <c r="B150" s="955"/>
      <c r="C150" s="955"/>
      <c r="D150" s="146"/>
    </row>
    <row r="152" spans="1:23" x14ac:dyDescent="0.2">
      <c r="S152" s="790"/>
      <c r="T152" s="790"/>
      <c r="U152" s="790"/>
      <c r="V152" s="790"/>
      <c r="W152" s="790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zoomScale="90" zoomScaleNormal="90" workbookViewId="0">
      <pane xSplit="4" ySplit="9" topLeftCell="E133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647" hidden="1" customWidth="1"/>
    <col min="2" max="2" width="7" style="647" customWidth="1"/>
    <col min="3" max="3" width="9" style="647" customWidth="1"/>
    <col min="4" max="4" width="57.5703125" style="647" customWidth="1"/>
    <col min="5" max="5" width="16.42578125" style="647" customWidth="1"/>
    <col min="6" max="6" width="12" style="647" customWidth="1"/>
    <col min="7" max="7" width="13.28515625" style="647" customWidth="1"/>
    <col min="8" max="16384" width="10.7109375" style="647"/>
  </cols>
  <sheetData>
    <row r="1" spans="1:11" ht="32.25" customHeight="1" x14ac:dyDescent="0.25">
      <c r="A1" s="646"/>
      <c r="B1" s="646"/>
      <c r="C1" s="964" t="s">
        <v>307</v>
      </c>
      <c r="D1" s="964"/>
      <c r="E1" s="964"/>
      <c r="F1" s="964"/>
      <c r="G1" s="964"/>
      <c r="H1" s="964"/>
      <c r="I1" s="964"/>
      <c r="J1" s="964"/>
      <c r="K1" s="964"/>
    </row>
    <row r="2" spans="1:11" s="648" customFormat="1" ht="35.25" customHeight="1" x14ac:dyDescent="0.2">
      <c r="A2" s="959" t="s">
        <v>0</v>
      </c>
      <c r="B2" s="959" t="s">
        <v>308</v>
      </c>
      <c r="C2" s="965" t="s">
        <v>1</v>
      </c>
      <c r="D2" s="966" t="s">
        <v>309</v>
      </c>
      <c r="E2" s="967" t="s">
        <v>310</v>
      </c>
      <c r="F2" s="967"/>
      <c r="G2" s="967"/>
      <c r="H2" s="967"/>
      <c r="I2" s="967"/>
      <c r="J2" s="967"/>
      <c r="K2" s="967"/>
    </row>
    <row r="3" spans="1:11" s="648" customFormat="1" ht="25.5" customHeight="1" x14ac:dyDescent="0.2">
      <c r="A3" s="959"/>
      <c r="B3" s="959"/>
      <c r="C3" s="965"/>
      <c r="D3" s="966"/>
      <c r="E3" s="957" t="s">
        <v>311</v>
      </c>
      <c r="F3" s="957"/>
      <c r="G3" s="957"/>
      <c r="H3" s="957" t="s">
        <v>312</v>
      </c>
      <c r="I3" s="957"/>
      <c r="J3" s="957"/>
      <c r="K3" s="957"/>
    </row>
    <row r="4" spans="1:11" s="648" customFormat="1" ht="25.5" customHeight="1" x14ac:dyDescent="0.2">
      <c r="A4" s="959"/>
      <c r="B4" s="959"/>
      <c r="C4" s="965"/>
      <c r="D4" s="966"/>
      <c r="E4" s="957" t="s">
        <v>313</v>
      </c>
      <c r="F4" s="958" t="s">
        <v>314</v>
      </c>
      <c r="G4" s="958"/>
      <c r="H4" s="957" t="s">
        <v>315</v>
      </c>
      <c r="I4" s="958" t="s">
        <v>316</v>
      </c>
      <c r="J4" s="958"/>
      <c r="K4" s="958"/>
    </row>
    <row r="5" spans="1:11" s="648" customFormat="1" ht="58.5" customHeight="1" x14ac:dyDescent="0.2">
      <c r="A5" s="959"/>
      <c r="B5" s="959"/>
      <c r="C5" s="965"/>
      <c r="D5" s="966"/>
      <c r="E5" s="957"/>
      <c r="F5" s="649" t="s">
        <v>317</v>
      </c>
      <c r="G5" s="649" t="s">
        <v>318</v>
      </c>
      <c r="H5" s="957"/>
      <c r="I5" s="649" t="s">
        <v>319</v>
      </c>
      <c r="J5" s="649" t="s">
        <v>320</v>
      </c>
      <c r="K5" s="649" t="s">
        <v>321</v>
      </c>
    </row>
    <row r="6" spans="1:11" s="648" customFormat="1" ht="12.75" customHeight="1" x14ac:dyDescent="0.2">
      <c r="A6" s="645">
        <v>1</v>
      </c>
      <c r="B6" s="645">
        <v>1</v>
      </c>
      <c r="C6" s="650">
        <v>2</v>
      </c>
      <c r="D6" s="651">
        <v>3</v>
      </c>
      <c r="E6" s="649">
        <v>4</v>
      </c>
      <c r="F6" s="649">
        <v>5</v>
      </c>
      <c r="G6" s="649">
        <v>6</v>
      </c>
      <c r="H6" s="649">
        <v>7</v>
      </c>
      <c r="I6" s="649">
        <v>8</v>
      </c>
      <c r="J6" s="649">
        <v>9</v>
      </c>
      <c r="K6" s="649">
        <v>10</v>
      </c>
    </row>
    <row r="7" spans="1:11" s="648" customFormat="1" ht="12.75" customHeight="1" x14ac:dyDescent="0.2">
      <c r="A7" s="645"/>
      <c r="B7" s="645"/>
      <c r="C7" s="650"/>
      <c r="D7" s="651" t="s">
        <v>13</v>
      </c>
      <c r="E7" s="652">
        <f>E9</f>
        <v>194709</v>
      </c>
      <c r="F7" s="652">
        <f>F9</f>
        <v>16031</v>
      </c>
      <c r="G7" s="652">
        <f>G9</f>
        <v>16031</v>
      </c>
      <c r="H7" s="652">
        <f>H9+H8</f>
        <v>4809</v>
      </c>
      <c r="I7" s="652">
        <f t="shared" ref="I7:K7" si="0">I9+I8</f>
        <v>1603</v>
      </c>
      <c r="J7" s="652">
        <f t="shared" si="0"/>
        <v>1603</v>
      </c>
      <c r="K7" s="652">
        <f t="shared" si="0"/>
        <v>1603</v>
      </c>
    </row>
    <row r="8" spans="1:11" s="648" customFormat="1" ht="12.75" customHeight="1" x14ac:dyDescent="0.2">
      <c r="A8" s="645"/>
      <c r="B8" s="645"/>
      <c r="C8" s="650"/>
      <c r="D8" s="651" t="s">
        <v>14</v>
      </c>
      <c r="E8" s="649"/>
      <c r="F8" s="649"/>
      <c r="G8" s="649"/>
      <c r="H8" s="649"/>
      <c r="I8" s="649"/>
      <c r="J8" s="649"/>
      <c r="K8" s="649"/>
    </row>
    <row r="9" spans="1:11" s="648" customFormat="1" ht="21" customHeight="1" x14ac:dyDescent="0.2">
      <c r="A9" s="959" t="s">
        <v>322</v>
      </c>
      <c r="B9" s="959"/>
      <c r="C9" s="959"/>
      <c r="D9" s="959"/>
      <c r="E9" s="653">
        <f t="shared" ref="E9:K9" si="1">SUM(E10:E145)-E91</f>
        <v>194709</v>
      </c>
      <c r="F9" s="653">
        <f t="shared" si="1"/>
        <v>16031</v>
      </c>
      <c r="G9" s="653">
        <f t="shared" si="1"/>
        <v>16031</v>
      </c>
      <c r="H9" s="653">
        <f t="shared" si="1"/>
        <v>4809</v>
      </c>
      <c r="I9" s="653">
        <f t="shared" si="1"/>
        <v>1603</v>
      </c>
      <c r="J9" s="653">
        <f t="shared" si="1"/>
        <v>1603</v>
      </c>
      <c r="K9" s="653">
        <f t="shared" si="1"/>
        <v>1603</v>
      </c>
    </row>
    <row r="10" spans="1:11" x14ac:dyDescent="0.25">
      <c r="A10" s="645">
        <v>1</v>
      </c>
      <c r="B10" s="645">
        <v>1</v>
      </c>
      <c r="C10" s="71" t="s">
        <v>54</v>
      </c>
      <c r="D10" s="31" t="s">
        <v>55</v>
      </c>
      <c r="E10" s="652">
        <v>867</v>
      </c>
      <c r="F10" s="652">
        <v>3</v>
      </c>
      <c r="G10" s="652">
        <v>3</v>
      </c>
      <c r="H10" s="652">
        <v>0</v>
      </c>
      <c r="I10" s="652">
        <v>0</v>
      </c>
      <c r="J10" s="652">
        <v>0</v>
      </c>
      <c r="K10" s="652">
        <v>0</v>
      </c>
    </row>
    <row r="11" spans="1:11" x14ac:dyDescent="0.25">
      <c r="A11" s="645">
        <v>2</v>
      </c>
      <c r="B11" s="645">
        <v>2</v>
      </c>
      <c r="C11" s="72" t="s">
        <v>56</v>
      </c>
      <c r="D11" s="31" t="s">
        <v>57</v>
      </c>
      <c r="E11" s="652">
        <v>896</v>
      </c>
      <c r="F11" s="652">
        <v>0</v>
      </c>
      <c r="G11" s="652">
        <v>0</v>
      </c>
      <c r="H11" s="652">
        <v>0</v>
      </c>
      <c r="I11" s="652">
        <v>0</v>
      </c>
      <c r="J11" s="652">
        <v>0</v>
      </c>
      <c r="K11" s="652">
        <v>0</v>
      </c>
    </row>
    <row r="12" spans="1:11" x14ac:dyDescent="0.25">
      <c r="A12" s="645">
        <v>3</v>
      </c>
      <c r="B12" s="645">
        <v>3</v>
      </c>
      <c r="C12" s="70" t="s">
        <v>16</v>
      </c>
      <c r="D12" s="31" t="s">
        <v>17</v>
      </c>
      <c r="E12" s="652">
        <v>2719</v>
      </c>
      <c r="F12" s="652">
        <v>1750</v>
      </c>
      <c r="G12" s="652">
        <v>1750</v>
      </c>
      <c r="H12" s="652">
        <v>525</v>
      </c>
      <c r="I12" s="652">
        <v>175</v>
      </c>
      <c r="J12" s="652">
        <v>175</v>
      </c>
      <c r="K12" s="652">
        <v>175</v>
      </c>
    </row>
    <row r="13" spans="1:11" x14ac:dyDescent="0.25">
      <c r="A13" s="645">
        <v>4</v>
      </c>
      <c r="B13" s="645">
        <v>4</v>
      </c>
      <c r="C13" s="71" t="s">
        <v>58</v>
      </c>
      <c r="D13" s="31" t="s">
        <v>59</v>
      </c>
      <c r="E13" s="652">
        <v>963</v>
      </c>
      <c r="F13" s="652">
        <v>1</v>
      </c>
      <c r="G13" s="652">
        <v>1</v>
      </c>
      <c r="H13" s="652">
        <v>0</v>
      </c>
      <c r="I13" s="652">
        <v>0</v>
      </c>
      <c r="J13" s="652">
        <v>0</v>
      </c>
      <c r="K13" s="652">
        <v>0</v>
      </c>
    </row>
    <row r="14" spans="1:11" x14ac:dyDescent="0.25">
      <c r="A14" s="645">
        <v>5</v>
      </c>
      <c r="B14" s="645">
        <v>5</v>
      </c>
      <c r="C14" s="71" t="s">
        <v>60</v>
      </c>
      <c r="D14" s="31" t="s">
        <v>61</v>
      </c>
      <c r="E14" s="652">
        <v>1046</v>
      </c>
      <c r="F14" s="652">
        <v>0</v>
      </c>
      <c r="G14" s="652">
        <v>0</v>
      </c>
      <c r="H14" s="652">
        <v>0</v>
      </c>
      <c r="I14" s="652">
        <v>0</v>
      </c>
      <c r="J14" s="652">
        <v>0</v>
      </c>
      <c r="K14" s="652">
        <v>0</v>
      </c>
    </row>
    <row r="15" spans="1:11" x14ac:dyDescent="0.25">
      <c r="A15" s="645">
        <v>6</v>
      </c>
      <c r="B15" s="645">
        <v>6</v>
      </c>
      <c r="C15" s="70" t="s">
        <v>18</v>
      </c>
      <c r="D15" s="31" t="s">
        <v>19</v>
      </c>
      <c r="E15" s="652">
        <v>7492</v>
      </c>
      <c r="F15" s="652">
        <v>3764</v>
      </c>
      <c r="G15" s="652">
        <v>3764</v>
      </c>
      <c r="H15" s="652">
        <v>1128</v>
      </c>
      <c r="I15" s="652">
        <v>376</v>
      </c>
      <c r="J15" s="652">
        <v>376</v>
      </c>
      <c r="K15" s="652">
        <v>376</v>
      </c>
    </row>
    <row r="16" spans="1:11" x14ac:dyDescent="0.25">
      <c r="A16" s="645">
        <v>7</v>
      </c>
      <c r="B16" s="645">
        <v>7</v>
      </c>
      <c r="C16" s="71" t="s">
        <v>62</v>
      </c>
      <c r="D16" s="31" t="s">
        <v>63</v>
      </c>
      <c r="E16" s="652">
        <v>2746</v>
      </c>
      <c r="F16" s="652">
        <v>1</v>
      </c>
      <c r="G16" s="652">
        <v>1</v>
      </c>
      <c r="H16" s="652">
        <v>0</v>
      </c>
      <c r="I16" s="652">
        <v>0</v>
      </c>
      <c r="J16" s="652">
        <v>0</v>
      </c>
      <c r="K16" s="652">
        <v>0</v>
      </c>
    </row>
    <row r="17" spans="1:11" x14ac:dyDescent="0.25">
      <c r="A17" s="645">
        <v>8</v>
      </c>
      <c r="B17" s="645">
        <v>8</v>
      </c>
      <c r="C17" s="70" t="s">
        <v>64</v>
      </c>
      <c r="D17" s="31" t="s">
        <v>65</v>
      </c>
      <c r="E17" s="652">
        <v>1109</v>
      </c>
      <c r="F17" s="652">
        <v>10</v>
      </c>
      <c r="G17" s="652">
        <v>10</v>
      </c>
      <c r="H17" s="652">
        <v>3</v>
      </c>
      <c r="I17" s="652">
        <v>1</v>
      </c>
      <c r="J17" s="652">
        <v>1</v>
      </c>
      <c r="K17" s="652">
        <v>1</v>
      </c>
    </row>
    <row r="18" spans="1:11" x14ac:dyDescent="0.25">
      <c r="A18" s="645">
        <v>9</v>
      </c>
      <c r="B18" s="645">
        <v>9</v>
      </c>
      <c r="C18" s="70" t="s">
        <v>66</v>
      </c>
      <c r="D18" s="31" t="s">
        <v>67</v>
      </c>
      <c r="E18" s="652">
        <v>993</v>
      </c>
      <c r="F18" s="652">
        <v>51</v>
      </c>
      <c r="G18" s="652">
        <v>51</v>
      </c>
      <c r="H18" s="652">
        <v>15</v>
      </c>
      <c r="I18" s="652">
        <v>5</v>
      </c>
      <c r="J18" s="652">
        <v>5</v>
      </c>
      <c r="K18" s="652">
        <v>5</v>
      </c>
    </row>
    <row r="19" spans="1:11" x14ac:dyDescent="0.25">
      <c r="A19" s="645">
        <v>10</v>
      </c>
      <c r="B19" s="645">
        <v>10</v>
      </c>
      <c r="C19" s="70" t="s">
        <v>68</v>
      </c>
      <c r="D19" s="31" t="s">
        <v>69</v>
      </c>
      <c r="E19" s="652">
        <v>1388</v>
      </c>
      <c r="F19" s="652">
        <v>3</v>
      </c>
      <c r="G19" s="652">
        <v>3</v>
      </c>
      <c r="H19" s="652">
        <v>0</v>
      </c>
      <c r="I19" s="652">
        <v>0</v>
      </c>
      <c r="J19" s="652">
        <v>0</v>
      </c>
      <c r="K19" s="652">
        <v>0</v>
      </c>
    </row>
    <row r="20" spans="1:11" x14ac:dyDescent="0.25">
      <c r="A20" s="645">
        <v>11</v>
      </c>
      <c r="B20" s="645">
        <v>11</v>
      </c>
      <c r="C20" s="70" t="s">
        <v>70</v>
      </c>
      <c r="D20" s="31" t="s">
        <v>71</v>
      </c>
      <c r="E20" s="652">
        <v>987</v>
      </c>
      <c r="F20" s="652">
        <v>32</v>
      </c>
      <c r="G20" s="652">
        <v>32</v>
      </c>
      <c r="H20" s="652">
        <v>9</v>
      </c>
      <c r="I20" s="652">
        <v>3</v>
      </c>
      <c r="J20" s="652">
        <v>3</v>
      </c>
      <c r="K20" s="652">
        <v>3</v>
      </c>
    </row>
    <row r="21" spans="1:11" x14ac:dyDescent="0.25">
      <c r="A21" s="645">
        <v>12</v>
      </c>
      <c r="B21" s="645">
        <v>12</v>
      </c>
      <c r="C21" s="70" t="s">
        <v>72</v>
      </c>
      <c r="D21" s="31" t="s">
        <v>73</v>
      </c>
      <c r="E21" s="652">
        <v>2045</v>
      </c>
      <c r="F21" s="652">
        <v>10</v>
      </c>
      <c r="G21" s="652">
        <v>10</v>
      </c>
      <c r="H21" s="652">
        <v>3</v>
      </c>
      <c r="I21" s="652">
        <v>1</v>
      </c>
      <c r="J21" s="652">
        <v>1</v>
      </c>
      <c r="K21" s="652">
        <v>1</v>
      </c>
    </row>
    <row r="22" spans="1:11" x14ac:dyDescent="0.25">
      <c r="A22" s="645">
        <v>13</v>
      </c>
      <c r="B22" s="645">
        <v>13</v>
      </c>
      <c r="C22" s="70" t="s">
        <v>74</v>
      </c>
      <c r="D22" s="31" t="s">
        <v>75</v>
      </c>
      <c r="E22" s="652">
        <v>0</v>
      </c>
      <c r="F22" s="652">
        <v>0</v>
      </c>
      <c r="G22" s="652">
        <v>0</v>
      </c>
      <c r="H22" s="652">
        <v>0</v>
      </c>
      <c r="I22" s="652">
        <v>0</v>
      </c>
      <c r="J22" s="652">
        <v>0</v>
      </c>
      <c r="K22" s="652">
        <v>0</v>
      </c>
    </row>
    <row r="23" spans="1:11" x14ac:dyDescent="0.25">
      <c r="A23" s="645">
        <v>14</v>
      </c>
      <c r="B23" s="645">
        <v>14</v>
      </c>
      <c r="C23" s="70" t="s">
        <v>76</v>
      </c>
      <c r="D23" s="31" t="s">
        <v>77</v>
      </c>
      <c r="E23" s="652">
        <v>1269</v>
      </c>
      <c r="F23" s="652">
        <v>1269</v>
      </c>
      <c r="G23" s="652">
        <v>1269</v>
      </c>
      <c r="H23" s="652">
        <v>381</v>
      </c>
      <c r="I23" s="652">
        <v>127</v>
      </c>
      <c r="J23" s="652">
        <v>127</v>
      </c>
      <c r="K23" s="652">
        <v>127</v>
      </c>
    </row>
    <row r="24" spans="1:11" x14ac:dyDescent="0.25">
      <c r="A24" s="645">
        <v>15</v>
      </c>
      <c r="B24" s="645">
        <v>15</v>
      </c>
      <c r="C24" s="70" t="s">
        <v>78</v>
      </c>
      <c r="D24" s="31" t="s">
        <v>79</v>
      </c>
      <c r="E24" s="652">
        <v>1832</v>
      </c>
      <c r="F24" s="652">
        <v>140</v>
      </c>
      <c r="G24" s="652">
        <v>140</v>
      </c>
      <c r="H24" s="652">
        <v>42</v>
      </c>
      <c r="I24" s="652">
        <v>14</v>
      </c>
      <c r="J24" s="652">
        <v>14</v>
      </c>
      <c r="K24" s="652">
        <v>14</v>
      </c>
    </row>
    <row r="25" spans="1:11" x14ac:dyDescent="0.25">
      <c r="A25" s="645">
        <v>16</v>
      </c>
      <c r="B25" s="645">
        <v>16</v>
      </c>
      <c r="C25" s="70" t="s">
        <v>80</v>
      </c>
      <c r="D25" s="31" t="s">
        <v>81</v>
      </c>
      <c r="E25" s="652">
        <v>2395</v>
      </c>
      <c r="F25" s="652">
        <v>12</v>
      </c>
      <c r="G25" s="652">
        <v>12</v>
      </c>
      <c r="H25" s="652">
        <v>3</v>
      </c>
      <c r="I25" s="652">
        <v>1</v>
      </c>
      <c r="J25" s="652">
        <v>1</v>
      </c>
      <c r="K25" s="652">
        <v>1</v>
      </c>
    </row>
    <row r="26" spans="1:11" x14ac:dyDescent="0.25">
      <c r="A26" s="645">
        <v>17</v>
      </c>
      <c r="B26" s="645">
        <v>17</v>
      </c>
      <c r="C26" s="70" t="s">
        <v>20</v>
      </c>
      <c r="D26" s="31" t="s">
        <v>21</v>
      </c>
      <c r="E26" s="652">
        <v>4578</v>
      </c>
      <c r="F26" s="652">
        <v>10</v>
      </c>
      <c r="G26" s="652">
        <v>10</v>
      </c>
      <c r="H26" s="652">
        <v>3</v>
      </c>
      <c r="I26" s="652">
        <v>1</v>
      </c>
      <c r="J26" s="652">
        <v>1</v>
      </c>
      <c r="K26" s="652">
        <v>1</v>
      </c>
    </row>
    <row r="27" spans="1:11" x14ac:dyDescent="0.25">
      <c r="A27" s="645">
        <v>18</v>
      </c>
      <c r="B27" s="645">
        <v>18</v>
      </c>
      <c r="C27" s="71" t="s">
        <v>82</v>
      </c>
      <c r="D27" s="31" t="s">
        <v>83</v>
      </c>
      <c r="E27" s="652">
        <v>745</v>
      </c>
      <c r="F27" s="652">
        <v>745</v>
      </c>
      <c r="G27" s="652">
        <v>745</v>
      </c>
      <c r="H27" s="652">
        <v>225</v>
      </c>
      <c r="I27" s="652">
        <v>75</v>
      </c>
      <c r="J27" s="652">
        <v>75</v>
      </c>
      <c r="K27" s="652">
        <v>75</v>
      </c>
    </row>
    <row r="28" spans="1:11" x14ac:dyDescent="0.25">
      <c r="A28" s="645">
        <v>19</v>
      </c>
      <c r="B28" s="645">
        <v>19</v>
      </c>
      <c r="C28" s="71" t="s">
        <v>84</v>
      </c>
      <c r="D28" s="31" t="s">
        <v>85</v>
      </c>
      <c r="E28" s="652">
        <v>631</v>
      </c>
      <c r="F28" s="652">
        <v>16</v>
      </c>
      <c r="G28" s="652">
        <v>16</v>
      </c>
      <c r="H28" s="652">
        <v>6</v>
      </c>
      <c r="I28" s="652">
        <v>2</v>
      </c>
      <c r="J28" s="652">
        <v>2</v>
      </c>
      <c r="K28" s="652">
        <v>2</v>
      </c>
    </row>
    <row r="29" spans="1:11" x14ac:dyDescent="0.25">
      <c r="A29" s="645">
        <v>20</v>
      </c>
      <c r="B29" s="645">
        <v>20</v>
      </c>
      <c r="C29" s="71" t="s">
        <v>86</v>
      </c>
      <c r="D29" s="31" t="s">
        <v>87</v>
      </c>
      <c r="E29" s="652">
        <v>3260</v>
      </c>
      <c r="F29" s="652">
        <v>163</v>
      </c>
      <c r="G29" s="652">
        <v>163</v>
      </c>
      <c r="H29" s="652">
        <v>48</v>
      </c>
      <c r="I29" s="652">
        <v>16</v>
      </c>
      <c r="J29" s="652">
        <v>16</v>
      </c>
      <c r="K29" s="652">
        <v>16</v>
      </c>
    </row>
    <row r="30" spans="1:11" x14ac:dyDescent="0.25">
      <c r="A30" s="645">
        <v>21</v>
      </c>
      <c r="B30" s="645">
        <v>21</v>
      </c>
      <c r="C30" s="71" t="s">
        <v>22</v>
      </c>
      <c r="D30" s="31" t="s">
        <v>23</v>
      </c>
      <c r="E30" s="652">
        <v>2735</v>
      </c>
      <c r="F30" s="652">
        <v>2099</v>
      </c>
      <c r="G30" s="652">
        <v>2099</v>
      </c>
      <c r="H30" s="652">
        <v>630</v>
      </c>
      <c r="I30" s="652">
        <v>210</v>
      </c>
      <c r="J30" s="652">
        <v>210</v>
      </c>
      <c r="K30" s="652">
        <v>210</v>
      </c>
    </row>
    <row r="31" spans="1:11" x14ac:dyDescent="0.25">
      <c r="A31" s="645">
        <v>22</v>
      </c>
      <c r="B31" s="645">
        <v>22</v>
      </c>
      <c r="C31" s="70" t="s">
        <v>24</v>
      </c>
      <c r="D31" s="31" t="s">
        <v>25</v>
      </c>
      <c r="E31" s="652">
        <v>676</v>
      </c>
      <c r="F31" s="652">
        <v>10</v>
      </c>
      <c r="G31" s="652">
        <v>10</v>
      </c>
      <c r="H31" s="652">
        <v>3</v>
      </c>
      <c r="I31" s="652">
        <v>1</v>
      </c>
      <c r="J31" s="652">
        <v>1</v>
      </c>
      <c r="K31" s="652">
        <v>1</v>
      </c>
    </row>
    <row r="32" spans="1:11" x14ac:dyDescent="0.25">
      <c r="A32" s="645">
        <v>23</v>
      </c>
      <c r="B32" s="645">
        <v>23</v>
      </c>
      <c r="C32" s="70" t="s">
        <v>88</v>
      </c>
      <c r="D32" s="31" t="s">
        <v>89</v>
      </c>
      <c r="E32" s="652">
        <v>0</v>
      </c>
      <c r="F32" s="652">
        <v>0</v>
      </c>
      <c r="G32" s="652">
        <v>0</v>
      </c>
      <c r="H32" s="652">
        <v>0</v>
      </c>
      <c r="I32" s="652">
        <v>0</v>
      </c>
      <c r="J32" s="652">
        <v>0</v>
      </c>
      <c r="K32" s="652">
        <v>0</v>
      </c>
    </row>
    <row r="33" spans="1:11" x14ac:dyDescent="0.25">
      <c r="A33" s="645">
        <v>24</v>
      </c>
      <c r="B33" s="645">
        <v>24</v>
      </c>
      <c r="C33" s="70" t="s">
        <v>90</v>
      </c>
      <c r="D33" s="31" t="s">
        <v>91</v>
      </c>
      <c r="E33" s="652">
        <v>0</v>
      </c>
      <c r="F33" s="652">
        <v>0</v>
      </c>
      <c r="G33" s="652">
        <v>0</v>
      </c>
      <c r="H33" s="652">
        <v>0</v>
      </c>
      <c r="I33" s="652">
        <v>0</v>
      </c>
      <c r="J33" s="652">
        <v>0</v>
      </c>
      <c r="K33" s="652">
        <v>0</v>
      </c>
    </row>
    <row r="34" spans="1:11" x14ac:dyDescent="0.25">
      <c r="A34" s="645">
        <v>25</v>
      </c>
      <c r="B34" s="645">
        <v>25</v>
      </c>
      <c r="C34" s="71" t="s">
        <v>92</v>
      </c>
      <c r="D34" s="31" t="s">
        <v>93</v>
      </c>
      <c r="E34" s="652">
        <v>14779</v>
      </c>
      <c r="F34" s="652">
        <v>20</v>
      </c>
      <c r="G34" s="652">
        <v>20</v>
      </c>
      <c r="H34" s="652">
        <v>6</v>
      </c>
      <c r="I34" s="652">
        <v>2</v>
      </c>
      <c r="J34" s="652">
        <v>2</v>
      </c>
      <c r="K34" s="652">
        <v>2</v>
      </c>
    </row>
    <row r="35" spans="1:11" x14ac:dyDescent="0.25">
      <c r="A35" s="645">
        <v>26</v>
      </c>
      <c r="B35" s="645">
        <v>26</v>
      </c>
      <c r="C35" s="70" t="s">
        <v>94</v>
      </c>
      <c r="D35" s="31" t="s">
        <v>95</v>
      </c>
      <c r="E35" s="652">
        <v>0</v>
      </c>
      <c r="F35" s="652">
        <v>0</v>
      </c>
      <c r="G35" s="652">
        <v>0</v>
      </c>
      <c r="H35" s="652">
        <v>0</v>
      </c>
      <c r="I35" s="652">
        <v>0</v>
      </c>
      <c r="J35" s="652">
        <v>0</v>
      </c>
      <c r="K35" s="652">
        <v>0</v>
      </c>
    </row>
    <row r="36" spans="1:11" x14ac:dyDescent="0.25">
      <c r="A36" s="645">
        <v>27</v>
      </c>
      <c r="B36" s="645">
        <v>27</v>
      </c>
      <c r="C36" s="72" t="s">
        <v>96</v>
      </c>
      <c r="D36" s="31" t="s">
        <v>97</v>
      </c>
      <c r="E36" s="652">
        <v>0</v>
      </c>
      <c r="F36" s="652">
        <v>0</v>
      </c>
      <c r="G36" s="652">
        <v>0</v>
      </c>
      <c r="H36" s="652">
        <v>0</v>
      </c>
      <c r="I36" s="652">
        <v>0</v>
      </c>
      <c r="J36" s="652">
        <v>0</v>
      </c>
      <c r="K36" s="652">
        <v>0</v>
      </c>
    </row>
    <row r="37" spans="1:11" x14ac:dyDescent="0.25">
      <c r="A37" s="645">
        <v>29</v>
      </c>
      <c r="B37" s="645">
        <v>28</v>
      </c>
      <c r="C37" s="72" t="s">
        <v>26</v>
      </c>
      <c r="D37" s="31" t="s">
        <v>27</v>
      </c>
      <c r="E37" s="652">
        <v>3944</v>
      </c>
      <c r="F37" s="652">
        <v>110</v>
      </c>
      <c r="G37" s="652">
        <v>110</v>
      </c>
      <c r="H37" s="700">
        <f>I37+J37+K37</f>
        <v>669</v>
      </c>
      <c r="I37" s="700">
        <v>223</v>
      </c>
      <c r="J37" s="700">
        <v>223</v>
      </c>
      <c r="K37" s="700">
        <v>223</v>
      </c>
    </row>
    <row r="38" spans="1:11" x14ac:dyDescent="0.25">
      <c r="A38" s="645">
        <v>30</v>
      </c>
      <c r="B38" s="645">
        <v>29</v>
      </c>
      <c r="C38" s="71" t="s">
        <v>98</v>
      </c>
      <c r="D38" s="31" t="s">
        <v>99</v>
      </c>
      <c r="E38" s="652">
        <v>5806</v>
      </c>
      <c r="F38" s="652">
        <v>19</v>
      </c>
      <c r="G38" s="652">
        <v>19</v>
      </c>
      <c r="H38" s="652">
        <v>6</v>
      </c>
      <c r="I38" s="652">
        <v>2</v>
      </c>
      <c r="J38" s="652">
        <v>2</v>
      </c>
      <c r="K38" s="652">
        <v>2</v>
      </c>
    </row>
    <row r="39" spans="1:11" x14ac:dyDescent="0.25">
      <c r="A39" s="645">
        <v>31</v>
      </c>
      <c r="B39" s="645">
        <v>30</v>
      </c>
      <c r="C39" s="72" t="s">
        <v>100</v>
      </c>
      <c r="D39" s="31" t="s">
        <v>101</v>
      </c>
      <c r="E39" s="652">
        <v>1113</v>
      </c>
      <c r="F39" s="652">
        <v>15</v>
      </c>
      <c r="G39" s="652">
        <v>15</v>
      </c>
      <c r="H39" s="652">
        <v>6</v>
      </c>
      <c r="I39" s="652">
        <v>2</v>
      </c>
      <c r="J39" s="652">
        <v>2</v>
      </c>
      <c r="K39" s="652">
        <v>2</v>
      </c>
    </row>
    <row r="40" spans="1:11" x14ac:dyDescent="0.25">
      <c r="A40" s="645">
        <v>32</v>
      </c>
      <c r="B40" s="645">
        <v>31</v>
      </c>
      <c r="C40" s="70" t="s">
        <v>102</v>
      </c>
      <c r="D40" s="31" t="s">
        <v>103</v>
      </c>
      <c r="E40" s="652">
        <v>4013</v>
      </c>
      <c r="F40" s="652">
        <v>51</v>
      </c>
      <c r="G40" s="652">
        <v>51</v>
      </c>
      <c r="H40" s="652">
        <v>15</v>
      </c>
      <c r="I40" s="652">
        <v>5</v>
      </c>
      <c r="J40" s="652">
        <v>5</v>
      </c>
      <c r="K40" s="652">
        <v>5</v>
      </c>
    </row>
    <row r="41" spans="1:11" x14ac:dyDescent="0.25">
      <c r="A41" s="645">
        <v>33</v>
      </c>
      <c r="B41" s="645">
        <v>32</v>
      </c>
      <c r="C41" s="72" t="s">
        <v>104</v>
      </c>
      <c r="D41" s="31" t="s">
        <v>105</v>
      </c>
      <c r="E41" s="652">
        <v>1475</v>
      </c>
      <c r="F41" s="652">
        <v>2</v>
      </c>
      <c r="G41" s="652">
        <v>2</v>
      </c>
      <c r="H41" s="652">
        <v>0</v>
      </c>
      <c r="I41" s="652">
        <v>0</v>
      </c>
      <c r="J41" s="652">
        <v>0</v>
      </c>
      <c r="K41" s="652">
        <v>0</v>
      </c>
    </row>
    <row r="42" spans="1:11" x14ac:dyDescent="0.25">
      <c r="A42" s="645">
        <v>34</v>
      </c>
      <c r="B42" s="645">
        <v>33</v>
      </c>
      <c r="C42" s="71" t="s">
        <v>106</v>
      </c>
      <c r="D42" s="31" t="s">
        <v>107</v>
      </c>
      <c r="E42" s="652">
        <v>3862</v>
      </c>
      <c r="F42" s="652">
        <v>0</v>
      </c>
      <c r="G42" s="652">
        <v>0</v>
      </c>
      <c r="H42" s="652">
        <v>0</v>
      </c>
      <c r="I42" s="652">
        <v>0</v>
      </c>
      <c r="J42" s="652">
        <v>0</v>
      </c>
      <c r="K42" s="652">
        <v>0</v>
      </c>
    </row>
    <row r="43" spans="1:11" x14ac:dyDescent="0.25">
      <c r="A43" s="645">
        <v>35</v>
      </c>
      <c r="B43" s="645">
        <v>34</v>
      </c>
      <c r="C43" s="654" t="s">
        <v>108</v>
      </c>
      <c r="D43" s="655" t="s">
        <v>109</v>
      </c>
      <c r="E43" s="652">
        <v>1321</v>
      </c>
      <c r="F43" s="652">
        <v>0</v>
      </c>
      <c r="G43" s="652">
        <v>0</v>
      </c>
      <c r="H43" s="652">
        <v>0</v>
      </c>
      <c r="I43" s="652">
        <v>0</v>
      </c>
      <c r="J43" s="652">
        <v>0</v>
      </c>
      <c r="K43" s="652">
        <v>0</v>
      </c>
    </row>
    <row r="44" spans="1:11" x14ac:dyDescent="0.25">
      <c r="A44" s="645">
        <v>36</v>
      </c>
      <c r="B44" s="645">
        <v>35</v>
      </c>
      <c r="C44" s="71" t="s">
        <v>110</v>
      </c>
      <c r="D44" s="31" t="s">
        <v>111</v>
      </c>
      <c r="E44" s="652">
        <v>849</v>
      </c>
      <c r="F44" s="652">
        <v>15</v>
      </c>
      <c r="G44" s="652">
        <v>15</v>
      </c>
      <c r="H44" s="652">
        <v>6</v>
      </c>
      <c r="I44" s="652">
        <v>2</v>
      </c>
      <c r="J44" s="652">
        <v>2</v>
      </c>
      <c r="K44" s="652">
        <v>2</v>
      </c>
    </row>
    <row r="45" spans="1:11" x14ac:dyDescent="0.25">
      <c r="A45" s="645">
        <v>37</v>
      </c>
      <c r="B45" s="645">
        <v>36</v>
      </c>
      <c r="C45" s="71" t="s">
        <v>112</v>
      </c>
      <c r="D45" s="31" t="s">
        <v>113</v>
      </c>
      <c r="E45" s="652">
        <v>1507</v>
      </c>
      <c r="F45" s="652">
        <v>370</v>
      </c>
      <c r="G45" s="652">
        <v>370</v>
      </c>
      <c r="H45" s="652">
        <v>111</v>
      </c>
      <c r="I45" s="652">
        <v>37</v>
      </c>
      <c r="J45" s="652">
        <v>37</v>
      </c>
      <c r="K45" s="652">
        <v>37</v>
      </c>
    </row>
    <row r="46" spans="1:11" x14ac:dyDescent="0.25">
      <c r="A46" s="645">
        <v>38</v>
      </c>
      <c r="B46" s="645">
        <v>37</v>
      </c>
      <c r="C46" s="70" t="s">
        <v>114</v>
      </c>
      <c r="D46" s="31" t="s">
        <v>115</v>
      </c>
      <c r="E46" s="652">
        <v>688</v>
      </c>
      <c r="F46" s="652">
        <v>0</v>
      </c>
      <c r="G46" s="652">
        <v>0</v>
      </c>
      <c r="H46" s="652">
        <v>0</v>
      </c>
      <c r="I46" s="652">
        <v>0</v>
      </c>
      <c r="J46" s="652">
        <v>0</v>
      </c>
      <c r="K46" s="652">
        <v>0</v>
      </c>
    </row>
    <row r="47" spans="1:11" x14ac:dyDescent="0.25">
      <c r="A47" s="645">
        <v>39</v>
      </c>
      <c r="B47" s="645">
        <v>38</v>
      </c>
      <c r="C47" s="72" t="s">
        <v>116</v>
      </c>
      <c r="D47" s="31" t="s">
        <v>117</v>
      </c>
      <c r="E47" s="652">
        <v>992</v>
      </c>
      <c r="F47" s="652">
        <v>0</v>
      </c>
      <c r="G47" s="652">
        <v>0</v>
      </c>
      <c r="H47" s="652">
        <v>0</v>
      </c>
      <c r="I47" s="652">
        <v>0</v>
      </c>
      <c r="J47" s="652">
        <v>0</v>
      </c>
      <c r="K47" s="652">
        <v>0</v>
      </c>
    </row>
    <row r="48" spans="1:11" x14ac:dyDescent="0.25">
      <c r="A48" s="645">
        <v>40</v>
      </c>
      <c r="B48" s="645">
        <v>39</v>
      </c>
      <c r="C48" s="70" t="s">
        <v>28</v>
      </c>
      <c r="D48" s="31" t="s">
        <v>29</v>
      </c>
      <c r="E48" s="652">
        <v>5155</v>
      </c>
      <c r="F48" s="652">
        <v>73</v>
      </c>
      <c r="G48" s="652">
        <v>73</v>
      </c>
      <c r="H48" s="652">
        <v>21</v>
      </c>
      <c r="I48" s="652">
        <v>7</v>
      </c>
      <c r="J48" s="652">
        <v>7</v>
      </c>
      <c r="K48" s="652">
        <v>7</v>
      </c>
    </row>
    <row r="49" spans="1:11" x14ac:dyDescent="0.25">
      <c r="A49" s="645">
        <v>41</v>
      </c>
      <c r="B49" s="645">
        <v>40</v>
      </c>
      <c r="C49" s="71" t="s">
        <v>118</v>
      </c>
      <c r="D49" s="31" t="s">
        <v>119</v>
      </c>
      <c r="E49" s="652">
        <v>1196</v>
      </c>
      <c r="F49" s="652">
        <v>0</v>
      </c>
      <c r="G49" s="652">
        <v>0</v>
      </c>
      <c r="H49" s="652">
        <v>0</v>
      </c>
      <c r="I49" s="652">
        <v>0</v>
      </c>
      <c r="J49" s="652">
        <v>0</v>
      </c>
      <c r="K49" s="652">
        <v>0</v>
      </c>
    </row>
    <row r="50" spans="1:11" x14ac:dyDescent="0.25">
      <c r="A50" s="645">
        <v>42</v>
      </c>
      <c r="B50" s="645">
        <v>41</v>
      </c>
      <c r="C50" s="71" t="s">
        <v>120</v>
      </c>
      <c r="D50" s="31" t="s">
        <v>121</v>
      </c>
      <c r="E50" s="652">
        <v>4184</v>
      </c>
      <c r="F50" s="652">
        <v>13</v>
      </c>
      <c r="G50" s="652">
        <v>13</v>
      </c>
      <c r="H50" s="652">
        <v>3</v>
      </c>
      <c r="I50" s="652">
        <v>1</v>
      </c>
      <c r="J50" s="652">
        <v>1</v>
      </c>
      <c r="K50" s="652">
        <v>1</v>
      </c>
    </row>
    <row r="51" spans="1:11" x14ac:dyDescent="0.25">
      <c r="A51" s="645">
        <v>43</v>
      </c>
      <c r="B51" s="645">
        <v>42</v>
      </c>
      <c r="C51" s="70" t="s">
        <v>122</v>
      </c>
      <c r="D51" s="31" t="s">
        <v>123</v>
      </c>
      <c r="E51" s="652">
        <v>915</v>
      </c>
      <c r="F51" s="652">
        <v>0</v>
      </c>
      <c r="G51" s="652">
        <v>0</v>
      </c>
      <c r="H51" s="652">
        <v>0</v>
      </c>
      <c r="I51" s="652">
        <v>0</v>
      </c>
      <c r="J51" s="652">
        <v>0</v>
      </c>
      <c r="K51" s="652">
        <v>0</v>
      </c>
    </row>
    <row r="52" spans="1:11" x14ac:dyDescent="0.25">
      <c r="A52" s="645"/>
      <c r="B52" s="645">
        <v>43</v>
      </c>
      <c r="C52" s="72" t="s">
        <v>124</v>
      </c>
      <c r="D52" s="31" t="s">
        <v>125</v>
      </c>
      <c r="E52" s="652">
        <v>1250</v>
      </c>
      <c r="F52" s="652">
        <v>42</v>
      </c>
      <c r="G52" s="652">
        <v>42</v>
      </c>
      <c r="H52" s="652">
        <v>12</v>
      </c>
      <c r="I52" s="652">
        <v>4</v>
      </c>
      <c r="J52" s="652">
        <v>4</v>
      </c>
      <c r="K52" s="652">
        <v>4</v>
      </c>
    </row>
    <row r="53" spans="1:11" x14ac:dyDescent="0.25">
      <c r="A53" s="645">
        <v>44</v>
      </c>
      <c r="B53" s="645">
        <v>44</v>
      </c>
      <c r="C53" s="70" t="s">
        <v>126</v>
      </c>
      <c r="D53" s="31" t="s">
        <v>127</v>
      </c>
      <c r="E53" s="652">
        <v>1464</v>
      </c>
      <c r="F53" s="652">
        <v>11</v>
      </c>
      <c r="G53" s="652">
        <v>11</v>
      </c>
      <c r="H53" s="652">
        <v>3</v>
      </c>
      <c r="I53" s="652">
        <v>1</v>
      </c>
      <c r="J53" s="652">
        <v>1</v>
      </c>
      <c r="K53" s="652">
        <v>1</v>
      </c>
    </row>
    <row r="54" spans="1:11" x14ac:dyDescent="0.25">
      <c r="A54" s="645">
        <v>45</v>
      </c>
      <c r="B54" s="645">
        <v>45</v>
      </c>
      <c r="C54" s="72" t="s">
        <v>128</v>
      </c>
      <c r="D54" s="31" t="s">
        <v>129</v>
      </c>
      <c r="E54" s="652">
        <v>1730</v>
      </c>
      <c r="F54" s="652">
        <v>0</v>
      </c>
      <c r="G54" s="652">
        <v>0</v>
      </c>
      <c r="H54" s="652">
        <v>0</v>
      </c>
      <c r="I54" s="652">
        <v>0</v>
      </c>
      <c r="J54" s="652">
        <v>0</v>
      </c>
      <c r="K54" s="652">
        <v>0</v>
      </c>
    </row>
    <row r="55" spans="1:11" x14ac:dyDescent="0.25">
      <c r="A55" s="645">
        <v>46</v>
      </c>
      <c r="B55" s="645">
        <v>46</v>
      </c>
      <c r="C55" s="70" t="s">
        <v>130</v>
      </c>
      <c r="D55" s="31" t="s">
        <v>131</v>
      </c>
      <c r="E55" s="652">
        <v>616</v>
      </c>
      <c r="F55" s="652">
        <v>0</v>
      </c>
      <c r="G55" s="652">
        <v>0</v>
      </c>
      <c r="H55" s="652">
        <v>0</v>
      </c>
      <c r="I55" s="652">
        <v>0</v>
      </c>
      <c r="J55" s="652">
        <v>0</v>
      </c>
      <c r="K55" s="652">
        <v>0</v>
      </c>
    </row>
    <row r="56" spans="1:11" x14ac:dyDescent="0.25">
      <c r="A56" s="645">
        <v>47</v>
      </c>
      <c r="B56" s="645">
        <v>47</v>
      </c>
      <c r="C56" s="72" t="s">
        <v>132</v>
      </c>
      <c r="D56" s="31" t="s">
        <v>133</v>
      </c>
      <c r="E56" s="652">
        <v>1127</v>
      </c>
      <c r="F56" s="652">
        <v>93</v>
      </c>
      <c r="G56" s="652">
        <v>93</v>
      </c>
      <c r="H56" s="652">
        <v>27</v>
      </c>
      <c r="I56" s="652">
        <v>9</v>
      </c>
      <c r="J56" s="652">
        <v>9</v>
      </c>
      <c r="K56" s="652">
        <v>9</v>
      </c>
    </row>
    <row r="57" spans="1:11" x14ac:dyDescent="0.25">
      <c r="A57" s="645">
        <v>48</v>
      </c>
      <c r="B57" s="645">
        <v>48</v>
      </c>
      <c r="C57" s="70" t="s">
        <v>134</v>
      </c>
      <c r="D57" s="31" t="s">
        <v>135</v>
      </c>
      <c r="E57" s="652">
        <v>1781</v>
      </c>
      <c r="F57" s="652">
        <v>12</v>
      </c>
      <c r="G57" s="652">
        <v>12</v>
      </c>
      <c r="H57" s="652">
        <v>3</v>
      </c>
      <c r="I57" s="652">
        <v>1</v>
      </c>
      <c r="J57" s="652">
        <v>1</v>
      </c>
      <c r="K57" s="652">
        <v>1</v>
      </c>
    </row>
    <row r="58" spans="1:11" x14ac:dyDescent="0.25">
      <c r="A58" s="645">
        <v>49</v>
      </c>
      <c r="B58" s="645">
        <v>49</v>
      </c>
      <c r="C58" s="70" t="s">
        <v>136</v>
      </c>
      <c r="D58" s="31" t="s">
        <v>137</v>
      </c>
      <c r="E58" s="652">
        <v>6089</v>
      </c>
      <c r="F58" s="652">
        <v>80</v>
      </c>
      <c r="G58" s="652">
        <v>80</v>
      </c>
      <c r="H58" s="652">
        <v>24</v>
      </c>
      <c r="I58" s="652">
        <v>8</v>
      </c>
      <c r="J58" s="652">
        <v>8</v>
      </c>
      <c r="K58" s="652">
        <v>8</v>
      </c>
    </row>
    <row r="59" spans="1:11" x14ac:dyDescent="0.25">
      <c r="A59" s="645"/>
      <c r="B59" s="645">
        <v>50</v>
      </c>
      <c r="C59" s="70" t="s">
        <v>138</v>
      </c>
      <c r="D59" s="31" t="s">
        <v>139</v>
      </c>
      <c r="E59" s="652">
        <v>1265</v>
      </c>
      <c r="F59" s="652">
        <v>2</v>
      </c>
      <c r="G59" s="652">
        <v>2</v>
      </c>
      <c r="H59" s="652">
        <v>0</v>
      </c>
      <c r="I59" s="652">
        <v>0</v>
      </c>
      <c r="J59" s="652">
        <v>0</v>
      </c>
      <c r="K59" s="652">
        <v>0</v>
      </c>
    </row>
    <row r="60" spans="1:11" x14ac:dyDescent="0.25">
      <c r="A60" s="645">
        <v>50</v>
      </c>
      <c r="B60" s="645">
        <v>51</v>
      </c>
      <c r="C60" s="70" t="s">
        <v>140</v>
      </c>
      <c r="D60" s="31" t="s">
        <v>141</v>
      </c>
      <c r="E60" s="652">
        <v>940</v>
      </c>
      <c r="F60" s="652">
        <v>3</v>
      </c>
      <c r="G60" s="652">
        <v>3</v>
      </c>
      <c r="H60" s="652">
        <v>0</v>
      </c>
      <c r="I60" s="652">
        <v>0</v>
      </c>
      <c r="J60" s="652">
        <v>0</v>
      </c>
      <c r="K60" s="652">
        <v>0</v>
      </c>
    </row>
    <row r="61" spans="1:11" x14ac:dyDescent="0.25">
      <c r="A61" s="645"/>
      <c r="B61" s="645">
        <v>52</v>
      </c>
      <c r="C61" s="72" t="s">
        <v>142</v>
      </c>
      <c r="D61" s="31" t="s">
        <v>143</v>
      </c>
      <c r="E61" s="652">
        <v>1014</v>
      </c>
      <c r="F61" s="652">
        <v>8</v>
      </c>
      <c r="G61" s="652">
        <v>8</v>
      </c>
      <c r="H61" s="652">
        <v>3</v>
      </c>
      <c r="I61" s="652">
        <v>1</v>
      </c>
      <c r="J61" s="652">
        <v>1</v>
      </c>
      <c r="K61" s="652">
        <v>1</v>
      </c>
    </row>
    <row r="62" spans="1:11" x14ac:dyDescent="0.25">
      <c r="A62" s="645">
        <v>51</v>
      </c>
      <c r="B62" s="645">
        <v>53</v>
      </c>
      <c r="C62" s="70" t="s">
        <v>144</v>
      </c>
      <c r="D62" s="31" t="s">
        <v>145</v>
      </c>
      <c r="E62" s="652">
        <v>0</v>
      </c>
      <c r="F62" s="652">
        <v>0</v>
      </c>
      <c r="G62" s="652">
        <v>0</v>
      </c>
      <c r="H62" s="652">
        <v>0</v>
      </c>
      <c r="I62" s="652">
        <v>0</v>
      </c>
      <c r="J62" s="652">
        <v>0</v>
      </c>
      <c r="K62" s="652">
        <v>0</v>
      </c>
    </row>
    <row r="63" spans="1:11" x14ac:dyDescent="0.25">
      <c r="A63" s="645">
        <v>52</v>
      </c>
      <c r="B63" s="645">
        <v>54</v>
      </c>
      <c r="C63" s="70" t="s">
        <v>146</v>
      </c>
      <c r="D63" s="31" t="s">
        <v>147</v>
      </c>
      <c r="E63" s="652">
        <v>0</v>
      </c>
      <c r="F63" s="652">
        <v>0</v>
      </c>
      <c r="G63" s="652">
        <v>0</v>
      </c>
      <c r="H63" s="652">
        <v>0</v>
      </c>
      <c r="I63" s="652">
        <v>0</v>
      </c>
      <c r="J63" s="652">
        <v>0</v>
      </c>
      <c r="K63" s="652">
        <v>0</v>
      </c>
    </row>
    <row r="64" spans="1:11" x14ac:dyDescent="0.25">
      <c r="A64" s="645">
        <v>53</v>
      </c>
      <c r="B64" s="645">
        <v>55</v>
      </c>
      <c r="C64" s="70" t="s">
        <v>148</v>
      </c>
      <c r="D64" s="31" t="s">
        <v>149</v>
      </c>
      <c r="E64" s="652">
        <v>0</v>
      </c>
      <c r="F64" s="652">
        <v>0</v>
      </c>
      <c r="G64" s="652">
        <v>0</v>
      </c>
      <c r="H64" s="652">
        <v>0</v>
      </c>
      <c r="I64" s="652">
        <v>0</v>
      </c>
      <c r="J64" s="652">
        <v>0</v>
      </c>
      <c r="K64" s="652">
        <v>0</v>
      </c>
    </row>
    <row r="65" spans="1:11" x14ac:dyDescent="0.25">
      <c r="A65" s="645">
        <v>54</v>
      </c>
      <c r="B65" s="645">
        <v>56</v>
      </c>
      <c r="C65" s="72" t="s">
        <v>150</v>
      </c>
      <c r="D65" s="31" t="s">
        <v>151</v>
      </c>
      <c r="E65" s="652">
        <v>0</v>
      </c>
      <c r="F65" s="652">
        <v>0</v>
      </c>
      <c r="G65" s="652">
        <v>0</v>
      </c>
      <c r="H65" s="652">
        <v>0</v>
      </c>
      <c r="I65" s="652">
        <v>0</v>
      </c>
      <c r="J65" s="652">
        <v>0</v>
      </c>
      <c r="K65" s="652">
        <v>0</v>
      </c>
    </row>
    <row r="66" spans="1:11" x14ac:dyDescent="0.25">
      <c r="A66" s="645">
        <v>55</v>
      </c>
      <c r="B66" s="645">
        <v>57</v>
      </c>
      <c r="C66" s="71" t="s">
        <v>152</v>
      </c>
      <c r="D66" s="31" t="s">
        <v>153</v>
      </c>
      <c r="E66" s="652">
        <v>0</v>
      </c>
      <c r="F66" s="652">
        <v>0</v>
      </c>
      <c r="G66" s="652">
        <v>0</v>
      </c>
      <c r="H66" s="652">
        <v>0</v>
      </c>
      <c r="I66" s="652">
        <v>0</v>
      </c>
      <c r="J66" s="652">
        <v>0</v>
      </c>
      <c r="K66" s="652">
        <v>0</v>
      </c>
    </row>
    <row r="67" spans="1:11" x14ac:dyDescent="0.25">
      <c r="A67" s="645">
        <v>56</v>
      </c>
      <c r="B67" s="645">
        <v>58</v>
      </c>
      <c r="C67" s="72" t="s">
        <v>154</v>
      </c>
      <c r="D67" s="31" t="s">
        <v>155</v>
      </c>
      <c r="E67" s="652">
        <v>0</v>
      </c>
      <c r="F67" s="652">
        <v>0</v>
      </c>
      <c r="G67" s="652">
        <v>0</v>
      </c>
      <c r="H67" s="652">
        <v>0</v>
      </c>
      <c r="I67" s="652">
        <v>0</v>
      </c>
      <c r="J67" s="652">
        <v>0</v>
      </c>
      <c r="K67" s="652">
        <v>0</v>
      </c>
    </row>
    <row r="68" spans="1:11" x14ac:dyDescent="0.25">
      <c r="A68" s="645">
        <v>57</v>
      </c>
      <c r="B68" s="645">
        <v>59</v>
      </c>
      <c r="C68" s="70" t="s">
        <v>156</v>
      </c>
      <c r="D68" s="31" t="s">
        <v>157</v>
      </c>
      <c r="E68" s="652">
        <v>0</v>
      </c>
      <c r="F68" s="652">
        <v>0</v>
      </c>
      <c r="G68" s="652">
        <v>0</v>
      </c>
      <c r="H68" s="652">
        <v>0</v>
      </c>
      <c r="I68" s="652">
        <v>0</v>
      </c>
      <c r="J68" s="652">
        <v>0</v>
      </c>
      <c r="K68" s="652">
        <v>0</v>
      </c>
    </row>
    <row r="69" spans="1:11" x14ac:dyDescent="0.25">
      <c r="A69" s="645">
        <v>58</v>
      </c>
      <c r="B69" s="645">
        <v>60</v>
      </c>
      <c r="C69" s="71" t="s">
        <v>158</v>
      </c>
      <c r="D69" s="31" t="s">
        <v>159</v>
      </c>
      <c r="E69" s="652">
        <v>0</v>
      </c>
      <c r="F69" s="652">
        <v>0</v>
      </c>
      <c r="G69" s="652">
        <v>0</v>
      </c>
      <c r="H69" s="652">
        <v>0</v>
      </c>
      <c r="I69" s="652">
        <v>0</v>
      </c>
      <c r="J69" s="652">
        <v>0</v>
      </c>
      <c r="K69" s="652">
        <v>0</v>
      </c>
    </row>
    <row r="70" spans="1:11" x14ac:dyDescent="0.25">
      <c r="A70" s="645">
        <v>59</v>
      </c>
      <c r="B70" s="645">
        <v>61</v>
      </c>
      <c r="C70" s="71" t="s">
        <v>160</v>
      </c>
      <c r="D70" s="31" t="s">
        <v>161</v>
      </c>
      <c r="E70" s="652">
        <v>0</v>
      </c>
      <c r="F70" s="652">
        <v>0</v>
      </c>
      <c r="G70" s="652">
        <v>0</v>
      </c>
      <c r="H70" s="652">
        <v>0</v>
      </c>
      <c r="I70" s="652">
        <v>0</v>
      </c>
      <c r="J70" s="652">
        <v>0</v>
      </c>
      <c r="K70" s="652">
        <v>0</v>
      </c>
    </row>
    <row r="71" spans="1:11" x14ac:dyDescent="0.25">
      <c r="A71" s="645">
        <v>60</v>
      </c>
      <c r="B71" s="645">
        <v>62</v>
      </c>
      <c r="C71" s="72" t="s">
        <v>162</v>
      </c>
      <c r="D71" s="31" t="s">
        <v>163</v>
      </c>
      <c r="E71" s="652">
        <v>5370</v>
      </c>
      <c r="F71" s="652">
        <v>46</v>
      </c>
      <c r="G71" s="652">
        <v>46</v>
      </c>
      <c r="H71" s="652">
        <v>15</v>
      </c>
      <c r="I71" s="652">
        <v>5</v>
      </c>
      <c r="J71" s="652">
        <v>5</v>
      </c>
      <c r="K71" s="652">
        <v>5</v>
      </c>
    </row>
    <row r="72" spans="1:11" x14ac:dyDescent="0.25">
      <c r="A72" s="645">
        <v>61</v>
      </c>
      <c r="B72" s="645">
        <v>63</v>
      </c>
      <c r="C72" s="72" t="s">
        <v>164</v>
      </c>
      <c r="D72" s="31" t="s">
        <v>165</v>
      </c>
      <c r="E72" s="652">
        <v>3110</v>
      </c>
      <c r="F72" s="652">
        <v>2234</v>
      </c>
      <c r="G72" s="652">
        <v>2234</v>
      </c>
      <c r="H72" s="652">
        <f>669-636</f>
        <v>33</v>
      </c>
      <c r="I72" s="652">
        <f>223-212</f>
        <v>11</v>
      </c>
      <c r="J72" s="652">
        <f>223-212</f>
        <v>11</v>
      </c>
      <c r="K72" s="652">
        <f>223-212</f>
        <v>11</v>
      </c>
    </row>
    <row r="73" spans="1:11" x14ac:dyDescent="0.25">
      <c r="A73" s="645">
        <v>62</v>
      </c>
      <c r="B73" s="645">
        <v>64</v>
      </c>
      <c r="C73" s="72" t="s">
        <v>166</v>
      </c>
      <c r="D73" s="31" t="s">
        <v>167</v>
      </c>
      <c r="E73" s="652">
        <v>7139</v>
      </c>
      <c r="F73" s="652">
        <v>0</v>
      </c>
      <c r="G73" s="652">
        <v>0</v>
      </c>
      <c r="H73" s="652">
        <v>0</v>
      </c>
      <c r="I73" s="652">
        <v>0</v>
      </c>
      <c r="J73" s="652">
        <v>0</v>
      </c>
      <c r="K73" s="652">
        <v>0</v>
      </c>
    </row>
    <row r="74" spans="1:11" x14ac:dyDescent="0.25">
      <c r="A74" s="645">
        <v>63</v>
      </c>
      <c r="B74" s="645">
        <v>65</v>
      </c>
      <c r="C74" s="72" t="s">
        <v>168</v>
      </c>
      <c r="D74" s="31" t="s">
        <v>169</v>
      </c>
      <c r="E74" s="652">
        <v>0</v>
      </c>
      <c r="F74" s="652">
        <v>0</v>
      </c>
      <c r="G74" s="652">
        <v>0</v>
      </c>
      <c r="H74" s="652">
        <v>0</v>
      </c>
      <c r="I74" s="652">
        <v>0</v>
      </c>
      <c r="J74" s="652">
        <v>0</v>
      </c>
      <c r="K74" s="652">
        <v>0</v>
      </c>
    </row>
    <row r="75" spans="1:11" x14ac:dyDescent="0.25">
      <c r="A75" s="645">
        <v>64</v>
      </c>
      <c r="B75" s="645">
        <v>66</v>
      </c>
      <c r="C75" s="71" t="s">
        <v>170</v>
      </c>
      <c r="D75" s="31" t="s">
        <v>171</v>
      </c>
      <c r="E75" s="652">
        <v>0</v>
      </c>
      <c r="F75" s="652">
        <v>0</v>
      </c>
      <c r="G75" s="652">
        <v>0</v>
      </c>
      <c r="H75" s="652">
        <v>0</v>
      </c>
      <c r="I75" s="652">
        <v>0</v>
      </c>
      <c r="J75" s="652">
        <v>0</v>
      </c>
      <c r="K75" s="652">
        <v>0</v>
      </c>
    </row>
    <row r="76" spans="1:11" x14ac:dyDescent="0.25">
      <c r="A76" s="645">
        <v>65</v>
      </c>
      <c r="B76" s="645">
        <v>67</v>
      </c>
      <c r="C76" s="72" t="s">
        <v>172</v>
      </c>
      <c r="D76" s="31" t="s">
        <v>173</v>
      </c>
      <c r="E76" s="652">
        <v>0</v>
      </c>
      <c r="F76" s="652">
        <v>0</v>
      </c>
      <c r="G76" s="652">
        <v>0</v>
      </c>
      <c r="H76" s="652">
        <v>0</v>
      </c>
      <c r="I76" s="652">
        <v>0</v>
      </c>
      <c r="J76" s="652">
        <v>0</v>
      </c>
      <c r="K76" s="652">
        <v>0</v>
      </c>
    </row>
    <row r="77" spans="1:11" x14ac:dyDescent="0.25">
      <c r="A77" s="645">
        <v>66</v>
      </c>
      <c r="B77" s="645">
        <v>68</v>
      </c>
      <c r="C77" s="72" t="s">
        <v>174</v>
      </c>
      <c r="D77" s="31" t="s">
        <v>175</v>
      </c>
      <c r="E77" s="652">
        <v>0</v>
      </c>
      <c r="F77" s="652">
        <v>0</v>
      </c>
      <c r="G77" s="652">
        <v>0</v>
      </c>
      <c r="H77" s="652">
        <v>0</v>
      </c>
      <c r="I77" s="652">
        <v>0</v>
      </c>
      <c r="J77" s="652">
        <v>0</v>
      </c>
      <c r="K77" s="652">
        <v>0</v>
      </c>
    </row>
    <row r="78" spans="1:11" x14ac:dyDescent="0.25">
      <c r="A78" s="645">
        <v>67</v>
      </c>
      <c r="B78" s="645">
        <v>69</v>
      </c>
      <c r="C78" s="71" t="s">
        <v>176</v>
      </c>
      <c r="D78" s="31" t="s">
        <v>177</v>
      </c>
      <c r="E78" s="652">
        <v>0</v>
      </c>
      <c r="F78" s="652">
        <v>0</v>
      </c>
      <c r="G78" s="652">
        <v>0</v>
      </c>
      <c r="H78" s="652">
        <v>0</v>
      </c>
      <c r="I78" s="652">
        <v>0</v>
      </c>
      <c r="J78" s="652">
        <v>0</v>
      </c>
      <c r="K78" s="652">
        <v>0</v>
      </c>
    </row>
    <row r="79" spans="1:11" x14ac:dyDescent="0.25">
      <c r="A79" s="645">
        <v>68</v>
      </c>
      <c r="B79" s="645">
        <v>70</v>
      </c>
      <c r="C79" s="71" t="s">
        <v>178</v>
      </c>
      <c r="D79" s="31" t="s">
        <v>179</v>
      </c>
      <c r="E79" s="652">
        <v>0</v>
      </c>
      <c r="F79" s="652">
        <v>0</v>
      </c>
      <c r="G79" s="652">
        <v>0</v>
      </c>
      <c r="H79" s="652">
        <v>0</v>
      </c>
      <c r="I79" s="652">
        <v>0</v>
      </c>
      <c r="J79" s="652">
        <v>0</v>
      </c>
      <c r="K79" s="652">
        <v>0</v>
      </c>
    </row>
    <row r="80" spans="1:11" x14ac:dyDescent="0.25">
      <c r="A80" s="645">
        <v>69</v>
      </c>
      <c r="B80" s="645">
        <v>71</v>
      </c>
      <c r="C80" s="71" t="s">
        <v>180</v>
      </c>
      <c r="D80" s="31" t="s">
        <v>181</v>
      </c>
      <c r="E80" s="652">
        <v>0</v>
      </c>
      <c r="F80" s="652">
        <v>0</v>
      </c>
      <c r="G80" s="652">
        <v>0</v>
      </c>
      <c r="H80" s="652">
        <v>0</v>
      </c>
      <c r="I80" s="652">
        <v>0</v>
      </c>
      <c r="J80" s="652">
        <v>0</v>
      </c>
      <c r="K80" s="652">
        <v>0</v>
      </c>
    </row>
    <row r="81" spans="1:11" x14ac:dyDescent="0.25">
      <c r="A81" s="645">
        <v>70</v>
      </c>
      <c r="B81" s="645">
        <v>72</v>
      </c>
      <c r="C81" s="70" t="s">
        <v>182</v>
      </c>
      <c r="D81" s="31" t="s">
        <v>183</v>
      </c>
      <c r="E81" s="652">
        <v>4166</v>
      </c>
      <c r="F81" s="652">
        <v>139</v>
      </c>
      <c r="G81" s="652">
        <v>139</v>
      </c>
      <c r="H81" s="652">
        <v>42</v>
      </c>
      <c r="I81" s="652">
        <v>14</v>
      </c>
      <c r="J81" s="652">
        <v>14</v>
      </c>
      <c r="K81" s="652">
        <v>14</v>
      </c>
    </row>
    <row r="82" spans="1:11" x14ac:dyDescent="0.25">
      <c r="A82" s="645">
        <v>71</v>
      </c>
      <c r="B82" s="645">
        <v>73</v>
      </c>
      <c r="C82" s="71" t="s">
        <v>184</v>
      </c>
      <c r="D82" s="31" t="s">
        <v>185</v>
      </c>
      <c r="E82" s="652">
        <v>10046</v>
      </c>
      <c r="F82" s="652">
        <v>13</v>
      </c>
      <c r="G82" s="652">
        <v>13</v>
      </c>
      <c r="H82" s="652">
        <v>3</v>
      </c>
      <c r="I82" s="652">
        <v>1</v>
      </c>
      <c r="J82" s="652">
        <v>1</v>
      </c>
      <c r="K82" s="652">
        <v>1</v>
      </c>
    </row>
    <row r="83" spans="1:11" x14ac:dyDescent="0.25">
      <c r="A83" s="645">
        <v>72</v>
      </c>
      <c r="B83" s="645">
        <v>74</v>
      </c>
      <c r="C83" s="70" t="s">
        <v>186</v>
      </c>
      <c r="D83" s="31" t="s">
        <v>187</v>
      </c>
      <c r="E83" s="652">
        <v>5464</v>
      </c>
      <c r="F83" s="652">
        <v>66</v>
      </c>
      <c r="G83" s="652">
        <v>66</v>
      </c>
      <c r="H83" s="652">
        <v>21</v>
      </c>
      <c r="I83" s="652">
        <v>7</v>
      </c>
      <c r="J83" s="652">
        <v>7</v>
      </c>
      <c r="K83" s="652">
        <v>7</v>
      </c>
    </row>
    <row r="84" spans="1:11" x14ac:dyDescent="0.25">
      <c r="A84" s="645">
        <v>73</v>
      </c>
      <c r="B84" s="645">
        <v>75</v>
      </c>
      <c r="C84" s="71" t="s">
        <v>188</v>
      </c>
      <c r="D84" s="31" t="s">
        <v>189</v>
      </c>
      <c r="E84" s="652">
        <v>3708</v>
      </c>
      <c r="F84" s="652">
        <v>125</v>
      </c>
      <c r="G84" s="652">
        <v>125</v>
      </c>
      <c r="H84" s="652">
        <v>39</v>
      </c>
      <c r="I84" s="652">
        <v>13</v>
      </c>
      <c r="J84" s="652">
        <v>13</v>
      </c>
      <c r="K84" s="652">
        <v>13</v>
      </c>
    </row>
    <row r="85" spans="1:11" x14ac:dyDescent="0.25">
      <c r="A85" s="645">
        <v>74</v>
      </c>
      <c r="B85" s="645">
        <v>76</v>
      </c>
      <c r="C85" s="71" t="s">
        <v>190</v>
      </c>
      <c r="D85" s="31" t="s">
        <v>191</v>
      </c>
      <c r="E85" s="652">
        <v>9254</v>
      </c>
      <c r="F85" s="652">
        <v>777</v>
      </c>
      <c r="G85" s="652">
        <v>777</v>
      </c>
      <c r="H85" s="652">
        <v>234</v>
      </c>
      <c r="I85" s="652">
        <v>78</v>
      </c>
      <c r="J85" s="652">
        <v>78</v>
      </c>
      <c r="K85" s="652">
        <v>78</v>
      </c>
    </row>
    <row r="86" spans="1:11" x14ac:dyDescent="0.25">
      <c r="A86" s="645">
        <v>75</v>
      </c>
      <c r="B86" s="645">
        <v>77</v>
      </c>
      <c r="C86" s="71" t="s">
        <v>192</v>
      </c>
      <c r="D86" s="31" t="s">
        <v>193</v>
      </c>
      <c r="E86" s="652">
        <v>0</v>
      </c>
      <c r="F86" s="652">
        <v>0</v>
      </c>
      <c r="G86" s="652">
        <v>0</v>
      </c>
      <c r="H86" s="652">
        <v>0</v>
      </c>
      <c r="I86" s="652">
        <v>0</v>
      </c>
      <c r="J86" s="652">
        <v>0</v>
      </c>
      <c r="K86" s="652">
        <v>0</v>
      </c>
    </row>
    <row r="87" spans="1:11" x14ac:dyDescent="0.25">
      <c r="A87" s="645">
        <v>76</v>
      </c>
      <c r="B87" s="645">
        <v>78</v>
      </c>
      <c r="C87" s="71" t="s">
        <v>194</v>
      </c>
      <c r="D87" s="31" t="s">
        <v>195</v>
      </c>
      <c r="E87" s="652">
        <v>7446</v>
      </c>
      <c r="F87" s="652">
        <v>9</v>
      </c>
      <c r="G87" s="652">
        <v>9</v>
      </c>
      <c r="H87" s="652">
        <v>3</v>
      </c>
      <c r="I87" s="652">
        <v>1</v>
      </c>
      <c r="J87" s="652">
        <v>1</v>
      </c>
      <c r="K87" s="652">
        <v>1</v>
      </c>
    </row>
    <row r="88" spans="1:11" x14ac:dyDescent="0.25">
      <c r="A88" s="645">
        <v>77</v>
      </c>
      <c r="B88" s="645">
        <v>79</v>
      </c>
      <c r="C88" s="71" t="s">
        <v>196</v>
      </c>
      <c r="D88" s="31" t="s">
        <v>197</v>
      </c>
      <c r="E88" s="652">
        <v>0</v>
      </c>
      <c r="F88" s="652">
        <v>0</v>
      </c>
      <c r="G88" s="652">
        <v>0</v>
      </c>
      <c r="H88" s="652">
        <v>0</v>
      </c>
      <c r="I88" s="652">
        <v>0</v>
      </c>
      <c r="J88" s="652">
        <v>0</v>
      </c>
      <c r="K88" s="652">
        <v>0</v>
      </c>
    </row>
    <row r="89" spans="1:11" x14ac:dyDescent="0.25">
      <c r="A89" s="645">
        <v>78</v>
      </c>
      <c r="B89" s="645">
        <v>80</v>
      </c>
      <c r="C89" s="72" t="s">
        <v>30</v>
      </c>
      <c r="D89" s="31" t="s">
        <v>198</v>
      </c>
      <c r="E89" s="652">
        <v>0</v>
      </c>
      <c r="F89" s="652">
        <v>0</v>
      </c>
      <c r="G89" s="652">
        <v>0</v>
      </c>
      <c r="H89" s="652">
        <v>0</v>
      </c>
      <c r="I89" s="652">
        <v>0</v>
      </c>
      <c r="J89" s="652">
        <v>0</v>
      </c>
      <c r="K89" s="652">
        <v>0</v>
      </c>
    </row>
    <row r="90" spans="1:11" x14ac:dyDescent="0.25">
      <c r="A90" s="959">
        <v>79</v>
      </c>
      <c r="B90" s="960">
        <v>81</v>
      </c>
      <c r="C90" s="963" t="s">
        <v>199</v>
      </c>
      <c r="D90" s="191" t="s">
        <v>200</v>
      </c>
      <c r="E90" s="652">
        <v>403</v>
      </c>
      <c r="F90" s="652">
        <v>0</v>
      </c>
      <c r="G90" s="652">
        <v>0</v>
      </c>
      <c r="H90" s="652">
        <v>0</v>
      </c>
      <c r="I90" s="652">
        <v>0</v>
      </c>
      <c r="J90" s="652">
        <v>0</v>
      </c>
      <c r="K90" s="652">
        <v>0</v>
      </c>
    </row>
    <row r="91" spans="1:11" ht="24" x14ac:dyDescent="0.25">
      <c r="A91" s="959"/>
      <c r="B91" s="961"/>
      <c r="C91" s="963"/>
      <c r="D91" s="31" t="s">
        <v>201</v>
      </c>
      <c r="E91" s="652">
        <v>403</v>
      </c>
      <c r="F91" s="652">
        <v>0</v>
      </c>
      <c r="G91" s="652">
        <v>0</v>
      </c>
      <c r="H91" s="652">
        <v>0</v>
      </c>
      <c r="I91" s="652">
        <v>0</v>
      </c>
      <c r="J91" s="652">
        <v>0</v>
      </c>
      <c r="K91" s="652">
        <v>0</v>
      </c>
    </row>
    <row r="92" spans="1:11" x14ac:dyDescent="0.25">
      <c r="A92" s="959"/>
      <c r="B92" s="961"/>
      <c r="C92" s="963"/>
      <c r="D92" s="31" t="s">
        <v>202</v>
      </c>
      <c r="E92" s="652">
        <v>0</v>
      </c>
      <c r="F92" s="652">
        <v>0</v>
      </c>
      <c r="G92" s="652">
        <v>0</v>
      </c>
      <c r="H92" s="652">
        <v>0</v>
      </c>
      <c r="I92" s="652">
        <v>0</v>
      </c>
      <c r="J92" s="652">
        <v>0</v>
      </c>
      <c r="K92" s="652">
        <v>0</v>
      </c>
    </row>
    <row r="93" spans="1:11" ht="24" x14ac:dyDescent="0.25">
      <c r="A93" s="959"/>
      <c r="B93" s="962"/>
      <c r="C93" s="963"/>
      <c r="D93" s="131" t="s">
        <v>203</v>
      </c>
      <c r="E93" s="652">
        <v>0</v>
      </c>
      <c r="F93" s="652">
        <v>0</v>
      </c>
      <c r="G93" s="652">
        <v>0</v>
      </c>
      <c r="H93" s="652">
        <v>0</v>
      </c>
      <c r="I93" s="652">
        <v>0</v>
      </c>
      <c r="J93" s="652">
        <v>0</v>
      </c>
      <c r="K93" s="652">
        <v>0</v>
      </c>
    </row>
    <row r="94" spans="1:11" x14ac:dyDescent="0.25">
      <c r="A94" s="645">
        <v>80</v>
      </c>
      <c r="B94" s="645">
        <v>82</v>
      </c>
      <c r="C94" s="72" t="s">
        <v>204</v>
      </c>
      <c r="D94" s="31" t="s">
        <v>205</v>
      </c>
      <c r="E94" s="652">
        <v>0</v>
      </c>
      <c r="F94" s="652">
        <v>0</v>
      </c>
      <c r="G94" s="652">
        <v>0</v>
      </c>
      <c r="H94" s="652">
        <v>0</v>
      </c>
      <c r="I94" s="652">
        <v>0</v>
      </c>
      <c r="J94" s="652">
        <v>0</v>
      </c>
      <c r="K94" s="652">
        <v>0</v>
      </c>
    </row>
    <row r="95" spans="1:11" x14ac:dyDescent="0.25">
      <c r="A95" s="645">
        <v>81</v>
      </c>
      <c r="B95" s="645">
        <v>83</v>
      </c>
      <c r="C95" s="72" t="s">
        <v>206</v>
      </c>
      <c r="D95" s="31" t="s">
        <v>207</v>
      </c>
      <c r="E95" s="652">
        <v>319</v>
      </c>
      <c r="F95" s="652">
        <v>0</v>
      </c>
      <c r="G95" s="652">
        <v>0</v>
      </c>
      <c r="H95" s="652">
        <v>0</v>
      </c>
      <c r="I95" s="652">
        <v>0</v>
      </c>
      <c r="J95" s="652">
        <v>0</v>
      </c>
      <c r="K95" s="652">
        <v>0</v>
      </c>
    </row>
    <row r="96" spans="1:11" x14ac:dyDescent="0.25">
      <c r="A96" s="645">
        <v>82</v>
      </c>
      <c r="B96" s="645">
        <v>84</v>
      </c>
      <c r="C96" s="70" t="s">
        <v>208</v>
      </c>
      <c r="D96" s="31" t="s">
        <v>209</v>
      </c>
      <c r="E96" s="652">
        <v>1988</v>
      </c>
      <c r="F96" s="652">
        <v>720</v>
      </c>
      <c r="G96" s="652">
        <v>720</v>
      </c>
      <c r="H96" s="652">
        <v>216</v>
      </c>
      <c r="I96" s="652">
        <v>72</v>
      </c>
      <c r="J96" s="652">
        <v>72</v>
      </c>
      <c r="K96" s="652">
        <v>72</v>
      </c>
    </row>
    <row r="97" spans="1:11" x14ac:dyDescent="0.25">
      <c r="A97" s="645">
        <v>83</v>
      </c>
      <c r="B97" s="645">
        <v>85</v>
      </c>
      <c r="C97" s="72" t="s">
        <v>210</v>
      </c>
      <c r="D97" s="31" t="s">
        <v>211</v>
      </c>
      <c r="E97" s="652">
        <v>775</v>
      </c>
      <c r="F97" s="652">
        <v>7</v>
      </c>
      <c r="G97" s="652">
        <v>7</v>
      </c>
      <c r="H97" s="652">
        <v>3</v>
      </c>
      <c r="I97" s="652">
        <v>1</v>
      </c>
      <c r="J97" s="652">
        <v>1</v>
      </c>
      <c r="K97" s="652">
        <v>1</v>
      </c>
    </row>
    <row r="98" spans="1:11" x14ac:dyDescent="0.25">
      <c r="A98" s="645">
        <v>84</v>
      </c>
      <c r="B98" s="645">
        <v>86</v>
      </c>
      <c r="C98" s="70" t="s">
        <v>212</v>
      </c>
      <c r="D98" s="31" t="s">
        <v>213</v>
      </c>
      <c r="E98" s="652">
        <v>812</v>
      </c>
      <c r="F98" s="652">
        <v>56</v>
      </c>
      <c r="G98" s="652">
        <v>56</v>
      </c>
      <c r="H98" s="652">
        <v>18</v>
      </c>
      <c r="I98" s="652">
        <v>6</v>
      </c>
      <c r="J98" s="652">
        <v>6</v>
      </c>
      <c r="K98" s="652">
        <v>6</v>
      </c>
    </row>
    <row r="99" spans="1:11" x14ac:dyDescent="0.25">
      <c r="A99" s="645">
        <v>85</v>
      </c>
      <c r="B99" s="645">
        <v>87</v>
      </c>
      <c r="C99" s="70" t="s">
        <v>214</v>
      </c>
      <c r="D99" s="31" t="s">
        <v>215</v>
      </c>
      <c r="E99" s="652">
        <v>2275</v>
      </c>
      <c r="F99" s="652">
        <v>190</v>
      </c>
      <c r="G99" s="652">
        <v>190</v>
      </c>
      <c r="H99" s="652">
        <v>57</v>
      </c>
      <c r="I99" s="652">
        <v>19</v>
      </c>
      <c r="J99" s="652">
        <v>19</v>
      </c>
      <c r="K99" s="652">
        <v>19</v>
      </c>
    </row>
    <row r="100" spans="1:11" x14ac:dyDescent="0.25">
      <c r="A100" s="645">
        <v>86</v>
      </c>
      <c r="B100" s="645">
        <v>88</v>
      </c>
      <c r="C100" s="72" t="s">
        <v>216</v>
      </c>
      <c r="D100" s="31" t="s">
        <v>217</v>
      </c>
      <c r="E100" s="652">
        <v>958</v>
      </c>
      <c r="F100" s="652">
        <v>325</v>
      </c>
      <c r="G100" s="652">
        <v>325</v>
      </c>
      <c r="H100" s="652">
        <v>99</v>
      </c>
      <c r="I100" s="652">
        <v>33</v>
      </c>
      <c r="J100" s="652">
        <v>33</v>
      </c>
      <c r="K100" s="652">
        <v>33</v>
      </c>
    </row>
    <row r="101" spans="1:11" x14ac:dyDescent="0.25">
      <c r="A101" s="645">
        <v>88</v>
      </c>
      <c r="B101" s="645">
        <v>89</v>
      </c>
      <c r="C101" s="71" t="s">
        <v>218</v>
      </c>
      <c r="D101" s="31" t="s">
        <v>219</v>
      </c>
      <c r="E101" s="652">
        <v>2786</v>
      </c>
      <c r="F101" s="652">
        <v>23</v>
      </c>
      <c r="G101" s="652">
        <v>23</v>
      </c>
      <c r="H101" s="652">
        <v>6</v>
      </c>
      <c r="I101" s="652">
        <v>2</v>
      </c>
      <c r="J101" s="652">
        <v>2</v>
      </c>
      <c r="K101" s="652">
        <v>2</v>
      </c>
    </row>
    <row r="102" spans="1:11" x14ac:dyDescent="0.25">
      <c r="A102" s="645">
        <v>89</v>
      </c>
      <c r="B102" s="645">
        <v>90</v>
      </c>
      <c r="C102" s="71" t="s">
        <v>220</v>
      </c>
      <c r="D102" s="31" t="s">
        <v>221</v>
      </c>
      <c r="E102" s="652">
        <v>2146</v>
      </c>
      <c r="F102" s="652">
        <v>0</v>
      </c>
      <c r="G102" s="652">
        <v>0</v>
      </c>
      <c r="H102" s="652">
        <v>0</v>
      </c>
      <c r="I102" s="652">
        <v>0</v>
      </c>
      <c r="J102" s="652">
        <v>0</v>
      </c>
      <c r="K102" s="652">
        <v>0</v>
      </c>
    </row>
    <row r="103" spans="1:11" x14ac:dyDescent="0.25">
      <c r="A103" s="645">
        <v>90</v>
      </c>
      <c r="B103" s="645">
        <v>91</v>
      </c>
      <c r="C103" s="70" t="s">
        <v>222</v>
      </c>
      <c r="D103" s="31" t="s">
        <v>223</v>
      </c>
      <c r="E103" s="652">
        <v>735</v>
      </c>
      <c r="F103" s="652">
        <v>3</v>
      </c>
      <c r="G103" s="652">
        <v>3</v>
      </c>
      <c r="H103" s="652">
        <v>0</v>
      </c>
      <c r="I103" s="652">
        <v>0</v>
      </c>
      <c r="J103" s="652">
        <v>0</v>
      </c>
      <c r="K103" s="652">
        <v>0</v>
      </c>
    </row>
    <row r="104" spans="1:11" x14ac:dyDescent="0.25">
      <c r="A104" s="645">
        <v>91</v>
      </c>
      <c r="B104" s="645">
        <v>92</v>
      </c>
      <c r="C104" s="71" t="s">
        <v>224</v>
      </c>
      <c r="D104" s="31" t="s">
        <v>225</v>
      </c>
      <c r="E104" s="652">
        <v>1153</v>
      </c>
      <c r="F104" s="652">
        <v>4</v>
      </c>
      <c r="G104" s="652">
        <v>4</v>
      </c>
      <c r="H104" s="652">
        <v>0</v>
      </c>
      <c r="I104" s="652">
        <v>0</v>
      </c>
      <c r="J104" s="652">
        <v>0</v>
      </c>
      <c r="K104" s="652">
        <v>0</v>
      </c>
    </row>
    <row r="105" spans="1:11" x14ac:dyDescent="0.25">
      <c r="A105" s="645">
        <v>92</v>
      </c>
      <c r="B105" s="645">
        <v>93</v>
      </c>
      <c r="C105" s="71" t="s">
        <v>226</v>
      </c>
      <c r="D105" s="31" t="s">
        <v>227</v>
      </c>
      <c r="E105" s="652">
        <v>1089</v>
      </c>
      <c r="F105" s="652">
        <v>5</v>
      </c>
      <c r="G105" s="652">
        <v>5</v>
      </c>
      <c r="H105" s="652">
        <v>3</v>
      </c>
      <c r="I105" s="652">
        <v>1</v>
      </c>
      <c r="J105" s="652">
        <v>1</v>
      </c>
      <c r="K105" s="652">
        <v>1</v>
      </c>
    </row>
    <row r="106" spans="1:11" x14ac:dyDescent="0.25">
      <c r="A106" s="645">
        <v>93</v>
      </c>
      <c r="B106" s="645">
        <v>94</v>
      </c>
      <c r="C106" s="72" t="s">
        <v>32</v>
      </c>
      <c r="D106" s="31" t="s">
        <v>33</v>
      </c>
      <c r="E106" s="652">
        <v>1318</v>
      </c>
      <c r="F106" s="652">
        <v>0</v>
      </c>
      <c r="G106" s="652">
        <v>0</v>
      </c>
      <c r="H106" s="652">
        <v>0</v>
      </c>
      <c r="I106" s="652">
        <v>0</v>
      </c>
      <c r="J106" s="652">
        <v>0</v>
      </c>
      <c r="K106" s="652">
        <v>0</v>
      </c>
    </row>
    <row r="107" spans="1:11" x14ac:dyDescent="0.25">
      <c r="A107" s="645">
        <v>94</v>
      </c>
      <c r="B107" s="645">
        <v>95</v>
      </c>
      <c r="C107" s="70" t="s">
        <v>228</v>
      </c>
      <c r="D107" s="31" t="s">
        <v>229</v>
      </c>
      <c r="E107" s="652">
        <v>844</v>
      </c>
      <c r="F107" s="652">
        <v>9</v>
      </c>
      <c r="G107" s="652">
        <v>9</v>
      </c>
      <c r="H107" s="652">
        <v>3</v>
      </c>
      <c r="I107" s="652">
        <v>1</v>
      </c>
      <c r="J107" s="652">
        <v>1</v>
      </c>
      <c r="K107" s="652">
        <v>1</v>
      </c>
    </row>
    <row r="108" spans="1:11" x14ac:dyDescent="0.25">
      <c r="A108" s="645">
        <v>96</v>
      </c>
      <c r="B108" s="645">
        <v>96</v>
      </c>
      <c r="C108" s="71" t="s">
        <v>230</v>
      </c>
      <c r="D108" s="31" t="s">
        <v>231</v>
      </c>
      <c r="E108" s="652">
        <v>2232</v>
      </c>
      <c r="F108" s="652">
        <v>18</v>
      </c>
      <c r="G108" s="652">
        <v>18</v>
      </c>
      <c r="H108" s="652">
        <v>6</v>
      </c>
      <c r="I108" s="652">
        <v>2</v>
      </c>
      <c r="J108" s="652">
        <v>2</v>
      </c>
      <c r="K108" s="652">
        <v>2</v>
      </c>
    </row>
    <row r="109" spans="1:11" x14ac:dyDescent="0.25">
      <c r="A109" s="645">
        <v>98</v>
      </c>
      <c r="B109" s="645">
        <v>97</v>
      </c>
      <c r="C109" s="71" t="s">
        <v>232</v>
      </c>
      <c r="D109" s="31" t="s">
        <v>233</v>
      </c>
      <c r="E109" s="652">
        <v>0</v>
      </c>
      <c r="F109" s="652">
        <v>0</v>
      </c>
      <c r="G109" s="652">
        <v>0</v>
      </c>
      <c r="H109" s="652">
        <v>0</v>
      </c>
      <c r="I109" s="652">
        <v>0</v>
      </c>
      <c r="J109" s="652">
        <v>0</v>
      </c>
      <c r="K109" s="652">
        <v>0</v>
      </c>
    </row>
    <row r="110" spans="1:11" x14ac:dyDescent="0.25">
      <c r="A110" s="645">
        <v>99</v>
      </c>
      <c r="B110" s="645">
        <v>98</v>
      </c>
      <c r="C110" s="71" t="s">
        <v>234</v>
      </c>
      <c r="D110" s="31" t="s">
        <v>235</v>
      </c>
      <c r="E110" s="652">
        <v>0</v>
      </c>
      <c r="F110" s="652">
        <v>0</v>
      </c>
      <c r="G110" s="652">
        <v>0</v>
      </c>
      <c r="H110" s="652">
        <v>0</v>
      </c>
      <c r="I110" s="652">
        <v>0</v>
      </c>
      <c r="J110" s="652">
        <v>0</v>
      </c>
      <c r="K110" s="652">
        <v>0</v>
      </c>
    </row>
    <row r="111" spans="1:11" x14ac:dyDescent="0.25">
      <c r="A111" s="645">
        <v>100</v>
      </c>
      <c r="B111" s="645">
        <v>99</v>
      </c>
      <c r="C111" s="70" t="s">
        <v>236</v>
      </c>
      <c r="D111" s="31" t="s">
        <v>237</v>
      </c>
      <c r="E111" s="652">
        <v>0</v>
      </c>
      <c r="F111" s="652">
        <v>0</v>
      </c>
      <c r="G111" s="652">
        <v>0</v>
      </c>
      <c r="H111" s="652">
        <v>0</v>
      </c>
      <c r="I111" s="652">
        <v>0</v>
      </c>
      <c r="J111" s="652">
        <v>0</v>
      </c>
      <c r="K111" s="652">
        <v>0</v>
      </c>
    </row>
    <row r="112" spans="1:11" x14ac:dyDescent="0.25">
      <c r="A112" s="645">
        <v>101</v>
      </c>
      <c r="B112" s="645">
        <v>100</v>
      </c>
      <c r="C112" s="70" t="s">
        <v>238</v>
      </c>
      <c r="D112" s="31" t="s">
        <v>239</v>
      </c>
      <c r="E112" s="652">
        <v>0</v>
      </c>
      <c r="F112" s="652">
        <v>0</v>
      </c>
      <c r="G112" s="652">
        <v>0</v>
      </c>
      <c r="H112" s="652">
        <v>0</v>
      </c>
      <c r="I112" s="652">
        <v>0</v>
      </c>
      <c r="J112" s="652">
        <v>0</v>
      </c>
      <c r="K112" s="652">
        <v>0</v>
      </c>
    </row>
    <row r="113" spans="1:11" x14ac:dyDescent="0.25">
      <c r="A113" s="645">
        <v>102</v>
      </c>
      <c r="B113" s="645">
        <v>101</v>
      </c>
      <c r="C113" s="70" t="s">
        <v>240</v>
      </c>
      <c r="D113" s="31" t="s">
        <v>241</v>
      </c>
      <c r="E113" s="652">
        <v>0</v>
      </c>
      <c r="F113" s="652">
        <v>0</v>
      </c>
      <c r="G113" s="652">
        <v>0</v>
      </c>
      <c r="H113" s="652">
        <v>0</v>
      </c>
      <c r="I113" s="652">
        <v>0</v>
      </c>
      <c r="J113" s="652">
        <v>0</v>
      </c>
      <c r="K113" s="652">
        <v>0</v>
      </c>
    </row>
    <row r="114" spans="1:11" x14ac:dyDescent="0.25">
      <c r="A114" s="645">
        <v>103</v>
      </c>
      <c r="B114" s="645">
        <v>102</v>
      </c>
      <c r="C114" s="70" t="s">
        <v>242</v>
      </c>
      <c r="D114" s="31" t="s">
        <v>243</v>
      </c>
      <c r="E114" s="652">
        <v>0</v>
      </c>
      <c r="F114" s="652">
        <v>0</v>
      </c>
      <c r="G114" s="652">
        <v>0</v>
      </c>
      <c r="H114" s="652">
        <v>0</v>
      </c>
      <c r="I114" s="652">
        <v>0</v>
      </c>
      <c r="J114" s="652">
        <v>0</v>
      </c>
      <c r="K114" s="652">
        <v>0</v>
      </c>
    </row>
    <row r="115" spans="1:11" x14ac:dyDescent="0.25">
      <c r="A115" s="645">
        <v>104</v>
      </c>
      <c r="B115" s="645">
        <v>103</v>
      </c>
      <c r="C115" s="70" t="s">
        <v>244</v>
      </c>
      <c r="D115" s="31" t="s">
        <v>245</v>
      </c>
      <c r="E115" s="652">
        <v>0</v>
      </c>
      <c r="F115" s="652">
        <v>0</v>
      </c>
      <c r="G115" s="652">
        <v>0</v>
      </c>
      <c r="H115" s="652">
        <v>0</v>
      </c>
      <c r="I115" s="652">
        <v>0</v>
      </c>
      <c r="J115" s="652">
        <v>0</v>
      </c>
      <c r="K115" s="652">
        <v>0</v>
      </c>
    </row>
    <row r="116" spans="1:11" x14ac:dyDescent="0.25">
      <c r="A116" s="645">
        <v>105</v>
      </c>
      <c r="B116" s="645">
        <v>104</v>
      </c>
      <c r="C116" s="656" t="s">
        <v>246</v>
      </c>
      <c r="D116" s="655" t="s">
        <v>247</v>
      </c>
      <c r="E116" s="652">
        <v>0</v>
      </c>
      <c r="F116" s="652">
        <v>0</v>
      </c>
      <c r="G116" s="652">
        <v>0</v>
      </c>
      <c r="H116" s="652">
        <v>0</v>
      </c>
      <c r="I116" s="652">
        <v>0</v>
      </c>
      <c r="J116" s="652">
        <v>0</v>
      </c>
      <c r="K116" s="652">
        <v>0</v>
      </c>
    </row>
    <row r="117" spans="1:11" x14ac:dyDescent="0.25">
      <c r="A117" s="645">
        <v>106</v>
      </c>
      <c r="B117" s="645">
        <v>105</v>
      </c>
      <c r="C117" s="72" t="s">
        <v>248</v>
      </c>
      <c r="D117" s="31" t="s">
        <v>249</v>
      </c>
      <c r="E117" s="652">
        <v>0</v>
      </c>
      <c r="F117" s="652">
        <v>0</v>
      </c>
      <c r="G117" s="652">
        <v>0</v>
      </c>
      <c r="H117" s="652">
        <v>0</v>
      </c>
      <c r="I117" s="652">
        <v>0</v>
      </c>
      <c r="J117" s="652">
        <v>0</v>
      </c>
      <c r="K117" s="652">
        <v>0</v>
      </c>
    </row>
    <row r="118" spans="1:11" x14ac:dyDescent="0.25">
      <c r="A118" s="645">
        <v>107</v>
      </c>
      <c r="B118" s="645">
        <v>106</v>
      </c>
      <c r="C118" s="70" t="s">
        <v>250</v>
      </c>
      <c r="D118" s="31" t="s">
        <v>251</v>
      </c>
      <c r="E118" s="652">
        <v>0</v>
      </c>
      <c r="F118" s="652">
        <v>0</v>
      </c>
      <c r="G118" s="652">
        <v>0</v>
      </c>
      <c r="H118" s="652">
        <v>0</v>
      </c>
      <c r="I118" s="652">
        <v>0</v>
      </c>
      <c r="J118" s="652">
        <v>0</v>
      </c>
      <c r="K118" s="652">
        <v>0</v>
      </c>
    </row>
    <row r="119" spans="1:11" x14ac:dyDescent="0.25">
      <c r="A119" s="645">
        <v>108</v>
      </c>
      <c r="B119" s="645">
        <v>107</v>
      </c>
      <c r="C119" s="71" t="s">
        <v>252</v>
      </c>
      <c r="D119" s="133" t="s">
        <v>253</v>
      </c>
      <c r="E119" s="652">
        <v>0</v>
      </c>
      <c r="F119" s="652">
        <v>0</v>
      </c>
      <c r="G119" s="652">
        <v>0</v>
      </c>
      <c r="H119" s="652">
        <v>0</v>
      </c>
      <c r="I119" s="652">
        <v>0</v>
      </c>
      <c r="J119" s="652">
        <v>0</v>
      </c>
      <c r="K119" s="652">
        <v>0</v>
      </c>
    </row>
    <row r="120" spans="1:11" x14ac:dyDescent="0.25">
      <c r="A120" s="645">
        <v>109</v>
      </c>
      <c r="B120" s="645">
        <v>108</v>
      </c>
      <c r="C120" s="70" t="s">
        <v>254</v>
      </c>
      <c r="D120" s="31" t="s">
        <v>255</v>
      </c>
      <c r="E120" s="652">
        <v>0</v>
      </c>
      <c r="F120" s="652">
        <v>0</v>
      </c>
      <c r="G120" s="652">
        <v>0</v>
      </c>
      <c r="H120" s="652">
        <v>0</v>
      </c>
      <c r="I120" s="652">
        <v>0</v>
      </c>
      <c r="J120" s="652">
        <v>0</v>
      </c>
      <c r="K120" s="652">
        <v>0</v>
      </c>
    </row>
    <row r="121" spans="1:11" x14ac:dyDescent="0.25">
      <c r="A121" s="645">
        <v>110</v>
      </c>
      <c r="B121" s="645">
        <v>109</v>
      </c>
      <c r="C121" s="72" t="s">
        <v>256</v>
      </c>
      <c r="D121" s="31" t="s">
        <v>257</v>
      </c>
      <c r="E121" s="652">
        <v>0</v>
      </c>
      <c r="F121" s="652">
        <v>0</v>
      </c>
      <c r="G121" s="652">
        <v>0</v>
      </c>
      <c r="H121" s="652">
        <v>0</v>
      </c>
      <c r="I121" s="652">
        <v>0</v>
      </c>
      <c r="J121" s="652">
        <v>0</v>
      </c>
      <c r="K121" s="652">
        <v>0</v>
      </c>
    </row>
    <row r="122" spans="1:11" x14ac:dyDescent="0.25">
      <c r="A122" s="645">
        <v>111</v>
      </c>
      <c r="B122" s="645">
        <v>110</v>
      </c>
      <c r="C122" s="72" t="s">
        <v>258</v>
      </c>
      <c r="D122" s="31" t="s">
        <v>259</v>
      </c>
      <c r="E122" s="652">
        <v>0</v>
      </c>
      <c r="F122" s="652">
        <v>0</v>
      </c>
      <c r="G122" s="652">
        <v>0</v>
      </c>
      <c r="H122" s="652">
        <v>0</v>
      </c>
      <c r="I122" s="652">
        <v>0</v>
      </c>
      <c r="J122" s="652">
        <v>0</v>
      </c>
      <c r="K122" s="652">
        <v>0</v>
      </c>
    </row>
    <row r="123" spans="1:11" x14ac:dyDescent="0.25">
      <c r="A123" s="645">
        <v>112</v>
      </c>
      <c r="B123" s="645">
        <v>111</v>
      </c>
      <c r="C123" s="657" t="s">
        <v>551</v>
      </c>
      <c r="D123" s="658" t="s">
        <v>552</v>
      </c>
      <c r="E123" s="652">
        <v>0</v>
      </c>
      <c r="F123" s="652">
        <v>0</v>
      </c>
      <c r="G123" s="652">
        <v>0</v>
      </c>
      <c r="H123" s="652">
        <v>0</v>
      </c>
      <c r="I123" s="652">
        <v>0</v>
      </c>
      <c r="J123" s="652">
        <v>0</v>
      </c>
      <c r="K123" s="652">
        <v>0</v>
      </c>
    </row>
    <row r="124" spans="1:11" x14ac:dyDescent="0.25">
      <c r="A124" s="645">
        <v>113</v>
      </c>
      <c r="B124" s="645">
        <v>112</v>
      </c>
      <c r="C124" s="72" t="s">
        <v>260</v>
      </c>
      <c r="D124" s="31" t="s">
        <v>261</v>
      </c>
      <c r="E124" s="652">
        <v>0</v>
      </c>
      <c r="F124" s="652">
        <v>0</v>
      </c>
      <c r="G124" s="652">
        <v>0</v>
      </c>
      <c r="H124" s="652">
        <v>0</v>
      </c>
      <c r="I124" s="652">
        <v>0</v>
      </c>
      <c r="J124" s="652">
        <v>0</v>
      </c>
      <c r="K124" s="652">
        <v>0</v>
      </c>
    </row>
    <row r="125" spans="1:11" x14ac:dyDescent="0.25">
      <c r="A125" s="645">
        <v>114</v>
      </c>
      <c r="B125" s="645">
        <v>113</v>
      </c>
      <c r="C125" s="70" t="s">
        <v>262</v>
      </c>
      <c r="D125" s="31" t="s">
        <v>263</v>
      </c>
      <c r="E125" s="652">
        <v>0</v>
      </c>
      <c r="F125" s="652">
        <v>0</v>
      </c>
      <c r="G125" s="652">
        <v>0</v>
      </c>
      <c r="H125" s="652">
        <v>0</v>
      </c>
      <c r="I125" s="652">
        <v>0</v>
      </c>
      <c r="J125" s="652">
        <v>0</v>
      </c>
      <c r="K125" s="652">
        <v>0</v>
      </c>
    </row>
    <row r="126" spans="1:11" x14ac:dyDescent="0.25">
      <c r="A126" s="645">
        <v>115</v>
      </c>
      <c r="B126" s="645">
        <v>114</v>
      </c>
      <c r="C126" s="70" t="s">
        <v>264</v>
      </c>
      <c r="D126" s="134" t="s">
        <v>265</v>
      </c>
      <c r="E126" s="652">
        <v>0</v>
      </c>
      <c r="F126" s="652">
        <v>0</v>
      </c>
      <c r="G126" s="652">
        <v>0</v>
      </c>
      <c r="H126" s="652">
        <v>0</v>
      </c>
      <c r="I126" s="652">
        <v>0</v>
      </c>
      <c r="J126" s="652">
        <v>0</v>
      </c>
      <c r="K126" s="652">
        <v>0</v>
      </c>
    </row>
    <row r="127" spans="1:11" x14ac:dyDescent="0.25">
      <c r="A127" s="645">
        <v>116</v>
      </c>
      <c r="B127" s="645">
        <v>115</v>
      </c>
      <c r="C127" s="70" t="s">
        <v>266</v>
      </c>
      <c r="D127" s="31" t="s">
        <v>267</v>
      </c>
      <c r="E127" s="652">
        <v>0</v>
      </c>
      <c r="F127" s="652">
        <v>0</v>
      </c>
      <c r="G127" s="652">
        <v>0</v>
      </c>
      <c r="H127" s="652">
        <v>0</v>
      </c>
      <c r="I127" s="652">
        <v>0</v>
      </c>
      <c r="J127" s="652">
        <v>0</v>
      </c>
      <c r="K127" s="652">
        <v>0</v>
      </c>
    </row>
    <row r="128" spans="1:11" x14ac:dyDescent="0.25">
      <c r="A128" s="645">
        <v>117</v>
      </c>
      <c r="B128" s="645">
        <v>116</v>
      </c>
      <c r="C128" s="70" t="s">
        <v>268</v>
      </c>
      <c r="D128" s="31" t="s">
        <v>269</v>
      </c>
      <c r="E128" s="652">
        <v>0</v>
      </c>
      <c r="F128" s="652">
        <v>0</v>
      </c>
      <c r="G128" s="652">
        <v>0</v>
      </c>
      <c r="H128" s="652">
        <v>0</v>
      </c>
      <c r="I128" s="652">
        <v>0</v>
      </c>
      <c r="J128" s="652">
        <v>0</v>
      </c>
      <c r="K128" s="652">
        <v>0</v>
      </c>
    </row>
    <row r="129" spans="1:11" x14ac:dyDescent="0.25">
      <c r="A129" s="645">
        <v>118</v>
      </c>
      <c r="B129" s="645">
        <v>117</v>
      </c>
      <c r="C129" s="70" t="s">
        <v>270</v>
      </c>
      <c r="D129" s="31" t="s">
        <v>271</v>
      </c>
      <c r="E129" s="652">
        <v>0</v>
      </c>
      <c r="F129" s="652">
        <v>0</v>
      </c>
      <c r="G129" s="652">
        <v>0</v>
      </c>
      <c r="H129" s="652">
        <v>0</v>
      </c>
      <c r="I129" s="652">
        <v>0</v>
      </c>
      <c r="J129" s="652">
        <v>0</v>
      </c>
      <c r="K129" s="652">
        <v>0</v>
      </c>
    </row>
    <row r="130" spans="1:11" x14ac:dyDescent="0.25">
      <c r="A130" s="645">
        <v>119</v>
      </c>
      <c r="B130" s="645">
        <v>118</v>
      </c>
      <c r="C130" s="71" t="s">
        <v>272</v>
      </c>
      <c r="D130" s="31" t="s">
        <v>273</v>
      </c>
      <c r="E130" s="652">
        <v>0</v>
      </c>
      <c r="F130" s="652">
        <v>0</v>
      </c>
      <c r="G130" s="652">
        <v>0</v>
      </c>
      <c r="H130" s="652">
        <v>0</v>
      </c>
      <c r="I130" s="652">
        <v>0</v>
      </c>
      <c r="J130" s="652">
        <v>0</v>
      </c>
      <c r="K130" s="652">
        <v>0</v>
      </c>
    </row>
    <row r="131" spans="1:11" x14ac:dyDescent="0.25">
      <c r="A131" s="645">
        <v>120</v>
      </c>
      <c r="B131" s="645">
        <v>119</v>
      </c>
      <c r="C131" s="71" t="s">
        <v>274</v>
      </c>
      <c r="D131" s="31" t="s">
        <v>275</v>
      </c>
      <c r="E131" s="652">
        <v>0</v>
      </c>
      <c r="F131" s="652">
        <v>0</v>
      </c>
      <c r="G131" s="652">
        <v>0</v>
      </c>
      <c r="H131" s="652">
        <v>0</v>
      </c>
      <c r="I131" s="652">
        <v>0</v>
      </c>
      <c r="J131" s="652">
        <v>0</v>
      </c>
      <c r="K131" s="652">
        <v>0</v>
      </c>
    </row>
    <row r="132" spans="1:11" x14ac:dyDescent="0.25">
      <c r="A132" s="645">
        <v>121</v>
      </c>
      <c r="B132" s="645">
        <v>120</v>
      </c>
      <c r="C132" s="71" t="s">
        <v>276</v>
      </c>
      <c r="D132" s="31" t="s">
        <v>277</v>
      </c>
      <c r="E132" s="652">
        <v>0</v>
      </c>
      <c r="F132" s="652">
        <v>0</v>
      </c>
      <c r="G132" s="652">
        <v>0</v>
      </c>
      <c r="H132" s="652">
        <v>0</v>
      </c>
      <c r="I132" s="652">
        <v>0</v>
      </c>
      <c r="J132" s="652">
        <v>0</v>
      </c>
      <c r="K132" s="652">
        <v>0</v>
      </c>
    </row>
    <row r="133" spans="1:11" x14ac:dyDescent="0.25">
      <c r="A133" s="645">
        <v>122</v>
      </c>
      <c r="B133" s="645">
        <v>121</v>
      </c>
      <c r="C133" s="70" t="s">
        <v>278</v>
      </c>
      <c r="D133" s="31" t="s">
        <v>279</v>
      </c>
      <c r="E133" s="652">
        <v>0</v>
      </c>
      <c r="F133" s="652">
        <v>0</v>
      </c>
      <c r="G133" s="652">
        <v>0</v>
      </c>
      <c r="H133" s="652">
        <v>0</v>
      </c>
      <c r="I133" s="652">
        <v>0</v>
      </c>
      <c r="J133" s="652">
        <v>0</v>
      </c>
      <c r="K133" s="652">
        <v>0</v>
      </c>
    </row>
    <row r="134" spans="1:11" x14ac:dyDescent="0.25">
      <c r="A134" s="645">
        <v>123</v>
      </c>
      <c r="B134" s="645">
        <v>122</v>
      </c>
      <c r="C134" s="70" t="s">
        <v>280</v>
      </c>
      <c r="D134" s="31" t="s">
        <v>281</v>
      </c>
      <c r="E134" s="652">
        <v>0</v>
      </c>
      <c r="F134" s="652">
        <v>0</v>
      </c>
      <c r="G134" s="652">
        <v>0</v>
      </c>
      <c r="H134" s="652">
        <v>0</v>
      </c>
      <c r="I134" s="652">
        <v>0</v>
      </c>
      <c r="J134" s="652">
        <v>0</v>
      </c>
      <c r="K134" s="652">
        <v>0</v>
      </c>
    </row>
    <row r="135" spans="1:11" x14ac:dyDescent="0.25">
      <c r="A135" s="645">
        <v>124</v>
      </c>
      <c r="B135" s="645">
        <v>123</v>
      </c>
      <c r="C135" s="70" t="s">
        <v>282</v>
      </c>
      <c r="D135" s="31" t="s">
        <v>783</v>
      </c>
      <c r="E135" s="652">
        <v>0</v>
      </c>
      <c r="F135" s="652">
        <v>0</v>
      </c>
      <c r="G135" s="652">
        <v>0</v>
      </c>
      <c r="H135" s="652">
        <v>0</v>
      </c>
      <c r="I135" s="652">
        <v>0</v>
      </c>
      <c r="J135" s="652">
        <v>0</v>
      </c>
      <c r="K135" s="652">
        <v>0</v>
      </c>
    </row>
    <row r="136" spans="1:11" x14ac:dyDescent="0.25">
      <c r="A136" s="645">
        <v>125</v>
      </c>
      <c r="B136" s="645">
        <v>124</v>
      </c>
      <c r="C136" s="71" t="s">
        <v>283</v>
      </c>
      <c r="D136" s="31" t="s">
        <v>284</v>
      </c>
      <c r="E136" s="652">
        <v>3844</v>
      </c>
      <c r="F136" s="652">
        <v>230</v>
      </c>
      <c r="G136" s="652">
        <v>230</v>
      </c>
      <c r="H136" s="652">
        <v>69</v>
      </c>
      <c r="I136" s="652">
        <v>23</v>
      </c>
      <c r="J136" s="652">
        <v>23</v>
      </c>
      <c r="K136" s="652">
        <v>23</v>
      </c>
    </row>
    <row r="137" spans="1:11" x14ac:dyDescent="0.25">
      <c r="A137" s="645">
        <v>126</v>
      </c>
      <c r="B137" s="645">
        <v>125</v>
      </c>
      <c r="C137" s="72" t="s">
        <v>285</v>
      </c>
      <c r="D137" s="31" t="s">
        <v>737</v>
      </c>
      <c r="E137" s="652">
        <v>4882</v>
      </c>
      <c r="F137" s="652">
        <v>4</v>
      </c>
      <c r="G137" s="652">
        <v>4</v>
      </c>
      <c r="H137" s="652">
        <v>0</v>
      </c>
      <c r="I137" s="652">
        <v>0</v>
      </c>
      <c r="J137" s="652">
        <v>0</v>
      </c>
      <c r="K137" s="652">
        <v>0</v>
      </c>
    </row>
    <row r="138" spans="1:11" x14ac:dyDescent="0.25">
      <c r="A138" s="645">
        <v>127</v>
      </c>
      <c r="B138" s="645">
        <v>126</v>
      </c>
      <c r="C138" s="70" t="s">
        <v>286</v>
      </c>
      <c r="D138" s="31" t="s">
        <v>287</v>
      </c>
      <c r="E138" s="652">
        <v>0</v>
      </c>
      <c r="F138" s="652">
        <v>0</v>
      </c>
      <c r="G138" s="652">
        <v>0</v>
      </c>
      <c r="H138" s="652">
        <v>0</v>
      </c>
      <c r="I138" s="652">
        <v>0</v>
      </c>
      <c r="J138" s="652">
        <v>0</v>
      </c>
      <c r="K138" s="652">
        <v>0</v>
      </c>
    </row>
    <row r="139" spans="1:11" x14ac:dyDescent="0.25">
      <c r="A139" s="645">
        <v>128</v>
      </c>
      <c r="B139" s="645">
        <v>127</v>
      </c>
      <c r="C139" s="71" t="s">
        <v>288</v>
      </c>
      <c r="D139" s="31" t="s">
        <v>289</v>
      </c>
      <c r="E139" s="652">
        <v>0</v>
      </c>
      <c r="F139" s="652">
        <v>0</v>
      </c>
      <c r="G139" s="652">
        <v>0</v>
      </c>
      <c r="H139" s="652">
        <v>0</v>
      </c>
      <c r="I139" s="652">
        <v>0</v>
      </c>
      <c r="J139" s="652">
        <v>0</v>
      </c>
      <c r="K139" s="652">
        <v>0</v>
      </c>
    </row>
    <row r="140" spans="1:11" x14ac:dyDescent="0.25">
      <c r="A140" s="645">
        <v>129</v>
      </c>
      <c r="B140" s="645">
        <v>128</v>
      </c>
      <c r="C140" s="70" t="s">
        <v>290</v>
      </c>
      <c r="D140" s="31" t="s">
        <v>291</v>
      </c>
      <c r="E140" s="652">
        <v>0</v>
      </c>
      <c r="F140" s="652">
        <v>0</v>
      </c>
      <c r="G140" s="652">
        <v>0</v>
      </c>
      <c r="H140" s="652">
        <v>0</v>
      </c>
      <c r="I140" s="652">
        <v>0</v>
      </c>
      <c r="J140" s="652">
        <v>0</v>
      </c>
      <c r="K140" s="652">
        <v>0</v>
      </c>
    </row>
    <row r="141" spans="1:11" x14ac:dyDescent="0.25">
      <c r="A141" s="645">
        <v>130</v>
      </c>
      <c r="B141" s="645">
        <v>129</v>
      </c>
      <c r="C141" s="172" t="s">
        <v>292</v>
      </c>
      <c r="D141" s="173" t="s">
        <v>293</v>
      </c>
      <c r="E141" s="652">
        <v>0</v>
      </c>
      <c r="F141" s="652">
        <v>0</v>
      </c>
      <c r="G141" s="652">
        <v>0</v>
      </c>
      <c r="H141" s="652">
        <v>0</v>
      </c>
      <c r="I141" s="652">
        <v>0</v>
      </c>
      <c r="J141" s="652">
        <v>0</v>
      </c>
      <c r="K141" s="652">
        <v>0</v>
      </c>
    </row>
    <row r="142" spans="1:11" x14ac:dyDescent="0.25">
      <c r="A142" s="645">
        <v>131</v>
      </c>
      <c r="B142" s="645">
        <v>130</v>
      </c>
      <c r="C142" s="174" t="s">
        <v>294</v>
      </c>
      <c r="D142" s="175" t="s">
        <v>295</v>
      </c>
      <c r="E142" s="652">
        <v>0</v>
      </c>
      <c r="F142" s="652">
        <v>0</v>
      </c>
      <c r="G142" s="652">
        <v>0</v>
      </c>
      <c r="H142" s="652">
        <v>0</v>
      </c>
      <c r="I142" s="652">
        <v>0</v>
      </c>
      <c r="J142" s="652">
        <v>0</v>
      </c>
      <c r="K142" s="652">
        <v>0</v>
      </c>
    </row>
    <row r="143" spans="1:11" x14ac:dyDescent="0.25">
      <c r="A143" s="645">
        <v>132</v>
      </c>
      <c r="B143" s="645">
        <v>131</v>
      </c>
      <c r="C143" s="172" t="s">
        <v>296</v>
      </c>
      <c r="D143" s="73" t="s">
        <v>323</v>
      </c>
      <c r="E143" s="652">
        <v>0</v>
      </c>
      <c r="F143" s="652">
        <v>0</v>
      </c>
      <c r="G143" s="652">
        <v>0</v>
      </c>
      <c r="H143" s="652">
        <v>0</v>
      </c>
      <c r="I143" s="652">
        <v>0</v>
      </c>
      <c r="J143" s="652">
        <v>0</v>
      </c>
      <c r="K143" s="652">
        <v>0</v>
      </c>
    </row>
    <row r="144" spans="1:11" x14ac:dyDescent="0.25">
      <c r="A144" s="645">
        <v>133</v>
      </c>
      <c r="B144" s="645">
        <v>132</v>
      </c>
      <c r="C144" s="645" t="s">
        <v>298</v>
      </c>
      <c r="D144" s="177" t="s">
        <v>299</v>
      </c>
      <c r="E144" s="652">
        <v>0</v>
      </c>
      <c r="F144" s="652">
        <v>0</v>
      </c>
      <c r="G144" s="652">
        <v>0</v>
      </c>
      <c r="H144" s="652">
        <v>0</v>
      </c>
      <c r="I144" s="652">
        <v>0</v>
      </c>
      <c r="J144" s="652">
        <v>0</v>
      </c>
      <c r="K144" s="652">
        <v>0</v>
      </c>
    </row>
    <row r="145" spans="1:11" x14ac:dyDescent="0.25">
      <c r="A145" s="645">
        <v>134</v>
      </c>
      <c r="B145" s="645">
        <v>133</v>
      </c>
      <c r="C145" s="74" t="s">
        <v>300</v>
      </c>
      <c r="D145" s="177" t="s">
        <v>301</v>
      </c>
      <c r="E145" s="652">
        <v>0</v>
      </c>
      <c r="F145" s="652">
        <v>0</v>
      </c>
      <c r="G145" s="652">
        <v>0</v>
      </c>
      <c r="H145" s="652">
        <v>0</v>
      </c>
      <c r="I145" s="652">
        <v>0</v>
      </c>
      <c r="J145" s="652">
        <v>0</v>
      </c>
      <c r="K145" s="652">
        <v>0</v>
      </c>
    </row>
    <row r="146" spans="1:11" x14ac:dyDescent="0.25">
      <c r="A146" s="645">
        <v>135</v>
      </c>
      <c r="B146" s="645">
        <v>134</v>
      </c>
      <c r="C146" s="659" t="s">
        <v>302</v>
      </c>
      <c r="D146" s="660" t="s">
        <v>303</v>
      </c>
      <c r="E146" s="652">
        <v>0</v>
      </c>
      <c r="F146" s="652">
        <v>0</v>
      </c>
      <c r="G146" s="652">
        <v>0</v>
      </c>
      <c r="H146" s="652">
        <v>0</v>
      </c>
      <c r="I146" s="652">
        <v>0</v>
      </c>
      <c r="J146" s="652">
        <v>0</v>
      </c>
      <c r="K146" s="652">
        <v>0</v>
      </c>
    </row>
    <row r="147" spans="1:11" x14ac:dyDescent="0.25">
      <c r="A147" s="661"/>
      <c r="B147" s="645">
        <v>135</v>
      </c>
      <c r="C147" s="143" t="s">
        <v>304</v>
      </c>
      <c r="D147" s="130" t="s">
        <v>305</v>
      </c>
      <c r="E147" s="652">
        <v>0</v>
      </c>
      <c r="F147" s="652">
        <v>0</v>
      </c>
      <c r="G147" s="652">
        <v>0</v>
      </c>
      <c r="H147" s="652">
        <v>0</v>
      </c>
      <c r="I147" s="652">
        <v>0</v>
      </c>
      <c r="J147" s="652">
        <v>0</v>
      </c>
      <c r="K147" s="652">
        <v>0</v>
      </c>
    </row>
    <row r="148" spans="1:11" ht="57.75" customHeight="1" x14ac:dyDescent="0.25">
      <c r="A148" s="956" t="s">
        <v>324</v>
      </c>
      <c r="B148" s="956"/>
      <c r="C148" s="956"/>
      <c r="D148" s="956"/>
      <c r="E148" s="956"/>
      <c r="F148" s="956"/>
      <c r="G148" s="956"/>
      <c r="H148" s="956"/>
      <c r="I148" s="956"/>
      <c r="J148" s="956"/>
      <c r="K148" s="956"/>
    </row>
    <row r="149" spans="1:11" x14ac:dyDescent="0.25">
      <c r="A149" s="646"/>
      <c r="B149" s="646"/>
      <c r="C149" s="646"/>
      <c r="D149" s="662"/>
      <c r="E149" s="662"/>
      <c r="F149" s="662"/>
      <c r="G149" s="662"/>
      <c r="H149" s="662"/>
      <c r="I149" s="662"/>
      <c r="J149" s="662"/>
      <c r="K149" s="662"/>
    </row>
    <row r="152" spans="1:11" x14ac:dyDescent="0.25">
      <c r="E152" s="663"/>
      <c r="F152" s="663"/>
      <c r="G152" s="663"/>
      <c r="H152" s="663"/>
      <c r="I152" s="663"/>
      <c r="J152" s="663"/>
      <c r="K152" s="663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(Пр.6-26)</vt:lpstr>
      <vt:lpstr>ВМП КС (Пр.6-26)</vt:lpstr>
      <vt:lpstr>ВМП ДС (Пр.16-25)</vt:lpstr>
      <vt:lpstr>ДС (6-26)</vt:lpstr>
      <vt:lpstr>СМП (16-25)</vt:lpstr>
      <vt:lpstr>Обращения 6-26</vt:lpstr>
      <vt:lpstr>Мед.реаб.в АПУ 2026 6-26</vt:lpstr>
      <vt:lpstr>Профилак.Свод (Пр.6-26)    </vt:lpstr>
      <vt:lpstr>Углуб.дисп.1 и 2 эт.(Пр.1-26)</vt:lpstr>
      <vt:lpstr>ДОРЗ 1 и 2 этап (Пр.16-25)</vt:lpstr>
      <vt:lpstr>Пос. по дисп.набл. (Пр.6-26) </vt:lpstr>
      <vt:lpstr>Раз.пос.(Пр.6-26) </vt:lpstr>
      <vt:lpstr>Пос с др.целями(Пр.6-26)  </vt:lpstr>
      <vt:lpstr>Пос. ср.мед.пер. (Пр.6-26)  </vt:lpstr>
      <vt:lpstr>Центры здор.взросл Пр.5-26 </vt:lpstr>
      <vt:lpstr>Компл.посещ. ДН (6-26)</vt:lpstr>
      <vt:lpstr>Дистанц. набл.(3-26)</vt:lpstr>
      <vt:lpstr>КТ, МРТ(3-26)</vt:lpstr>
      <vt:lpstr>УЗИ ССС(6-26)</vt:lpstr>
      <vt:lpstr>ЭИ,ПАИ, МГИ(6-26)</vt:lpstr>
      <vt:lpstr>НИПТ, РНК геп С, Фиброз (6-26)</vt:lpstr>
      <vt:lpstr>ШХНИЗ,ШСД(6-26)</vt:lpstr>
      <vt:lpstr>АПУ неотл.пом.(6-26)</vt:lpstr>
      <vt:lpstr>гемодиализ (5-26)</vt:lpstr>
      <vt:lpstr>Долечивание, кибер-нож (16-25)</vt:lpstr>
      <vt:lpstr>Венерология (16-25)</vt:lpstr>
      <vt:lpstr>Паллиатив. МП (6-26)</vt:lpstr>
      <vt:lpstr>Наркология (1-26)</vt:lpstr>
      <vt:lpstr>Психотерапия (16-25)</vt:lpstr>
      <vt:lpstr>Фтизиатрия (16-25)</vt:lpstr>
      <vt:lpstr>'АПУ неотл.пом.(6-26)'!Заголовки_для_печати</vt:lpstr>
      <vt:lpstr>'ВМП КС (Пр.6-26)'!Заголовки_для_печати</vt:lpstr>
      <vt:lpstr>'Дистанц. набл.(3-26)'!Заголовки_для_печати</vt:lpstr>
      <vt:lpstr>'КТ, МРТ(3-26)'!Заголовки_для_печати</vt:lpstr>
      <vt:lpstr>'НИПТ, РНК геп С, Фиброз (6-26)'!Заголовки_для_печати</vt:lpstr>
      <vt:lpstr>'Обращения 6-26'!Заголовки_для_печати</vt:lpstr>
      <vt:lpstr>'Объемы КС (Пр.6-26)'!Заголовки_для_печати</vt:lpstr>
      <vt:lpstr>'Пос с др.целями(Пр.6-26)  '!Заголовки_для_печати</vt:lpstr>
      <vt:lpstr>'Пос. по дисп.набл. (Пр.6-26) '!Заголовки_для_печати</vt:lpstr>
      <vt:lpstr>'Пос. ср.мед.пер. (Пр.6-26)  '!Заголовки_для_печати</vt:lpstr>
      <vt:lpstr>'Профилак.Свод (Пр.6-26)    '!Заголовки_для_печати</vt:lpstr>
      <vt:lpstr>'Раз.пос.(Пр.6-26) '!Заголовки_для_печати</vt:lpstr>
      <vt:lpstr>'СМП (16-25)'!Заголовки_для_печати</vt:lpstr>
      <vt:lpstr>'Углуб.дисп.1 и 2 эт.(Пр.1-26)'!Заголовки_для_печати</vt:lpstr>
      <vt:lpstr>'УЗИ ССС(6-26)'!Заголовки_для_печати</vt:lpstr>
      <vt:lpstr>'Центры здор.взросл Пр.5-26 '!Заголовки_для_печати</vt:lpstr>
      <vt:lpstr>'ШХНИЗ,ШСД(6-26)'!Заголовки_для_печати</vt:lpstr>
      <vt:lpstr>'ЭИ,ПАИ, МГИ(6-26)'!Заголовки_для_печати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-</cp:lastModifiedBy>
  <cp:lastPrinted>2026-05-21T09:21:35Z</cp:lastPrinted>
  <dcterms:created xsi:type="dcterms:W3CDTF">2025-10-22T09:33:22Z</dcterms:created>
  <dcterms:modified xsi:type="dcterms:W3CDTF">2026-05-26T04:11:06Z</dcterms:modified>
</cp:coreProperties>
</file>