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8-26\"/>
    </mc:Choice>
  </mc:AlternateContent>
  <xr:revisionPtr revIDLastSave="0" documentId="13_ncr:1_{B82706E5-2282-4919-982A-9C6AD99641CD}" xr6:coauthVersionLast="36" xr6:coauthVersionMax="36" xr10:uidLastSave="{00000000-0000-0000-0000-000000000000}"/>
  <bookViews>
    <workbookView xWindow="0" yWindow="0" windowWidth="17925" windowHeight="11325" tabRatio="812" firstSheet="22" activeTab="22" xr2:uid="{00000000-000D-0000-FFFF-FFFF00000000}"/>
  </bookViews>
  <sheets>
    <sheet name="Объемы КС (Пр.8-26)" sheetId="29" r:id="rId1"/>
    <sheet name="ВМП КС (Пр.6-26)" sheetId="30" r:id="rId2"/>
    <sheet name="ВМП ДС (Пр.16-25)" sheetId="33" r:id="rId3"/>
    <sheet name="ДС (8-26)" sheetId="52" r:id="rId4"/>
    <sheet name="СМП (16-25)" sheetId="1" r:id="rId5"/>
    <sheet name="Обращения 8-26" sheetId="3" r:id="rId6"/>
    <sheet name="Мед.реаб.в АПУ 2026 8-26" sheetId="6" r:id="rId7"/>
    <sheet name="Проф.Свод (Пр.8-26)   " sheetId="72" r:id="rId8"/>
    <sheet name="Углуб.дисп.1 и 2 эт.(Пр.1-26)" sheetId="4" r:id="rId9"/>
    <sheet name="ДОРЗ 1 и 2 этап (Пр.16-25)" sheetId="5" r:id="rId10"/>
    <sheet name="Пос. по дисп.набл. (Пр.8-26) " sheetId="73" r:id="rId11"/>
    <sheet name="Раз.пос.(Пр.8-26) " sheetId="74" r:id="rId12"/>
    <sheet name="Пос. ср.мед.пер. (Пр.8-26)  " sheetId="75" r:id="rId13"/>
    <sheet name="Пос с др.целями(Пр.8-26)  " sheetId="76" r:id="rId14"/>
    <sheet name="Центры здор.взросл Пр.5-26 " sheetId="66" r:id="rId15"/>
    <sheet name="Компл.посещ. ДН (8-26)" sheetId="36" r:id="rId16"/>
    <sheet name="Дистанц. набл.(3-26)" sheetId="54" r:id="rId17"/>
    <sheet name="КТ, МРТ, КТПЭТ, ОФЭКТ(8-26)" sheetId="24" r:id="rId18"/>
    <sheet name="УЗИ ССС(8-26)" sheetId="25" r:id="rId19"/>
    <sheet name="ЭИ, ПАИ, МГИ(8-26)" sheetId="26" r:id="rId20"/>
    <sheet name="НИПТ, РНК геп С, Лаб.геп (8-26)" sheetId="27" r:id="rId21"/>
    <sheet name="ШХНИЗ, ШСД, ШБ (8-26)" sheetId="55" r:id="rId22"/>
    <sheet name="АПУ неотл.пом. (8-26)" sheetId="23" r:id="rId23"/>
    <sheet name="гемодиализ (8-26)" sheetId="53" r:id="rId24"/>
    <sheet name="Долечивание, кибер-нож (16-25)" sheetId="38" r:id="rId25"/>
    <sheet name="Венерология (16-25)" sheetId="39" r:id="rId26"/>
    <sheet name="Паллиатив. МП (8-26)" sheetId="40" r:id="rId27"/>
    <sheet name="Наркология (1-26)" sheetId="44" r:id="rId28"/>
    <sheet name="Психотерапия (16-25)" sheetId="41" r:id="rId29"/>
    <sheet name="Фтизиатрия (16-25)" sheetId="42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_xlnm.Print_Area_2" localSheetId="22">#REF!</definedName>
    <definedName name="__xlnm.Print_Area_2" localSheetId="2">#REF!</definedName>
    <definedName name="__xlnm.Print_Area_2" localSheetId="1">#REF!</definedName>
    <definedName name="__xlnm.Print_Area_2" localSheetId="16">#REF!</definedName>
    <definedName name="__xlnm.Print_Area_2" localSheetId="9">#REF!</definedName>
    <definedName name="__xlnm.Print_Area_2" localSheetId="3">#REF!</definedName>
    <definedName name="__xlnm.Print_Area_2" localSheetId="17">#REF!</definedName>
    <definedName name="__xlnm.Print_Area_2" localSheetId="6">#REF!</definedName>
    <definedName name="__xlnm.Print_Area_2" localSheetId="20">#REF!</definedName>
    <definedName name="__xlnm.Print_Area_2" localSheetId="5">#REF!</definedName>
    <definedName name="__xlnm.Print_Area_2" localSheetId="13">#REF!</definedName>
    <definedName name="__xlnm.Print_Area_2" localSheetId="10">#REF!</definedName>
    <definedName name="__xlnm.Print_Area_2" localSheetId="12">#REF!</definedName>
    <definedName name="__xlnm.Print_Area_2" localSheetId="7">#REF!</definedName>
    <definedName name="__xlnm.Print_Area_2" localSheetId="11">#REF!</definedName>
    <definedName name="__xlnm.Print_Area_2" localSheetId="4">#REF!</definedName>
    <definedName name="__xlnm.Print_Area_2" localSheetId="8">#REF!</definedName>
    <definedName name="__xlnm.Print_Area_2" localSheetId="18">#REF!</definedName>
    <definedName name="__xlnm.Print_Area_2" localSheetId="14">#REF!</definedName>
    <definedName name="__xlnm.Print_Area_2" localSheetId="21">#REF!</definedName>
    <definedName name="__xlnm.Print_Area_2" localSheetId="19">#REF!</definedName>
    <definedName name="__xlnm.Print_Area_2">#REF!</definedName>
    <definedName name="_GoBack" localSheetId="16">#REF!</definedName>
    <definedName name="_GoBack" localSheetId="9">#REF!</definedName>
    <definedName name="_GoBack" localSheetId="3">#REF!</definedName>
    <definedName name="_GoBack" localSheetId="20">#REF!</definedName>
    <definedName name="_GoBack" localSheetId="5">#REF!</definedName>
    <definedName name="_GoBack" localSheetId="13">#REF!</definedName>
    <definedName name="_GoBack" localSheetId="10">#REF!</definedName>
    <definedName name="_GoBack" localSheetId="12">#REF!</definedName>
    <definedName name="_GoBack" localSheetId="7">#REF!</definedName>
    <definedName name="_GoBack" localSheetId="11">#REF!</definedName>
    <definedName name="_GoBack" localSheetId="8">#REF!</definedName>
    <definedName name="_GoBack" localSheetId="18">#REF!</definedName>
    <definedName name="_GoBack" localSheetId="14">#REF!</definedName>
    <definedName name="_GoBack" localSheetId="19">#REF!</definedName>
    <definedName name="_GoBack">#REF!</definedName>
    <definedName name="_xlnm._FilterDatabase" localSheetId="22" hidden="1">'АПУ неотл.пом. (8-26)'!$A$9:$C$144</definedName>
    <definedName name="_xlnm._FilterDatabase" localSheetId="1" hidden="1">'ВМП КС (Пр.6-26)'!$A$4:$AJ$4</definedName>
    <definedName name="_xlnm._FilterDatabase" localSheetId="16" hidden="1">'Дистанц. набл.(3-26)'!$A$7:$M$146</definedName>
    <definedName name="_xlnm._FilterDatabase" localSheetId="9" hidden="1">'ДОРЗ 1 и 2 этап (Пр.16-25)'!$I$6:$R$6</definedName>
    <definedName name="_xlnm._FilterDatabase" localSheetId="3" hidden="1">'ДС (8-26)'!$A$5:$M$144</definedName>
    <definedName name="_xlnm._FilterDatabase" localSheetId="17" hidden="1">'КТ, МРТ, КТПЭТ, ОФЭКТ(8-26)'!$D$9:$O$9</definedName>
    <definedName name="_xlnm._FilterDatabase" localSheetId="20" hidden="1">'НИПТ, РНК геп С, Лаб.геп (8-26)'!$D$9:$H$9</definedName>
    <definedName name="_xlnm._FilterDatabase" localSheetId="5" hidden="1">'Обращения 8-26'!$A$10:$C$145</definedName>
    <definedName name="_xlnm._FilterDatabase" localSheetId="0" hidden="1">'Объемы КС (Пр.8-26)'!$A$8:$WVX$8</definedName>
    <definedName name="_xlnm._FilterDatabase" localSheetId="13" hidden="1">'Пос с др.целями(Пр.8-26)  '!#REF!</definedName>
    <definedName name="_xlnm._FilterDatabase" localSheetId="10" hidden="1">'Пос. по дисп.набл. (Пр.8-26) '!#REF!</definedName>
    <definedName name="_xlnm._FilterDatabase" localSheetId="12" hidden="1">'Пос. ср.мед.пер. (Пр.8-26)  '!#REF!</definedName>
    <definedName name="_xlnm._FilterDatabase" localSheetId="7" hidden="1">'Проф.Свод (Пр.8-26)   '!#REF!</definedName>
    <definedName name="_xlnm._FilterDatabase" localSheetId="11" hidden="1">'Раз.пос.(Пр.8-26) '!#REF!</definedName>
    <definedName name="_xlnm._FilterDatabase" localSheetId="4" hidden="1">'СМП (16-25)'!$A$7:$L$19</definedName>
    <definedName name="_xlnm._FilterDatabase" localSheetId="8" hidden="1">'Углуб.дисп.1 и 2 эт.(Пр.1-26)'!$A$6:$K$148</definedName>
    <definedName name="_xlnm._FilterDatabase" localSheetId="18" hidden="1">'УЗИ ССС(8-26)'!$D$9:$H$9</definedName>
    <definedName name="_xlnm._FilterDatabase" localSheetId="14" hidden="1">'Центры здор.взросл Пр.5-26 '!#REF!</definedName>
    <definedName name="_xlnm._FilterDatabase" localSheetId="21" hidden="1">'ШХНИЗ, ШСД, ШБ (8-26)'!$A$11:$C$146</definedName>
    <definedName name="_xlnm._FilterDatabase" localSheetId="19" hidden="1">'ЭИ, ПАИ, МГИ(8-26)'!$D$10:$O$10</definedName>
    <definedName name="F" localSheetId="1">#REF!</definedName>
    <definedName name="F" localSheetId="16">#REF!</definedName>
    <definedName name="F" localSheetId="9">#REF!</definedName>
    <definedName name="F" localSheetId="3">#REF!</definedName>
    <definedName name="F" localSheetId="20">#REF!</definedName>
    <definedName name="F" localSheetId="5">#REF!</definedName>
    <definedName name="F" localSheetId="13">#REF!</definedName>
    <definedName name="F" localSheetId="10">#REF!</definedName>
    <definedName name="F" localSheetId="12">#REF!</definedName>
    <definedName name="F" localSheetId="7">#REF!</definedName>
    <definedName name="F" localSheetId="11">#REF!</definedName>
    <definedName name="F" localSheetId="8">#REF!</definedName>
    <definedName name="F" localSheetId="18">#REF!</definedName>
    <definedName name="F" localSheetId="14">#REF!</definedName>
    <definedName name="F" localSheetId="19">#REF!</definedName>
    <definedName name="F">#REF!</definedName>
    <definedName name="Kbcn" localSheetId="22">#REF!</definedName>
    <definedName name="Kbcn" localSheetId="2">#REF!</definedName>
    <definedName name="Kbcn" localSheetId="1">#REF!</definedName>
    <definedName name="Kbcn" localSheetId="16">#REF!</definedName>
    <definedName name="Kbcn" localSheetId="9">#REF!</definedName>
    <definedName name="Kbcn" localSheetId="3">#REF!</definedName>
    <definedName name="Kbcn" localSheetId="17">#REF!</definedName>
    <definedName name="Kbcn" localSheetId="6">#REF!</definedName>
    <definedName name="Kbcn" localSheetId="20">#REF!</definedName>
    <definedName name="Kbcn" localSheetId="5">#REF!</definedName>
    <definedName name="Kbcn" localSheetId="13">#REF!</definedName>
    <definedName name="Kbcn" localSheetId="10">#REF!</definedName>
    <definedName name="Kbcn" localSheetId="12">#REF!</definedName>
    <definedName name="Kbcn" localSheetId="7">#REF!</definedName>
    <definedName name="Kbcn" localSheetId="11">#REF!</definedName>
    <definedName name="Kbcn" localSheetId="4">#REF!</definedName>
    <definedName name="Kbcn" localSheetId="8">#REF!</definedName>
    <definedName name="Kbcn" localSheetId="18">#REF!</definedName>
    <definedName name="Kbcn" localSheetId="14">#REF!</definedName>
    <definedName name="Kbcn" localSheetId="21">#REF!</definedName>
    <definedName name="Kbcn" localSheetId="19">#REF!</definedName>
    <definedName name="Kbcn">#REF!</definedName>
    <definedName name="Neot_17" localSheetId="22">#REF!</definedName>
    <definedName name="Neot_17" localSheetId="2">#REF!</definedName>
    <definedName name="Neot_17" localSheetId="1">#REF!</definedName>
    <definedName name="Neot_17" localSheetId="16">#REF!</definedName>
    <definedName name="Neot_17" localSheetId="9">#REF!</definedName>
    <definedName name="Neot_17" localSheetId="3">#REF!</definedName>
    <definedName name="Neot_17" localSheetId="17">#REF!</definedName>
    <definedName name="Neot_17" localSheetId="6">#REF!</definedName>
    <definedName name="Neot_17" localSheetId="20">#REF!</definedName>
    <definedName name="Neot_17" localSheetId="5">#REF!</definedName>
    <definedName name="Neot_17" localSheetId="13">#REF!</definedName>
    <definedName name="Neot_17" localSheetId="10">#REF!</definedName>
    <definedName name="Neot_17" localSheetId="12">#REF!</definedName>
    <definedName name="Neot_17" localSheetId="7">#REF!</definedName>
    <definedName name="Neot_17" localSheetId="11">#REF!</definedName>
    <definedName name="Neot_17" localSheetId="4">#REF!</definedName>
    <definedName name="Neot_17" localSheetId="8">#REF!</definedName>
    <definedName name="Neot_17" localSheetId="18">#REF!</definedName>
    <definedName name="Neot_17" localSheetId="14">#REF!</definedName>
    <definedName name="Neot_17" localSheetId="21">#REF!</definedName>
    <definedName name="Neot_17" localSheetId="19">#REF!</definedName>
    <definedName name="Neot_17">#REF!</definedName>
    <definedName name="Pr" localSheetId="16">#REF!</definedName>
    <definedName name="Pr" localSheetId="9">#REF!</definedName>
    <definedName name="Pr" localSheetId="3">#REF!</definedName>
    <definedName name="Pr" localSheetId="6">#REF!</definedName>
    <definedName name="Pr" localSheetId="20">#REF!</definedName>
    <definedName name="Pr" localSheetId="5">#REF!</definedName>
    <definedName name="Pr" localSheetId="13">#REF!</definedName>
    <definedName name="Pr" localSheetId="10">#REF!</definedName>
    <definedName name="Pr" localSheetId="12">#REF!</definedName>
    <definedName name="Pr" localSheetId="7">#REF!</definedName>
    <definedName name="Pr" localSheetId="11">#REF!</definedName>
    <definedName name="Pr" localSheetId="4">#REF!</definedName>
    <definedName name="Pr" localSheetId="8">#REF!</definedName>
    <definedName name="Pr" localSheetId="18">#REF!</definedName>
    <definedName name="Pr" localSheetId="14">#REF!</definedName>
    <definedName name="Pr" localSheetId="21">#REF!</definedName>
    <definedName name="Pr" localSheetId="19">#REF!</definedName>
    <definedName name="Pr">#REF!</definedName>
    <definedName name="res2_range" localSheetId="22">#REF!</definedName>
    <definedName name="res2_range" localSheetId="2">#REF!</definedName>
    <definedName name="res2_range" localSheetId="1">#REF!</definedName>
    <definedName name="res2_range" localSheetId="16">#REF!</definedName>
    <definedName name="res2_range" localSheetId="9">#REF!</definedName>
    <definedName name="res2_range" localSheetId="3">#REF!</definedName>
    <definedName name="res2_range" localSheetId="17">#REF!</definedName>
    <definedName name="res2_range" localSheetId="6">#REF!</definedName>
    <definedName name="res2_range" localSheetId="20">#REF!</definedName>
    <definedName name="res2_range" localSheetId="5">#REF!</definedName>
    <definedName name="res2_range" localSheetId="13">#REF!</definedName>
    <definedName name="res2_range" localSheetId="10">#REF!</definedName>
    <definedName name="res2_range" localSheetId="12">#REF!</definedName>
    <definedName name="res2_range" localSheetId="7">#REF!</definedName>
    <definedName name="res2_range" localSheetId="11">#REF!</definedName>
    <definedName name="res2_range" localSheetId="4">#REF!</definedName>
    <definedName name="res2_range" localSheetId="8">#REF!</definedName>
    <definedName name="res2_range" localSheetId="18">#REF!</definedName>
    <definedName name="res2_range" localSheetId="14">#REF!</definedName>
    <definedName name="res2_range" localSheetId="21">#REF!</definedName>
    <definedName name="res2_range" localSheetId="19">#REF!</definedName>
    <definedName name="res2_range">#REF!</definedName>
    <definedName name="Tg_CZ" localSheetId="22">#REF!</definedName>
    <definedName name="Tg_CZ" localSheetId="2">#REF!</definedName>
    <definedName name="Tg_CZ" localSheetId="1">#REF!</definedName>
    <definedName name="Tg_CZ" localSheetId="16">#REF!</definedName>
    <definedName name="Tg_CZ" localSheetId="9">#REF!</definedName>
    <definedName name="Tg_CZ" localSheetId="3">#REF!</definedName>
    <definedName name="Tg_CZ" localSheetId="17">#REF!</definedName>
    <definedName name="Tg_CZ" localSheetId="6">#REF!</definedName>
    <definedName name="Tg_CZ" localSheetId="20">#REF!</definedName>
    <definedName name="Tg_CZ" localSheetId="5">#REF!</definedName>
    <definedName name="Tg_CZ" localSheetId="13">#REF!</definedName>
    <definedName name="Tg_CZ" localSheetId="10">#REF!</definedName>
    <definedName name="Tg_CZ" localSheetId="12">#REF!</definedName>
    <definedName name="Tg_CZ" localSheetId="7">#REF!</definedName>
    <definedName name="Tg_CZ" localSheetId="11">#REF!</definedName>
    <definedName name="Tg_CZ" localSheetId="4">#REF!</definedName>
    <definedName name="Tg_CZ" localSheetId="8">#REF!</definedName>
    <definedName name="Tg_CZ" localSheetId="18">#REF!</definedName>
    <definedName name="Tg_CZ" localSheetId="14">#REF!</definedName>
    <definedName name="Tg_CZ" localSheetId="21">#REF!</definedName>
    <definedName name="Tg_CZ" localSheetId="19">#REF!</definedName>
    <definedName name="Tg_CZ">#REF!</definedName>
    <definedName name="Tg_Disp" localSheetId="22">#REF!</definedName>
    <definedName name="Tg_Disp" localSheetId="2">#REF!</definedName>
    <definedName name="Tg_Disp" localSheetId="1">#REF!</definedName>
    <definedName name="Tg_Disp" localSheetId="16">#REF!</definedName>
    <definedName name="Tg_Disp" localSheetId="9">#REF!</definedName>
    <definedName name="Tg_Disp" localSheetId="3">#REF!</definedName>
    <definedName name="Tg_Disp" localSheetId="17">#REF!</definedName>
    <definedName name="Tg_Disp" localSheetId="6">#REF!</definedName>
    <definedName name="Tg_Disp" localSheetId="20">#REF!</definedName>
    <definedName name="Tg_Disp" localSheetId="5">#REF!</definedName>
    <definedName name="Tg_Disp" localSheetId="13">#REF!</definedName>
    <definedName name="Tg_Disp" localSheetId="10">#REF!</definedName>
    <definedName name="Tg_Disp" localSheetId="12">#REF!</definedName>
    <definedName name="Tg_Disp" localSheetId="7">#REF!</definedName>
    <definedName name="Tg_Disp" localSheetId="11">#REF!</definedName>
    <definedName name="Tg_Disp" localSheetId="4">#REF!</definedName>
    <definedName name="Tg_Disp" localSheetId="8">#REF!</definedName>
    <definedName name="Tg_Disp" localSheetId="18">#REF!</definedName>
    <definedName name="Tg_Disp" localSheetId="14">#REF!</definedName>
    <definedName name="Tg_Disp" localSheetId="21">#REF!</definedName>
    <definedName name="Tg_Disp" localSheetId="19">#REF!</definedName>
    <definedName name="Tg_Disp">#REF!</definedName>
    <definedName name="Tg_Fin" localSheetId="16">#REF!</definedName>
    <definedName name="Tg_Fin" localSheetId="9">#REF!</definedName>
    <definedName name="Tg_Fin" localSheetId="3">#REF!</definedName>
    <definedName name="Tg_Fin" localSheetId="6">#REF!</definedName>
    <definedName name="Tg_Fin" localSheetId="20">#REF!</definedName>
    <definedName name="Tg_Fin" localSheetId="5">#REF!</definedName>
    <definedName name="Tg_Fin" localSheetId="13">#REF!</definedName>
    <definedName name="Tg_Fin" localSheetId="10">#REF!</definedName>
    <definedName name="Tg_Fin" localSheetId="12">#REF!</definedName>
    <definedName name="Tg_Fin" localSheetId="7">#REF!</definedName>
    <definedName name="Tg_Fin" localSheetId="11">#REF!</definedName>
    <definedName name="Tg_Fin" localSheetId="4">#REF!</definedName>
    <definedName name="Tg_Fin" localSheetId="8">#REF!</definedName>
    <definedName name="Tg_Fin" localSheetId="18">#REF!</definedName>
    <definedName name="Tg_Fin" localSheetId="14">#REF!</definedName>
    <definedName name="Tg_Fin" localSheetId="21">#REF!</definedName>
    <definedName name="Tg_Fin" localSheetId="19">#REF!</definedName>
    <definedName name="Tg_Fin">#REF!</definedName>
    <definedName name="Tg_Geri" localSheetId="22">#REF!</definedName>
    <definedName name="Tg_Geri" localSheetId="2">#REF!</definedName>
    <definedName name="Tg_Geri" localSheetId="1">#REF!</definedName>
    <definedName name="Tg_Geri" localSheetId="16">#REF!</definedName>
    <definedName name="Tg_Geri" localSheetId="9">#REF!</definedName>
    <definedName name="Tg_Geri" localSheetId="3">#REF!</definedName>
    <definedName name="Tg_Geri" localSheetId="17">#REF!</definedName>
    <definedName name="Tg_Geri" localSheetId="6">#REF!</definedName>
    <definedName name="Tg_Geri" localSheetId="20">#REF!</definedName>
    <definedName name="Tg_Geri" localSheetId="5">#REF!</definedName>
    <definedName name="Tg_Geri" localSheetId="13">#REF!</definedName>
    <definedName name="Tg_Geri" localSheetId="10">#REF!</definedName>
    <definedName name="Tg_Geri" localSheetId="12">#REF!</definedName>
    <definedName name="Tg_Geri" localSheetId="7">#REF!</definedName>
    <definedName name="Tg_Geri" localSheetId="11">#REF!</definedName>
    <definedName name="Tg_Geri" localSheetId="4">#REF!</definedName>
    <definedName name="Tg_Geri" localSheetId="8">#REF!</definedName>
    <definedName name="Tg_Geri" localSheetId="18">#REF!</definedName>
    <definedName name="Tg_Geri" localSheetId="14">#REF!</definedName>
    <definedName name="Tg_Geri" localSheetId="21">#REF!</definedName>
    <definedName name="Tg_Geri" localSheetId="19">#REF!</definedName>
    <definedName name="Tg_Geri">#REF!</definedName>
    <definedName name="Tg_Kons" localSheetId="22">#REF!</definedName>
    <definedName name="Tg_Kons" localSheetId="2">#REF!</definedName>
    <definedName name="Tg_Kons" localSheetId="1">#REF!</definedName>
    <definedName name="Tg_Kons" localSheetId="16">#REF!</definedName>
    <definedName name="Tg_Kons" localSheetId="9">#REF!</definedName>
    <definedName name="Tg_Kons" localSheetId="3">#REF!</definedName>
    <definedName name="Tg_Kons" localSheetId="17">#REF!</definedName>
    <definedName name="Tg_Kons" localSheetId="6">#REF!</definedName>
    <definedName name="Tg_Kons" localSheetId="20">#REF!</definedName>
    <definedName name="Tg_Kons" localSheetId="5">#REF!</definedName>
    <definedName name="Tg_Kons" localSheetId="13">#REF!</definedName>
    <definedName name="Tg_Kons" localSheetId="10">#REF!</definedName>
    <definedName name="Tg_Kons" localSheetId="12">#REF!</definedName>
    <definedName name="Tg_Kons" localSheetId="7">#REF!</definedName>
    <definedName name="Tg_Kons" localSheetId="11">#REF!</definedName>
    <definedName name="Tg_Kons" localSheetId="4">#REF!</definedName>
    <definedName name="Tg_Kons" localSheetId="8">#REF!</definedName>
    <definedName name="Tg_Kons" localSheetId="18">#REF!</definedName>
    <definedName name="Tg_Kons" localSheetId="14">#REF!</definedName>
    <definedName name="Tg_Kons" localSheetId="21">#REF!</definedName>
    <definedName name="Tg_Kons" localSheetId="19">#REF!</definedName>
    <definedName name="Tg_Kons">#REF!</definedName>
    <definedName name="Tg_Med" localSheetId="22">#REF!</definedName>
    <definedName name="Tg_Med" localSheetId="2">#REF!</definedName>
    <definedName name="Tg_Med" localSheetId="1">#REF!</definedName>
    <definedName name="Tg_Med" localSheetId="16">#REF!</definedName>
    <definedName name="Tg_Med" localSheetId="9">#REF!</definedName>
    <definedName name="Tg_Med" localSheetId="3">#REF!</definedName>
    <definedName name="Tg_Med" localSheetId="17">#REF!</definedName>
    <definedName name="Tg_Med" localSheetId="6">#REF!</definedName>
    <definedName name="Tg_Med" localSheetId="20">#REF!</definedName>
    <definedName name="Tg_Med" localSheetId="5">#REF!</definedName>
    <definedName name="Tg_Med" localSheetId="13">#REF!</definedName>
    <definedName name="Tg_Med" localSheetId="10">#REF!</definedName>
    <definedName name="Tg_Med" localSheetId="12">#REF!</definedName>
    <definedName name="Tg_Med" localSheetId="7">#REF!</definedName>
    <definedName name="Tg_Med" localSheetId="11">#REF!</definedName>
    <definedName name="Tg_Med" localSheetId="4">#REF!</definedName>
    <definedName name="Tg_Med" localSheetId="8">#REF!</definedName>
    <definedName name="Tg_Med" localSheetId="18">#REF!</definedName>
    <definedName name="Tg_Med" localSheetId="14">#REF!</definedName>
    <definedName name="Tg_Med" localSheetId="21">#REF!</definedName>
    <definedName name="Tg_Med" localSheetId="19">#REF!</definedName>
    <definedName name="Tg_Med">#REF!</definedName>
    <definedName name="Tg_Neot" localSheetId="22">#REF!</definedName>
    <definedName name="Tg_Neot" localSheetId="2">#REF!</definedName>
    <definedName name="Tg_Neot" localSheetId="1">#REF!</definedName>
    <definedName name="Tg_Neot" localSheetId="16">#REF!</definedName>
    <definedName name="Tg_Neot" localSheetId="9">#REF!</definedName>
    <definedName name="Tg_Neot" localSheetId="3">#REF!</definedName>
    <definedName name="Tg_Neot" localSheetId="17">#REF!</definedName>
    <definedName name="Tg_Neot" localSheetId="6">#REF!</definedName>
    <definedName name="Tg_Neot" localSheetId="20">#REF!</definedName>
    <definedName name="Tg_Neot" localSheetId="5">#REF!</definedName>
    <definedName name="Tg_Neot" localSheetId="13">#REF!</definedName>
    <definedName name="Tg_Neot" localSheetId="10">#REF!</definedName>
    <definedName name="Tg_Neot" localSheetId="12">#REF!</definedName>
    <definedName name="Tg_Neot" localSheetId="7">#REF!</definedName>
    <definedName name="Tg_Neot" localSheetId="11">#REF!</definedName>
    <definedName name="Tg_Neot" localSheetId="4">#REF!</definedName>
    <definedName name="Tg_Neot" localSheetId="8">#REF!</definedName>
    <definedName name="Tg_Neot" localSheetId="18">#REF!</definedName>
    <definedName name="Tg_Neot" localSheetId="14">#REF!</definedName>
    <definedName name="Tg_Neot" localSheetId="21">#REF!</definedName>
    <definedName name="Tg_Neot" localSheetId="19">#REF!</definedName>
    <definedName name="Tg_Neot">#REF!</definedName>
    <definedName name="Tg_Nepr" localSheetId="22">#REF!</definedName>
    <definedName name="Tg_Nepr" localSheetId="2">#REF!</definedName>
    <definedName name="Tg_Nepr" localSheetId="1">#REF!</definedName>
    <definedName name="Tg_Nepr" localSheetId="16">#REF!</definedName>
    <definedName name="Tg_Nepr" localSheetId="9">#REF!</definedName>
    <definedName name="Tg_Nepr" localSheetId="3">#REF!</definedName>
    <definedName name="Tg_Nepr" localSheetId="17">#REF!</definedName>
    <definedName name="Tg_Nepr" localSheetId="6">#REF!</definedName>
    <definedName name="Tg_Nepr" localSheetId="20">#REF!</definedName>
    <definedName name="Tg_Nepr" localSheetId="5">#REF!</definedName>
    <definedName name="Tg_Nepr" localSheetId="13">#REF!</definedName>
    <definedName name="Tg_Nepr" localSheetId="10">#REF!</definedName>
    <definedName name="Tg_Nepr" localSheetId="12">#REF!</definedName>
    <definedName name="Tg_Nepr" localSheetId="7">#REF!</definedName>
    <definedName name="Tg_Nepr" localSheetId="11">#REF!</definedName>
    <definedName name="Tg_Nepr" localSheetId="4">#REF!</definedName>
    <definedName name="Tg_Nepr" localSheetId="8">#REF!</definedName>
    <definedName name="Tg_Nepr" localSheetId="18">#REF!</definedName>
    <definedName name="Tg_Nepr" localSheetId="14">#REF!</definedName>
    <definedName name="Tg_Nepr" localSheetId="21">#REF!</definedName>
    <definedName name="Tg_Nepr" localSheetId="19">#REF!</definedName>
    <definedName name="Tg_Nepr">#REF!</definedName>
    <definedName name="Tg_Obr" localSheetId="22">#REF!</definedName>
    <definedName name="Tg_Obr" localSheetId="2">#REF!</definedName>
    <definedName name="Tg_Obr" localSheetId="1">#REF!</definedName>
    <definedName name="Tg_Obr" localSheetId="16">#REF!</definedName>
    <definedName name="Tg_Obr" localSheetId="9">#REF!</definedName>
    <definedName name="Tg_Obr" localSheetId="3">#REF!</definedName>
    <definedName name="Tg_Obr" localSheetId="17">#REF!</definedName>
    <definedName name="Tg_Obr" localSheetId="6">#REF!</definedName>
    <definedName name="Tg_Obr" localSheetId="20">#REF!</definedName>
    <definedName name="Tg_Obr" localSheetId="5">#REF!</definedName>
    <definedName name="Tg_Obr" localSheetId="13">#REF!</definedName>
    <definedName name="Tg_Obr" localSheetId="10">#REF!</definedName>
    <definedName name="Tg_Obr" localSheetId="12">#REF!</definedName>
    <definedName name="Tg_Obr" localSheetId="7">#REF!</definedName>
    <definedName name="Tg_Obr" localSheetId="11">#REF!</definedName>
    <definedName name="Tg_Obr" localSheetId="4">#REF!</definedName>
    <definedName name="Tg_Obr" localSheetId="8">#REF!</definedName>
    <definedName name="Tg_Obr" localSheetId="18">#REF!</definedName>
    <definedName name="Tg_Obr" localSheetId="14">#REF!</definedName>
    <definedName name="Tg_Obr" localSheetId="21">#REF!</definedName>
    <definedName name="Tg_Obr" localSheetId="19">#REF!</definedName>
    <definedName name="Tg_Obr">#REF!</definedName>
    <definedName name="Tg_Reestr" localSheetId="22">#REF!</definedName>
    <definedName name="Tg_Reestr" localSheetId="2">#REF!</definedName>
    <definedName name="Tg_Reestr" localSheetId="1">#REF!</definedName>
    <definedName name="Tg_Reestr" localSheetId="16">#REF!</definedName>
    <definedName name="Tg_Reestr" localSheetId="9">#REF!</definedName>
    <definedName name="Tg_Reestr" localSheetId="3">#REF!</definedName>
    <definedName name="Tg_Reestr" localSheetId="17">#REF!</definedName>
    <definedName name="Tg_Reestr" localSheetId="6">#REF!</definedName>
    <definedName name="Tg_Reestr" localSheetId="20">#REF!</definedName>
    <definedName name="Tg_Reestr" localSheetId="5">#REF!</definedName>
    <definedName name="Tg_Reestr" localSheetId="13">#REF!</definedName>
    <definedName name="Tg_Reestr" localSheetId="10">#REF!</definedName>
    <definedName name="Tg_Reestr" localSheetId="12">#REF!</definedName>
    <definedName name="Tg_Reestr" localSheetId="7">#REF!</definedName>
    <definedName name="Tg_Reestr" localSheetId="11">#REF!</definedName>
    <definedName name="Tg_Reestr" localSheetId="4">#REF!</definedName>
    <definedName name="Tg_Reestr" localSheetId="8">#REF!</definedName>
    <definedName name="Tg_Reestr" localSheetId="18">#REF!</definedName>
    <definedName name="Tg_Reestr" localSheetId="14">#REF!</definedName>
    <definedName name="Tg_Reestr" localSheetId="21">#REF!</definedName>
    <definedName name="Tg_Reestr" localSheetId="19">#REF!</definedName>
    <definedName name="Tg_Reestr">#REF!</definedName>
    <definedName name="TgDs" localSheetId="2">#REF!</definedName>
    <definedName name="TgDs" localSheetId="1">#REF!</definedName>
    <definedName name="TgDs" localSheetId="16">#REF!</definedName>
    <definedName name="TgDs" localSheetId="9">#REF!</definedName>
    <definedName name="TgDs" localSheetId="3">#REF!</definedName>
    <definedName name="TgDs" localSheetId="6">#REF!</definedName>
    <definedName name="TgDs" localSheetId="20">#REF!</definedName>
    <definedName name="TgDs" localSheetId="5">#REF!</definedName>
    <definedName name="TgDs" localSheetId="13">#REF!</definedName>
    <definedName name="TgDs" localSheetId="10">#REF!</definedName>
    <definedName name="TgDs" localSheetId="12">#REF!</definedName>
    <definedName name="TgDs" localSheetId="7">#REF!</definedName>
    <definedName name="TgDs" localSheetId="11">#REF!</definedName>
    <definedName name="TgDs" localSheetId="4">#REF!</definedName>
    <definedName name="TgDs" localSheetId="8">#REF!</definedName>
    <definedName name="TgDs" localSheetId="18">#REF!</definedName>
    <definedName name="TgDs" localSheetId="14">#REF!</definedName>
    <definedName name="TgDs" localSheetId="21">#REF!</definedName>
    <definedName name="TgDs" localSheetId="19">#REF!</definedName>
    <definedName name="TgDs">#REF!</definedName>
    <definedName name="TgSMP" localSheetId="22">#REF!</definedName>
    <definedName name="TgSMP" localSheetId="1">#REF!</definedName>
    <definedName name="TgSMP" localSheetId="16">#REF!</definedName>
    <definedName name="TgSMP" localSheetId="9">#REF!</definedName>
    <definedName name="TgSMP" localSheetId="3">#REF!</definedName>
    <definedName name="TgSMP" localSheetId="17">#REF!</definedName>
    <definedName name="TgSMP" localSheetId="6">#REF!</definedName>
    <definedName name="TgSMP" localSheetId="20">#REF!</definedName>
    <definedName name="TgSMP" localSheetId="5">#REF!</definedName>
    <definedName name="TgSMP" localSheetId="13">#REF!</definedName>
    <definedName name="TgSMP" localSheetId="10">#REF!</definedName>
    <definedName name="TgSMP" localSheetId="12">#REF!</definedName>
    <definedName name="TgSMP" localSheetId="7">#REF!</definedName>
    <definedName name="TgSMP" localSheetId="11">#REF!</definedName>
    <definedName name="TgSMP" localSheetId="4">#REF!</definedName>
    <definedName name="TgSMP" localSheetId="8">#REF!</definedName>
    <definedName name="TgSMP" localSheetId="18">#REF!</definedName>
    <definedName name="TgSMP" localSheetId="14">#REF!</definedName>
    <definedName name="TgSMP" localSheetId="21">#REF!</definedName>
    <definedName name="TgSMP" localSheetId="19">#REF!</definedName>
    <definedName name="TgSMP">#REF!</definedName>
    <definedName name="XLRPARAMS_ISP_FIO" localSheetId="2" hidden="1">[1]XLR_NoRangeSheet!$B$6</definedName>
    <definedName name="XLRPARAMS_ISP_FIO" localSheetId="1" hidden="1">[1]XLR_NoRangeSheet!$B$6</definedName>
    <definedName name="XLRPARAMS_ISP_FIO" localSheetId="9" hidden="1">[2]XLR_NoRangeSheet!$B$6</definedName>
    <definedName name="XLRPARAMS_ISP_FIO" localSheetId="6" hidden="1">[3]XLR_NoRangeSheet!$B$6</definedName>
    <definedName name="XLRPARAMS_ISP_FIO" localSheetId="0" hidden="1">[1]XLR_NoRangeSheet!$B$6</definedName>
    <definedName name="XLRPARAMS_ISP_FIO" localSheetId="13" hidden="1">[1]XLR_NoRangeSheet!$B$6</definedName>
    <definedName name="XLRPARAMS_ISP_FIO" localSheetId="10" hidden="1">[1]XLR_NoRangeSheet!$B$6</definedName>
    <definedName name="XLRPARAMS_ISP_FIO" localSheetId="12" hidden="1">[1]XLR_NoRangeSheet!$B$6</definedName>
    <definedName name="XLRPARAMS_ISP_FIO" localSheetId="7" hidden="1">[1]XLR_NoRangeSheet!$B$6</definedName>
    <definedName name="XLRPARAMS_ISP_FIO" localSheetId="11" hidden="1">[1]XLR_NoRangeSheet!$B$6</definedName>
    <definedName name="XLRPARAMS_ISP_FIO" localSheetId="4" hidden="1">[1]XLR_NoRangeSheet!$B$6</definedName>
    <definedName name="XLRPARAMS_ISP_FIO" localSheetId="8" hidden="1">[1]XLR_NoRangeSheet!$B$6</definedName>
    <definedName name="XLRPARAMS_ISP_FIO" localSheetId="14" hidden="1">[1]XLR_NoRangeSheet!$B$6</definedName>
    <definedName name="XLRPARAMS_ISP_FIO" hidden="1">[3]XLR_NoRangeSheet!$B$6</definedName>
    <definedName name="XLRPARAMS_MP_NAME" localSheetId="2" hidden="1">[1]XLR_NoRangeSheet!$D$6</definedName>
    <definedName name="XLRPARAMS_MP_NAME" localSheetId="1" hidden="1">[1]XLR_NoRangeSheet!$D$6</definedName>
    <definedName name="XLRPARAMS_MP_NAME" localSheetId="9" hidden="1">[2]XLR_NoRangeSheet!$D$6</definedName>
    <definedName name="XLRPARAMS_MP_NAME" localSheetId="6" hidden="1">[3]XLR_NoRangeSheet!$D$6</definedName>
    <definedName name="XLRPARAMS_MP_NAME" localSheetId="0" hidden="1">[1]XLR_NoRangeSheet!$D$6</definedName>
    <definedName name="XLRPARAMS_MP_NAME" localSheetId="13" hidden="1">[1]XLR_NoRangeSheet!$D$6</definedName>
    <definedName name="XLRPARAMS_MP_NAME" localSheetId="10" hidden="1">[1]XLR_NoRangeSheet!$D$6</definedName>
    <definedName name="XLRPARAMS_MP_NAME" localSheetId="12" hidden="1">[1]XLR_NoRangeSheet!$D$6</definedName>
    <definedName name="XLRPARAMS_MP_NAME" localSheetId="7" hidden="1">[1]XLR_NoRangeSheet!$D$6</definedName>
    <definedName name="XLRPARAMS_MP_NAME" localSheetId="11" hidden="1">[1]XLR_NoRangeSheet!$D$6</definedName>
    <definedName name="XLRPARAMS_MP_NAME" localSheetId="4" hidden="1">[1]XLR_NoRangeSheet!$D$6</definedName>
    <definedName name="XLRPARAMS_MP_NAME" localSheetId="8" hidden="1">[1]XLR_NoRangeSheet!$D$6</definedName>
    <definedName name="XLRPARAMS_MP_NAME" localSheetId="14" hidden="1">[1]XLR_NoRangeSheet!$D$6</definedName>
    <definedName name="XLRPARAMS_MP_NAME" hidden="1">[3]XLR_NoRangeSheet!$D$6</definedName>
    <definedName name="XLRPARAMS_STR_PERIOD" localSheetId="2" hidden="1">[1]XLR_NoRangeSheet!$C$6</definedName>
    <definedName name="XLRPARAMS_STR_PERIOD" localSheetId="1" hidden="1">[1]XLR_NoRangeSheet!$C$6</definedName>
    <definedName name="XLRPARAMS_STR_PERIOD" localSheetId="9" hidden="1">[2]XLR_NoRangeSheet!$C$6</definedName>
    <definedName name="XLRPARAMS_STR_PERIOD" localSheetId="6" hidden="1">[3]XLR_NoRangeSheet!$C$6</definedName>
    <definedName name="XLRPARAMS_STR_PERIOD" localSheetId="0" hidden="1">[1]XLR_NoRangeSheet!$C$6</definedName>
    <definedName name="XLRPARAMS_STR_PERIOD" localSheetId="13" hidden="1">[1]XLR_NoRangeSheet!$C$6</definedName>
    <definedName name="XLRPARAMS_STR_PERIOD" localSheetId="10" hidden="1">[1]XLR_NoRangeSheet!$C$6</definedName>
    <definedName name="XLRPARAMS_STR_PERIOD" localSheetId="12" hidden="1">[1]XLR_NoRangeSheet!$C$6</definedName>
    <definedName name="XLRPARAMS_STR_PERIOD" localSheetId="7" hidden="1">[1]XLR_NoRangeSheet!$C$6</definedName>
    <definedName name="XLRPARAMS_STR_PERIOD" localSheetId="11" hidden="1">[1]XLR_NoRangeSheet!$C$6</definedName>
    <definedName name="XLRPARAMS_STR_PERIOD" localSheetId="4" hidden="1">[1]XLR_NoRangeSheet!$C$6</definedName>
    <definedName name="XLRPARAMS_STR_PERIOD" localSheetId="8" hidden="1">[1]XLR_NoRangeSheet!$C$6</definedName>
    <definedName name="XLRPARAMS_STR_PERIOD" localSheetId="14" hidden="1">[1]XLR_NoRangeSheet!$C$6</definedName>
    <definedName name="XLRPARAMS_STR_PERIOD" hidden="1">[3]XLR_NoRangeSheet!$C$6</definedName>
    <definedName name="а2">'[4]2+'!$LU:$LV</definedName>
    <definedName name="апп" localSheetId="2">#REF!</definedName>
    <definedName name="апп" localSheetId="1">#REF!</definedName>
    <definedName name="апп" localSheetId="16">#REF!</definedName>
    <definedName name="апп" localSheetId="9">#REF!</definedName>
    <definedName name="апп" localSheetId="3">#REF!</definedName>
    <definedName name="апп" localSheetId="6">#REF!</definedName>
    <definedName name="апп" localSheetId="20">#REF!</definedName>
    <definedName name="апп" localSheetId="5">#REF!</definedName>
    <definedName name="апп" localSheetId="13">#REF!</definedName>
    <definedName name="апп" localSheetId="10">#REF!</definedName>
    <definedName name="апп" localSheetId="12">#REF!</definedName>
    <definedName name="апп" localSheetId="7">#REF!</definedName>
    <definedName name="апп" localSheetId="11">#REF!</definedName>
    <definedName name="апп" localSheetId="4">#REF!</definedName>
    <definedName name="апп" localSheetId="8">#REF!</definedName>
    <definedName name="апп" localSheetId="18">#REF!</definedName>
    <definedName name="апп" localSheetId="14">#REF!</definedName>
    <definedName name="апп" localSheetId="21">#REF!</definedName>
    <definedName name="апп" localSheetId="19">#REF!</definedName>
    <definedName name="апп">#REF!</definedName>
    <definedName name="_xlnm.Database" localSheetId="22">#REF!</definedName>
    <definedName name="_xlnm.Database" localSheetId="2">#REF!</definedName>
    <definedName name="_xlnm.Database" localSheetId="1">#REF!</definedName>
    <definedName name="_xlnm.Database" localSheetId="16">#REF!</definedName>
    <definedName name="_xlnm.Database" localSheetId="9">#REF!</definedName>
    <definedName name="_xlnm.Database" localSheetId="3">#REF!</definedName>
    <definedName name="_xlnm.Database" localSheetId="17">#REF!</definedName>
    <definedName name="_xlnm.Database" localSheetId="6">#REF!</definedName>
    <definedName name="_xlnm.Database" localSheetId="20">#REF!</definedName>
    <definedName name="_xlnm.Database" localSheetId="5">#REF!</definedName>
    <definedName name="_xlnm.Database" localSheetId="13">#REF!</definedName>
    <definedName name="_xlnm.Database" localSheetId="10">#REF!</definedName>
    <definedName name="_xlnm.Database" localSheetId="12">#REF!</definedName>
    <definedName name="_xlnm.Database" localSheetId="7">#REF!</definedName>
    <definedName name="_xlnm.Database" localSheetId="11">#REF!</definedName>
    <definedName name="_xlnm.Database" localSheetId="4">#REF!</definedName>
    <definedName name="_xlnm.Database" localSheetId="8">#REF!</definedName>
    <definedName name="_xlnm.Database" localSheetId="18">#REF!</definedName>
    <definedName name="_xlnm.Database" localSheetId="14">#REF!</definedName>
    <definedName name="_xlnm.Database" localSheetId="21">#REF!</definedName>
    <definedName name="_xlnm.Database" localSheetId="19">#REF!</definedName>
    <definedName name="_xlnm.Database">#REF!</definedName>
    <definedName name="в" localSheetId="16">#REF!</definedName>
    <definedName name="в" localSheetId="9">#REF!</definedName>
    <definedName name="в" localSheetId="3">#REF!</definedName>
    <definedName name="в" localSheetId="20">#REF!</definedName>
    <definedName name="в" localSheetId="5">#REF!</definedName>
    <definedName name="в" localSheetId="13">#REF!</definedName>
    <definedName name="в" localSheetId="10">#REF!</definedName>
    <definedName name="в" localSheetId="12">#REF!</definedName>
    <definedName name="в" localSheetId="7">#REF!</definedName>
    <definedName name="в" localSheetId="11">#REF!</definedName>
    <definedName name="в" localSheetId="8">#REF!</definedName>
    <definedName name="в" localSheetId="18">#REF!</definedName>
    <definedName name="в" localSheetId="14">#REF!</definedName>
    <definedName name="в" localSheetId="19">#REF!</definedName>
    <definedName name="в">#REF!</definedName>
    <definedName name="в2">'[4]2+'!$O:$P</definedName>
    <definedName name="Д" localSheetId="2">[5]Данные!$B$1:$EF$178</definedName>
    <definedName name="Д" localSheetId="1">[5]Данные!$B$1:$EF$178</definedName>
    <definedName name="Д" localSheetId="0">[5]Данные!$B$1:$EF$178</definedName>
    <definedName name="Д" localSheetId="13">[6]Данные!$B$1:$EF$178</definedName>
    <definedName name="Д" localSheetId="10">[5]Данные!$B$1:$EF$178</definedName>
    <definedName name="Д" localSheetId="12">[5]Данные!$B$1:$EF$178</definedName>
    <definedName name="Д" localSheetId="7">[6]Данные!$B$1:$EF$178</definedName>
    <definedName name="Д" localSheetId="11">[7]Данные!$B$1:$EF$178</definedName>
    <definedName name="Д" localSheetId="4">[5]Данные!$B$1:$EF$178</definedName>
    <definedName name="Д" localSheetId="8">[5]Данные!$B$1:$EF$178</definedName>
    <definedName name="Д" localSheetId="14">[5]Данные!$B$1:$EF$178</definedName>
    <definedName name="Д">[8]Данные!$B$1:$EF$178</definedName>
    <definedName name="двн" localSheetId="1">#REF!</definedName>
    <definedName name="двн" localSheetId="16">#REF!</definedName>
    <definedName name="двн" localSheetId="9">#REF!</definedName>
    <definedName name="двн" localSheetId="3">#REF!</definedName>
    <definedName name="двн" localSheetId="20">#REF!</definedName>
    <definedName name="двн" localSheetId="5">#REF!</definedName>
    <definedName name="двн" localSheetId="13">#REF!</definedName>
    <definedName name="двн" localSheetId="10">#REF!</definedName>
    <definedName name="двн" localSheetId="12">#REF!</definedName>
    <definedName name="двн" localSheetId="7">#REF!</definedName>
    <definedName name="двн" localSheetId="11">#REF!</definedName>
    <definedName name="двн" localSheetId="8">#REF!</definedName>
    <definedName name="двн" localSheetId="18">#REF!</definedName>
    <definedName name="двн" localSheetId="14">#REF!</definedName>
    <definedName name="двн" localSheetId="19">#REF!</definedName>
    <definedName name="двн">#REF!</definedName>
    <definedName name="ж0" localSheetId="9">'[9]0-2'!$E:$F</definedName>
    <definedName name="ж0" localSheetId="6">'[10]0-2'!$E:$F</definedName>
    <definedName name="ж0" localSheetId="13">'[10]0-2'!$E:$F</definedName>
    <definedName name="ж0" localSheetId="10">'[11]0-2'!$E:$F</definedName>
    <definedName name="ж0" localSheetId="12">'[10]0-2'!$E:$F</definedName>
    <definedName name="ж0" localSheetId="7">'[11]0-2'!$E:$F</definedName>
    <definedName name="ж0" localSheetId="11">'[10]0-2'!$E:$F</definedName>
    <definedName name="ж0" localSheetId="4">'[10]0-2'!$E:$F</definedName>
    <definedName name="ж0" localSheetId="8">'[10]0-2'!$E:$F</definedName>
    <definedName name="ж0" localSheetId="14">'[10]0-2'!$E:$F</definedName>
    <definedName name="ж0">'[11]0-2'!$E:$F</definedName>
    <definedName name="ж1" localSheetId="9">'[9]0-2'!$I:$J</definedName>
    <definedName name="ж1" localSheetId="6">'[10]0-2'!$I:$J</definedName>
    <definedName name="ж1" localSheetId="13">'[10]0-2'!$I:$J</definedName>
    <definedName name="ж1" localSheetId="10">'[11]0-2'!$I:$J</definedName>
    <definedName name="ж1" localSheetId="12">'[10]0-2'!$I:$J</definedName>
    <definedName name="ж1" localSheetId="7">'[11]0-2'!$I:$J</definedName>
    <definedName name="ж1" localSheetId="11">'[10]0-2'!$I:$J</definedName>
    <definedName name="ж1" localSheetId="4">'[10]0-2'!$I:$J</definedName>
    <definedName name="ж1" localSheetId="8">'[10]0-2'!$I:$J</definedName>
    <definedName name="ж1" localSheetId="14">'[10]0-2'!$I:$J</definedName>
    <definedName name="ж1">'[11]0-2'!$I:$J</definedName>
    <definedName name="ж10" localSheetId="9">#REF!</definedName>
    <definedName name="ж10" localSheetId="6">'[12]2+'!$AK:$AL</definedName>
    <definedName name="ж10" localSheetId="13">'[12]2+'!$AK:$AL</definedName>
    <definedName name="ж10" localSheetId="10">'[4]2+'!$AK:$AL</definedName>
    <definedName name="ж10" localSheetId="12">'[12]2+'!$AK:$AL</definedName>
    <definedName name="ж10" localSheetId="7">'[4]2+'!$AK:$AL</definedName>
    <definedName name="ж10" localSheetId="11">'[12]2+'!$AK:$AL</definedName>
    <definedName name="ж10" localSheetId="4">'[12]2+'!$AK:$AL</definedName>
    <definedName name="ж10" localSheetId="8">'[12]2+'!$AK:$AL</definedName>
    <definedName name="ж10" localSheetId="14">'[12]2+'!$AK:$AL</definedName>
    <definedName name="ж10">'[4]2+'!$AK:$AL</definedName>
    <definedName name="ж100" localSheetId="9">#REF!</definedName>
    <definedName name="ж100" localSheetId="6">'[12]2+'!$OG:$OH</definedName>
    <definedName name="ж100" localSheetId="13">'[12]2+'!$OG:$OH</definedName>
    <definedName name="ж100" localSheetId="10">'[4]2+'!$OG:$OH</definedName>
    <definedName name="ж100" localSheetId="12">'[12]2+'!$OG:$OH</definedName>
    <definedName name="ж100" localSheetId="7">'[4]2+'!$OG:$OH</definedName>
    <definedName name="ж100" localSheetId="11">'[12]2+'!$OG:$OH</definedName>
    <definedName name="ж100" localSheetId="4">'[12]2+'!$OG:$OH</definedName>
    <definedName name="ж100" localSheetId="8">'[12]2+'!$OG:$OH</definedName>
    <definedName name="ж100" localSheetId="14">'[12]2+'!$OG:$OH</definedName>
    <definedName name="ж100">'[4]2+'!$OG:$OH</definedName>
    <definedName name="ж101" localSheetId="9">#REF!</definedName>
    <definedName name="ж101" localSheetId="6">'[12]2+'!$OK:$OL</definedName>
    <definedName name="ж101" localSheetId="13">'[12]2+'!$OK:$OL</definedName>
    <definedName name="ж101" localSheetId="10">'[4]2+'!$OK:$OL</definedName>
    <definedName name="ж101" localSheetId="12">'[12]2+'!$OK:$OL</definedName>
    <definedName name="ж101" localSheetId="7">'[4]2+'!$OK:$OL</definedName>
    <definedName name="ж101" localSheetId="11">'[12]2+'!$OK:$OL</definedName>
    <definedName name="ж101" localSheetId="4">'[12]2+'!$OK:$OL</definedName>
    <definedName name="ж101" localSheetId="8">'[12]2+'!$OK:$OL</definedName>
    <definedName name="ж101" localSheetId="14">'[12]2+'!$OK:$OL</definedName>
    <definedName name="ж101">'[4]2+'!$OK:$OL</definedName>
    <definedName name="ж102" localSheetId="9">#REF!</definedName>
    <definedName name="ж102" localSheetId="6">'[12]2+'!$OO:$OP</definedName>
    <definedName name="ж102" localSheetId="13">'[12]2+'!$OO:$OP</definedName>
    <definedName name="ж102" localSheetId="10">'[4]2+'!$OO:$OP</definedName>
    <definedName name="ж102" localSheetId="12">'[12]2+'!$OO:$OP</definedName>
    <definedName name="ж102" localSheetId="7">'[4]2+'!$OO:$OP</definedName>
    <definedName name="ж102" localSheetId="11">'[12]2+'!$OO:$OP</definedName>
    <definedName name="ж102" localSheetId="4">'[12]2+'!$OO:$OP</definedName>
    <definedName name="ж102" localSheetId="8">'[12]2+'!$OO:$OP</definedName>
    <definedName name="ж102" localSheetId="14">'[12]2+'!$OO:$OP</definedName>
    <definedName name="ж102">'[4]2+'!$OO:$OP</definedName>
    <definedName name="ж103" localSheetId="9">#REF!</definedName>
    <definedName name="ж103" localSheetId="6">'[12]2+'!$OS:$OT</definedName>
    <definedName name="ж103" localSheetId="13">'[12]2+'!$OS:$OT</definedName>
    <definedName name="ж103" localSheetId="10">'[4]2+'!$OS:$OT</definedName>
    <definedName name="ж103" localSheetId="12">'[12]2+'!$OS:$OT</definedName>
    <definedName name="ж103" localSheetId="7">'[4]2+'!$OS:$OT</definedName>
    <definedName name="ж103" localSheetId="11">'[12]2+'!$OS:$OT</definedName>
    <definedName name="ж103" localSheetId="4">'[12]2+'!$OS:$OT</definedName>
    <definedName name="ж103" localSheetId="8">'[12]2+'!$OS:$OT</definedName>
    <definedName name="ж103" localSheetId="14">'[12]2+'!$OS:$OT</definedName>
    <definedName name="ж103">'[4]2+'!$OS:$OT</definedName>
    <definedName name="ж104" localSheetId="9">#REF!</definedName>
    <definedName name="ж104" localSheetId="6">'[12]2+'!$OW:$OX</definedName>
    <definedName name="ж104" localSheetId="13">'[12]2+'!$OW:$OX</definedName>
    <definedName name="ж104" localSheetId="10">'[4]2+'!$OW:$OX</definedName>
    <definedName name="ж104" localSheetId="12">'[12]2+'!$OW:$OX</definedName>
    <definedName name="ж104" localSheetId="7">'[4]2+'!$OW:$OX</definedName>
    <definedName name="ж104" localSheetId="11">'[12]2+'!$OW:$OX</definedName>
    <definedName name="ж104" localSheetId="4">'[12]2+'!$OW:$OX</definedName>
    <definedName name="ж104" localSheetId="8">'[12]2+'!$OW:$OX</definedName>
    <definedName name="ж104" localSheetId="14">'[12]2+'!$OW:$OX</definedName>
    <definedName name="ж104">'[4]2+'!$OW:$OX</definedName>
    <definedName name="ж105" localSheetId="9">#REF!</definedName>
    <definedName name="ж105" localSheetId="6">'[12]2+'!$PA:$PB</definedName>
    <definedName name="ж105" localSheetId="13">'[12]2+'!$PA:$PB</definedName>
    <definedName name="ж105" localSheetId="10">'[4]2+'!$PA:$PB</definedName>
    <definedName name="ж105" localSheetId="12">'[12]2+'!$PA:$PB</definedName>
    <definedName name="ж105" localSheetId="7">'[4]2+'!$PA:$PB</definedName>
    <definedName name="ж105" localSheetId="11">'[12]2+'!$PA:$PB</definedName>
    <definedName name="ж105" localSheetId="4">'[12]2+'!$PA:$PB</definedName>
    <definedName name="ж105" localSheetId="8">'[12]2+'!$PA:$PB</definedName>
    <definedName name="ж105" localSheetId="14">'[12]2+'!$PA:$PB</definedName>
    <definedName name="ж105">'[4]2+'!$PA:$PB</definedName>
    <definedName name="ж106" localSheetId="9">#REF!</definedName>
    <definedName name="ж106" localSheetId="6">'[12]2+'!$PE:$PF</definedName>
    <definedName name="ж106" localSheetId="13">'[12]2+'!$PE:$PF</definedName>
    <definedName name="ж106" localSheetId="10">'[4]2+'!$PE:$PF</definedName>
    <definedName name="ж106" localSheetId="12">'[12]2+'!$PE:$PF</definedName>
    <definedName name="ж106" localSheetId="7">'[4]2+'!$PE:$PF</definedName>
    <definedName name="ж106" localSheetId="11">'[12]2+'!$PE:$PF</definedName>
    <definedName name="ж106" localSheetId="4">'[12]2+'!$PE:$PF</definedName>
    <definedName name="ж106" localSheetId="8">'[12]2+'!$PE:$PF</definedName>
    <definedName name="ж106" localSheetId="14">'[12]2+'!$PE:$PF</definedName>
    <definedName name="ж106">'[4]2+'!$PE:$PF</definedName>
    <definedName name="ж107" localSheetId="9">#REF!</definedName>
    <definedName name="ж107" localSheetId="6">'[12]2+'!$PI:$PJ</definedName>
    <definedName name="ж107" localSheetId="13">'[12]2+'!$PI:$PJ</definedName>
    <definedName name="ж107" localSheetId="10">'[4]2+'!$PI:$PJ</definedName>
    <definedName name="ж107" localSheetId="12">'[12]2+'!$PI:$PJ</definedName>
    <definedName name="ж107" localSheetId="7">'[4]2+'!$PI:$PJ</definedName>
    <definedName name="ж107" localSheetId="11">'[12]2+'!$PI:$PJ</definedName>
    <definedName name="ж107" localSheetId="4">'[12]2+'!$PI:$PJ</definedName>
    <definedName name="ж107" localSheetId="8">'[12]2+'!$PI:$PJ</definedName>
    <definedName name="ж107" localSheetId="14">'[12]2+'!$PI:$PJ</definedName>
    <definedName name="ж107">'[4]2+'!$PI:$PJ</definedName>
    <definedName name="ж108" localSheetId="9">#REF!</definedName>
    <definedName name="ж108" localSheetId="6">'[12]2+'!$PM:$PN</definedName>
    <definedName name="ж108" localSheetId="13">'[12]2+'!$PM:$PN</definedName>
    <definedName name="ж108" localSheetId="10">'[4]2+'!$PM:$PN</definedName>
    <definedName name="ж108" localSheetId="12">'[12]2+'!$PM:$PN</definedName>
    <definedName name="ж108" localSheetId="7">'[4]2+'!$PM:$PN</definedName>
    <definedName name="ж108" localSheetId="11">'[12]2+'!$PM:$PN</definedName>
    <definedName name="ж108" localSheetId="4">'[12]2+'!$PM:$PN</definedName>
    <definedName name="ж108" localSheetId="8">'[12]2+'!$PM:$PN</definedName>
    <definedName name="ж108" localSheetId="14">'[12]2+'!$PM:$PN</definedName>
    <definedName name="ж108">'[4]2+'!$PM:$PN</definedName>
    <definedName name="ж109" localSheetId="9">#REF!</definedName>
    <definedName name="ж109" localSheetId="6">'[12]2+'!$PQ:$PR</definedName>
    <definedName name="ж109" localSheetId="13">'[12]2+'!$PQ:$PR</definedName>
    <definedName name="ж109" localSheetId="10">'[4]2+'!$PQ:$PR</definedName>
    <definedName name="ж109" localSheetId="12">'[12]2+'!$PQ:$PR</definedName>
    <definedName name="ж109" localSheetId="7">'[4]2+'!$PQ:$PR</definedName>
    <definedName name="ж109" localSheetId="11">'[12]2+'!$PQ:$PR</definedName>
    <definedName name="ж109" localSheetId="4">'[12]2+'!$PQ:$PR</definedName>
    <definedName name="ж109" localSheetId="8">'[12]2+'!$PQ:$PR</definedName>
    <definedName name="ж109" localSheetId="14">'[12]2+'!$PQ:$PR</definedName>
    <definedName name="ж109">'[4]2+'!$PQ:$PR</definedName>
    <definedName name="ж11" localSheetId="9">#REF!</definedName>
    <definedName name="ж11" localSheetId="6">'[12]2+'!$AO:$AP</definedName>
    <definedName name="ж11" localSheetId="13">'[12]2+'!$AO:$AP</definedName>
    <definedName name="ж11" localSheetId="10">'[4]2+'!$AO:$AP</definedName>
    <definedName name="ж11" localSheetId="12">'[12]2+'!$AO:$AP</definedName>
    <definedName name="ж11" localSheetId="7">'[4]2+'!$AO:$AP</definedName>
    <definedName name="ж11" localSheetId="11">'[12]2+'!$AO:$AP</definedName>
    <definedName name="ж11" localSheetId="4">'[12]2+'!$AO:$AP</definedName>
    <definedName name="ж11" localSheetId="8">'[12]2+'!$AO:$AP</definedName>
    <definedName name="ж11" localSheetId="14">'[12]2+'!$AO:$AP</definedName>
    <definedName name="ж11">'[4]2+'!$AO:$AP</definedName>
    <definedName name="ж110" localSheetId="9">#REF!</definedName>
    <definedName name="ж110" localSheetId="6">'[12]2+'!$PU:$PV</definedName>
    <definedName name="ж110" localSheetId="13">'[12]2+'!$PU:$PV</definedName>
    <definedName name="ж110" localSheetId="10">'[4]2+'!$PU:$PV</definedName>
    <definedName name="ж110" localSheetId="12">'[12]2+'!$PU:$PV</definedName>
    <definedName name="ж110" localSheetId="7">'[4]2+'!$PU:$PV</definedName>
    <definedName name="ж110" localSheetId="11">'[12]2+'!$PU:$PV</definedName>
    <definedName name="ж110" localSheetId="4">'[12]2+'!$PU:$PV</definedName>
    <definedName name="ж110" localSheetId="8">'[12]2+'!$PU:$PV</definedName>
    <definedName name="ж110" localSheetId="14">'[12]2+'!$PU:$PV</definedName>
    <definedName name="ж110">'[4]2+'!$PU:$PV</definedName>
    <definedName name="ж111" localSheetId="9">#REF!</definedName>
    <definedName name="ж111" localSheetId="6">'[12]2+'!$PY:$PZ</definedName>
    <definedName name="ж111" localSheetId="13">'[12]2+'!$PY:$PZ</definedName>
    <definedName name="ж111" localSheetId="10">'[4]2+'!$PY:$PZ</definedName>
    <definedName name="ж111" localSheetId="12">'[12]2+'!$PY:$PZ</definedName>
    <definedName name="ж111" localSheetId="7">'[4]2+'!$PY:$PZ</definedName>
    <definedName name="ж111" localSheetId="11">'[12]2+'!$PY:$PZ</definedName>
    <definedName name="ж111" localSheetId="4">'[12]2+'!$PY:$PZ</definedName>
    <definedName name="ж111" localSheetId="8">'[12]2+'!$PY:$PZ</definedName>
    <definedName name="ж111" localSheetId="14">'[12]2+'!$PY:$PZ</definedName>
    <definedName name="ж111">'[4]2+'!$PY:$PZ</definedName>
    <definedName name="ж112" localSheetId="9">#REF!</definedName>
    <definedName name="ж112" localSheetId="6">'[12]2+'!$QC:$QD</definedName>
    <definedName name="ж112" localSheetId="13">'[12]2+'!$QC:$QD</definedName>
    <definedName name="ж112" localSheetId="10">'[4]2+'!$QC:$QD</definedName>
    <definedName name="ж112" localSheetId="12">'[12]2+'!$QC:$QD</definedName>
    <definedName name="ж112" localSheetId="7">'[4]2+'!$QC:$QD</definedName>
    <definedName name="ж112" localSheetId="11">'[12]2+'!$QC:$QD</definedName>
    <definedName name="ж112" localSheetId="4">'[12]2+'!$QC:$QD</definedName>
    <definedName name="ж112" localSheetId="8">'[12]2+'!$QC:$QD</definedName>
    <definedName name="ж112" localSheetId="14">'[12]2+'!$QC:$QD</definedName>
    <definedName name="ж112">'[4]2+'!$QC:$QD</definedName>
    <definedName name="ж113" localSheetId="16">#REF!</definedName>
    <definedName name="ж113" localSheetId="9">#REF!</definedName>
    <definedName name="ж113" localSheetId="3">#REF!</definedName>
    <definedName name="ж113" localSheetId="20">#REF!</definedName>
    <definedName name="ж113" localSheetId="5">#REF!</definedName>
    <definedName name="ж113" localSheetId="13">#REF!</definedName>
    <definedName name="ж113" localSheetId="10">#REF!</definedName>
    <definedName name="ж113" localSheetId="12">#REF!</definedName>
    <definedName name="ж113" localSheetId="7">#REF!</definedName>
    <definedName name="ж113" localSheetId="11">#REF!</definedName>
    <definedName name="ж113" localSheetId="8">#REF!</definedName>
    <definedName name="ж113" localSheetId="18">#REF!</definedName>
    <definedName name="ж113" localSheetId="14">#REF!</definedName>
    <definedName name="ж113" localSheetId="19">#REF!</definedName>
    <definedName name="ж113">#REF!</definedName>
    <definedName name="ж12" localSheetId="9">#REF!</definedName>
    <definedName name="ж12" localSheetId="6">'[12]2+'!$AS:$AT</definedName>
    <definedName name="ж12" localSheetId="13">'[12]2+'!$AS:$AT</definedName>
    <definedName name="ж12" localSheetId="10">'[4]2+'!$AS:$AT</definedName>
    <definedName name="ж12" localSheetId="12">'[12]2+'!$AS:$AT</definedName>
    <definedName name="ж12" localSheetId="7">'[4]2+'!$AS:$AT</definedName>
    <definedName name="ж12" localSheetId="11">'[12]2+'!$AS:$AT</definedName>
    <definedName name="ж12" localSheetId="4">'[12]2+'!$AS:$AT</definedName>
    <definedName name="ж12" localSheetId="8">'[12]2+'!$AS:$AT</definedName>
    <definedName name="ж12" localSheetId="14">'[12]2+'!$AS:$AT</definedName>
    <definedName name="ж12">'[4]2+'!$AS:$AT</definedName>
    <definedName name="ж13" localSheetId="9">#REF!</definedName>
    <definedName name="ж13" localSheetId="6">'[12]2+'!$AW:$AX</definedName>
    <definedName name="ж13" localSheetId="13">'[12]2+'!$AW:$AX</definedName>
    <definedName name="ж13" localSheetId="10">'[4]2+'!$AW:$AX</definedName>
    <definedName name="ж13" localSheetId="12">'[12]2+'!$AW:$AX</definedName>
    <definedName name="ж13" localSheetId="7">'[4]2+'!$AW:$AX</definedName>
    <definedName name="ж13" localSheetId="11">'[12]2+'!$AW:$AX</definedName>
    <definedName name="ж13" localSheetId="4">'[12]2+'!$AW:$AX</definedName>
    <definedName name="ж13" localSheetId="8">'[12]2+'!$AW:$AX</definedName>
    <definedName name="ж13" localSheetId="14">'[12]2+'!$AW:$AX</definedName>
    <definedName name="ж13">'[4]2+'!$AW:$AX</definedName>
    <definedName name="ж14" localSheetId="9">#REF!</definedName>
    <definedName name="ж14" localSheetId="6">'[12]2+'!$BA:$BB</definedName>
    <definedName name="ж14" localSheetId="13">'[12]2+'!$BA:$BB</definedName>
    <definedName name="ж14" localSheetId="10">'[4]2+'!$BA:$BB</definedName>
    <definedName name="ж14" localSheetId="12">'[12]2+'!$BA:$BB</definedName>
    <definedName name="ж14" localSheetId="7">'[4]2+'!$BA:$BB</definedName>
    <definedName name="ж14" localSheetId="11">'[12]2+'!$BA:$BB</definedName>
    <definedName name="ж14" localSheetId="4">'[12]2+'!$BA:$BB</definedName>
    <definedName name="ж14" localSheetId="8">'[12]2+'!$BA:$BB</definedName>
    <definedName name="ж14" localSheetId="14">'[12]2+'!$BA:$BB</definedName>
    <definedName name="ж14">'[4]2+'!$BA:$BB</definedName>
    <definedName name="ж15" localSheetId="9">#REF!</definedName>
    <definedName name="ж15" localSheetId="6">'[12]2+'!$BE:$BF</definedName>
    <definedName name="ж15" localSheetId="13">'[12]2+'!$BE:$BF</definedName>
    <definedName name="ж15" localSheetId="10">'[4]2+'!$BE:$BF</definedName>
    <definedName name="ж15" localSheetId="12">'[12]2+'!$BE:$BF</definedName>
    <definedName name="ж15" localSheetId="7">'[4]2+'!$BE:$BF</definedName>
    <definedName name="ж15" localSheetId="11">'[12]2+'!$BE:$BF</definedName>
    <definedName name="ж15" localSheetId="4">'[12]2+'!$BE:$BF</definedName>
    <definedName name="ж15" localSheetId="8">'[12]2+'!$BE:$BF</definedName>
    <definedName name="ж15" localSheetId="14">'[12]2+'!$BE:$BF</definedName>
    <definedName name="ж15">'[4]2+'!$BE:$BF</definedName>
    <definedName name="ж16" localSheetId="9">#REF!</definedName>
    <definedName name="ж16" localSheetId="6">'[12]2+'!$BI:$BJ</definedName>
    <definedName name="ж16" localSheetId="13">'[12]2+'!$BI:$BJ</definedName>
    <definedName name="ж16" localSheetId="10">'[4]2+'!$BI:$BJ</definedName>
    <definedName name="ж16" localSheetId="12">'[12]2+'!$BI:$BJ</definedName>
    <definedName name="ж16" localSheetId="7">'[4]2+'!$BI:$BJ</definedName>
    <definedName name="ж16" localSheetId="11">'[12]2+'!$BI:$BJ</definedName>
    <definedName name="ж16" localSheetId="4">'[12]2+'!$BI:$BJ</definedName>
    <definedName name="ж16" localSheetId="8">'[12]2+'!$BI:$BJ</definedName>
    <definedName name="ж16" localSheetId="14">'[12]2+'!$BI:$BJ</definedName>
    <definedName name="ж16">'[4]2+'!$BI:$BJ</definedName>
    <definedName name="ж17" localSheetId="9">#REF!</definedName>
    <definedName name="ж17" localSheetId="6">'[12]2+'!$BM:$BN</definedName>
    <definedName name="ж17" localSheetId="13">'[12]2+'!$BM:$BN</definedName>
    <definedName name="ж17" localSheetId="10">'[4]2+'!$BM:$BN</definedName>
    <definedName name="ж17" localSheetId="12">'[12]2+'!$BM:$BN</definedName>
    <definedName name="ж17" localSheetId="7">'[4]2+'!$BM:$BN</definedName>
    <definedName name="ж17" localSheetId="11">'[12]2+'!$BM:$BN</definedName>
    <definedName name="ж17" localSheetId="4">'[12]2+'!$BM:$BN</definedName>
    <definedName name="ж17" localSheetId="8">'[12]2+'!$BM:$BN</definedName>
    <definedName name="ж17" localSheetId="14">'[12]2+'!$BM:$BN</definedName>
    <definedName name="ж17">'[4]2+'!$BM:$BN</definedName>
    <definedName name="ж18" localSheetId="9">#REF!</definedName>
    <definedName name="ж18" localSheetId="6">'[12]2+'!$BQ:$BR</definedName>
    <definedName name="ж18" localSheetId="13">'[12]2+'!$BQ:$BR</definedName>
    <definedName name="ж18" localSheetId="10">'[4]2+'!$BQ:$BR</definedName>
    <definedName name="ж18" localSheetId="12">'[12]2+'!$BQ:$BR</definedName>
    <definedName name="ж18" localSheetId="7">'[4]2+'!$BQ:$BR</definedName>
    <definedName name="ж18" localSheetId="11">'[12]2+'!$BQ:$BR</definedName>
    <definedName name="ж18" localSheetId="4">'[12]2+'!$BQ:$BR</definedName>
    <definedName name="ж18" localSheetId="8">'[12]2+'!$BQ:$BR</definedName>
    <definedName name="ж18" localSheetId="14">'[12]2+'!$BQ:$BR</definedName>
    <definedName name="ж18">'[4]2+'!$BQ:$BR</definedName>
    <definedName name="ж19" localSheetId="9">#REF!</definedName>
    <definedName name="ж19" localSheetId="6">'[12]2+'!$BU:$BV</definedName>
    <definedName name="ж19" localSheetId="13">'[12]2+'!$BU:$BV</definedName>
    <definedName name="ж19" localSheetId="10">'[4]2+'!$BU:$BV</definedName>
    <definedName name="ж19" localSheetId="12">'[12]2+'!$BU:$BV</definedName>
    <definedName name="ж19" localSheetId="7">'[4]2+'!$BU:$BV</definedName>
    <definedName name="ж19" localSheetId="11">'[12]2+'!$BU:$BV</definedName>
    <definedName name="ж19" localSheetId="4">'[12]2+'!$BU:$BV</definedName>
    <definedName name="ж19" localSheetId="8">'[12]2+'!$BU:$BV</definedName>
    <definedName name="ж19" localSheetId="14">'[12]2+'!$BU:$BV</definedName>
    <definedName name="ж19">'[4]2+'!$BU:$BV</definedName>
    <definedName name="ж2" localSheetId="9">#REF!</definedName>
    <definedName name="ж2" localSheetId="6">'[12]2+'!$E:$F</definedName>
    <definedName name="ж2" localSheetId="13">'[12]2+'!$E:$F</definedName>
    <definedName name="ж2" localSheetId="10">'[4]2+'!$E:$F</definedName>
    <definedName name="ж2" localSheetId="12">'[12]2+'!$E:$F</definedName>
    <definedName name="ж2" localSheetId="7">'[4]2+'!$E:$F</definedName>
    <definedName name="ж2" localSheetId="11">'[12]2+'!$E:$F</definedName>
    <definedName name="ж2" localSheetId="4">'[12]2+'!$E:$F</definedName>
    <definedName name="ж2" localSheetId="8">'[12]2+'!$E:$F</definedName>
    <definedName name="ж2" localSheetId="14">'[12]2+'!$E:$F</definedName>
    <definedName name="ж2">'[4]2+'!$E:$F</definedName>
    <definedName name="ж20" localSheetId="9">#REF!</definedName>
    <definedName name="ж20" localSheetId="6">'[12]2+'!$BY:$BZ</definedName>
    <definedName name="ж20" localSheetId="13">'[12]2+'!$BY:$BZ</definedName>
    <definedName name="ж20" localSheetId="10">'[4]2+'!$BY:$BZ</definedName>
    <definedName name="ж20" localSheetId="12">'[12]2+'!$BY:$BZ</definedName>
    <definedName name="ж20" localSheetId="7">'[4]2+'!$BY:$BZ</definedName>
    <definedName name="ж20" localSheetId="11">'[12]2+'!$BY:$BZ</definedName>
    <definedName name="ж20" localSheetId="4">'[12]2+'!$BY:$BZ</definedName>
    <definedName name="ж20" localSheetId="8">'[12]2+'!$BY:$BZ</definedName>
    <definedName name="ж20" localSheetId="14">'[12]2+'!$BY:$BZ</definedName>
    <definedName name="ж20">'[4]2+'!$BY:$BZ</definedName>
    <definedName name="ж21" localSheetId="9">#REF!</definedName>
    <definedName name="ж21" localSheetId="6">'[12]2+'!$CC:$CD</definedName>
    <definedName name="ж21" localSheetId="13">'[12]2+'!$CC:$CD</definedName>
    <definedName name="ж21" localSheetId="10">'[4]2+'!$CC:$CD</definedName>
    <definedName name="ж21" localSheetId="12">'[12]2+'!$CC:$CD</definedName>
    <definedName name="ж21" localSheetId="7">'[4]2+'!$CC:$CD</definedName>
    <definedName name="ж21" localSheetId="11">'[12]2+'!$CC:$CD</definedName>
    <definedName name="ж21" localSheetId="4">'[12]2+'!$CC:$CD</definedName>
    <definedName name="ж21" localSheetId="8">'[12]2+'!$CC:$CD</definedName>
    <definedName name="ж21" localSheetId="14">'[12]2+'!$CC:$CD</definedName>
    <definedName name="ж21">'[4]2+'!$CC:$CD</definedName>
    <definedName name="ж22" localSheetId="9">#REF!</definedName>
    <definedName name="ж22" localSheetId="6">'[12]2+'!$CG:$CH</definedName>
    <definedName name="ж22" localSheetId="13">'[12]2+'!$CG:$CH</definedName>
    <definedName name="ж22" localSheetId="10">'[4]2+'!$CG:$CH</definedName>
    <definedName name="ж22" localSheetId="12">'[12]2+'!$CG:$CH</definedName>
    <definedName name="ж22" localSheetId="7">'[4]2+'!$CG:$CH</definedName>
    <definedName name="ж22" localSheetId="11">'[12]2+'!$CG:$CH</definedName>
    <definedName name="ж22" localSheetId="4">'[12]2+'!$CG:$CH</definedName>
    <definedName name="ж22" localSheetId="8">'[12]2+'!$CG:$CH</definedName>
    <definedName name="ж22" localSheetId="14">'[12]2+'!$CG:$CH</definedName>
    <definedName name="ж22">'[4]2+'!$CG:$CH</definedName>
    <definedName name="ж23" localSheetId="9">#REF!</definedName>
    <definedName name="ж23" localSheetId="6">'[12]2+'!$CK:$CL</definedName>
    <definedName name="ж23" localSheetId="13">'[12]2+'!$CK:$CL</definedName>
    <definedName name="ж23" localSheetId="10">'[4]2+'!$CK:$CL</definedName>
    <definedName name="ж23" localSheetId="12">'[12]2+'!$CK:$CL</definedName>
    <definedName name="ж23" localSheetId="7">'[4]2+'!$CK:$CL</definedName>
    <definedName name="ж23" localSheetId="11">'[12]2+'!$CK:$CL</definedName>
    <definedName name="ж23" localSheetId="4">'[12]2+'!$CK:$CL</definedName>
    <definedName name="ж23" localSheetId="8">'[12]2+'!$CK:$CL</definedName>
    <definedName name="ж23" localSheetId="14">'[12]2+'!$CK:$CL</definedName>
    <definedName name="ж23">'[4]2+'!$CK:$CL</definedName>
    <definedName name="ж24" localSheetId="9">#REF!</definedName>
    <definedName name="ж24" localSheetId="6">'[12]2+'!$CO:$CP</definedName>
    <definedName name="ж24" localSheetId="13">'[12]2+'!$CO:$CP</definedName>
    <definedName name="ж24" localSheetId="10">'[4]2+'!$CO:$CP</definedName>
    <definedName name="ж24" localSheetId="12">'[12]2+'!$CO:$CP</definedName>
    <definedName name="ж24" localSheetId="7">'[4]2+'!$CO:$CP</definedName>
    <definedName name="ж24" localSheetId="11">'[12]2+'!$CO:$CP</definedName>
    <definedName name="ж24" localSheetId="4">'[12]2+'!$CO:$CP</definedName>
    <definedName name="ж24" localSheetId="8">'[12]2+'!$CO:$CP</definedName>
    <definedName name="ж24" localSheetId="14">'[12]2+'!$CO:$CP</definedName>
    <definedName name="ж24">'[4]2+'!$CO:$CP</definedName>
    <definedName name="ж25" localSheetId="9">#REF!</definedName>
    <definedName name="ж25" localSheetId="6">'[12]2+'!$CS:$CT</definedName>
    <definedName name="ж25" localSheetId="13">'[12]2+'!$CS:$CT</definedName>
    <definedName name="ж25" localSheetId="10">'[4]2+'!$CS:$CT</definedName>
    <definedName name="ж25" localSheetId="12">'[12]2+'!$CS:$CT</definedName>
    <definedName name="ж25" localSheetId="7">'[4]2+'!$CS:$CT</definedName>
    <definedName name="ж25" localSheetId="11">'[12]2+'!$CS:$CT</definedName>
    <definedName name="ж25" localSheetId="4">'[12]2+'!$CS:$CT</definedName>
    <definedName name="ж25" localSheetId="8">'[12]2+'!$CS:$CT</definedName>
    <definedName name="ж25" localSheetId="14">'[12]2+'!$CS:$CT</definedName>
    <definedName name="ж25">'[4]2+'!$CS:$CT</definedName>
    <definedName name="ж26" localSheetId="9">#REF!</definedName>
    <definedName name="ж26" localSheetId="6">'[12]2+'!$CW:$CX</definedName>
    <definedName name="ж26" localSheetId="13">'[12]2+'!$CW:$CX</definedName>
    <definedName name="ж26" localSheetId="10">'[4]2+'!$CW:$CX</definedName>
    <definedName name="ж26" localSheetId="12">'[12]2+'!$CW:$CX</definedName>
    <definedName name="ж26" localSheetId="7">'[4]2+'!$CW:$CX</definedName>
    <definedName name="ж26" localSheetId="11">'[12]2+'!$CW:$CX</definedName>
    <definedName name="ж26" localSheetId="4">'[12]2+'!$CW:$CX</definedName>
    <definedName name="ж26" localSheetId="8">'[12]2+'!$CW:$CX</definedName>
    <definedName name="ж26" localSheetId="14">'[12]2+'!$CW:$CX</definedName>
    <definedName name="ж26">'[4]2+'!$CW:$CX</definedName>
    <definedName name="ж27" localSheetId="9">#REF!</definedName>
    <definedName name="ж27" localSheetId="6">'[12]2+'!$DA:$DB</definedName>
    <definedName name="ж27" localSheetId="13">'[12]2+'!$DA:$DB</definedName>
    <definedName name="ж27" localSheetId="10">'[4]2+'!$DA:$DB</definedName>
    <definedName name="ж27" localSheetId="12">'[12]2+'!$DA:$DB</definedName>
    <definedName name="ж27" localSheetId="7">'[4]2+'!$DA:$DB</definedName>
    <definedName name="ж27" localSheetId="11">'[12]2+'!$DA:$DB</definedName>
    <definedName name="ж27" localSheetId="4">'[12]2+'!$DA:$DB</definedName>
    <definedName name="ж27" localSheetId="8">'[12]2+'!$DA:$DB</definedName>
    <definedName name="ж27" localSheetId="14">'[12]2+'!$DA:$DB</definedName>
    <definedName name="ж27">'[4]2+'!$DA:$DB</definedName>
    <definedName name="ж28" localSheetId="9">#REF!</definedName>
    <definedName name="ж28" localSheetId="6">'[12]2+'!$DE:$DF</definedName>
    <definedName name="ж28" localSheetId="13">'[12]2+'!$DE:$DF</definedName>
    <definedName name="ж28" localSheetId="10">'[4]2+'!$DE:$DF</definedName>
    <definedName name="ж28" localSheetId="12">'[12]2+'!$DE:$DF</definedName>
    <definedName name="ж28" localSheetId="7">'[4]2+'!$DE:$DF</definedName>
    <definedName name="ж28" localSheetId="11">'[12]2+'!$DE:$DF</definedName>
    <definedName name="ж28" localSheetId="4">'[12]2+'!$DE:$DF</definedName>
    <definedName name="ж28" localSheetId="8">'[12]2+'!$DE:$DF</definedName>
    <definedName name="ж28" localSheetId="14">'[12]2+'!$DE:$DF</definedName>
    <definedName name="ж28">'[4]2+'!$DE:$DF</definedName>
    <definedName name="ж29" localSheetId="9">#REF!</definedName>
    <definedName name="ж29" localSheetId="6">'[12]2+'!$DI:$DJ</definedName>
    <definedName name="ж29" localSheetId="13">'[12]2+'!$DI:$DJ</definedName>
    <definedName name="ж29" localSheetId="10">'[4]2+'!$DI:$DJ</definedName>
    <definedName name="ж29" localSheetId="12">'[12]2+'!$DI:$DJ</definedName>
    <definedName name="ж29" localSheetId="7">'[4]2+'!$DI:$DJ</definedName>
    <definedName name="ж29" localSheetId="11">'[12]2+'!$DI:$DJ</definedName>
    <definedName name="ж29" localSheetId="4">'[12]2+'!$DI:$DJ</definedName>
    <definedName name="ж29" localSheetId="8">'[12]2+'!$DI:$DJ</definedName>
    <definedName name="ж29" localSheetId="14">'[12]2+'!$DI:$DJ</definedName>
    <definedName name="ж29">'[4]2+'!$DI:$DJ</definedName>
    <definedName name="ж3" localSheetId="9">#REF!</definedName>
    <definedName name="ж3" localSheetId="6">'[12]2+'!$I:$J</definedName>
    <definedName name="ж3" localSheetId="13">'[12]2+'!$I:$J</definedName>
    <definedName name="ж3" localSheetId="10">'[4]2+'!$I:$J</definedName>
    <definedName name="ж3" localSheetId="12">'[12]2+'!$I:$J</definedName>
    <definedName name="ж3" localSheetId="7">'[4]2+'!$I:$J</definedName>
    <definedName name="ж3" localSheetId="11">'[12]2+'!$I:$J</definedName>
    <definedName name="ж3" localSheetId="4">'[12]2+'!$I:$J</definedName>
    <definedName name="ж3" localSheetId="8">'[12]2+'!$I:$J</definedName>
    <definedName name="ж3" localSheetId="14">'[12]2+'!$I:$J</definedName>
    <definedName name="ж3">'[4]2+'!$I:$J</definedName>
    <definedName name="ж30" localSheetId="9">#REF!</definedName>
    <definedName name="ж30" localSheetId="6">'[12]2+'!$DM:$DN</definedName>
    <definedName name="ж30" localSheetId="13">'[12]2+'!$DM:$DN</definedName>
    <definedName name="ж30" localSheetId="10">'[4]2+'!$DM:$DN</definedName>
    <definedName name="ж30" localSheetId="12">'[12]2+'!$DM:$DN</definedName>
    <definedName name="ж30" localSheetId="7">'[4]2+'!$DM:$DN</definedName>
    <definedName name="ж30" localSheetId="11">'[12]2+'!$DM:$DN</definedName>
    <definedName name="ж30" localSheetId="4">'[12]2+'!$DM:$DN</definedName>
    <definedName name="ж30" localSheetId="8">'[12]2+'!$DM:$DN</definedName>
    <definedName name="ж30" localSheetId="14">'[12]2+'!$DM:$DN</definedName>
    <definedName name="ж30">'[4]2+'!$DM:$DN</definedName>
    <definedName name="ж31" localSheetId="9">#REF!</definedName>
    <definedName name="ж31" localSheetId="6">'[12]2+'!$DQ:$DR</definedName>
    <definedName name="ж31" localSheetId="13">'[12]2+'!$DQ:$DR</definedName>
    <definedName name="ж31" localSheetId="10">'[4]2+'!$DQ:$DR</definedName>
    <definedName name="ж31" localSheetId="12">'[12]2+'!$DQ:$DR</definedName>
    <definedName name="ж31" localSheetId="7">'[4]2+'!$DQ:$DR</definedName>
    <definedName name="ж31" localSheetId="11">'[12]2+'!$DQ:$DR</definedName>
    <definedName name="ж31" localSheetId="4">'[12]2+'!$DQ:$DR</definedName>
    <definedName name="ж31" localSheetId="8">'[12]2+'!$DQ:$DR</definedName>
    <definedName name="ж31" localSheetId="14">'[12]2+'!$DQ:$DR</definedName>
    <definedName name="ж31">'[4]2+'!$DQ:$DR</definedName>
    <definedName name="ж32" localSheetId="9">#REF!</definedName>
    <definedName name="ж32" localSheetId="6">'[12]2+'!$DU:$DV</definedName>
    <definedName name="ж32" localSheetId="13">'[12]2+'!$DU:$DV</definedName>
    <definedName name="ж32" localSheetId="10">'[4]2+'!$DU:$DV</definedName>
    <definedName name="ж32" localSheetId="12">'[12]2+'!$DU:$DV</definedName>
    <definedName name="ж32" localSheetId="7">'[4]2+'!$DU:$DV</definedName>
    <definedName name="ж32" localSheetId="11">'[12]2+'!$DU:$DV</definedName>
    <definedName name="ж32" localSheetId="4">'[12]2+'!$DU:$DV</definedName>
    <definedName name="ж32" localSheetId="8">'[12]2+'!$DU:$DV</definedName>
    <definedName name="ж32" localSheetId="14">'[12]2+'!$DU:$DV</definedName>
    <definedName name="ж32">'[4]2+'!$DU:$DV</definedName>
    <definedName name="ж33" localSheetId="9">#REF!</definedName>
    <definedName name="ж33" localSheetId="6">'[12]2+'!$DY:$DZ</definedName>
    <definedName name="ж33" localSheetId="13">'[12]2+'!$DY:$DZ</definedName>
    <definedName name="ж33" localSheetId="10">'[4]2+'!$DY:$DZ</definedName>
    <definedName name="ж33" localSheetId="12">'[12]2+'!$DY:$DZ</definedName>
    <definedName name="ж33" localSheetId="7">'[4]2+'!$DY:$DZ</definedName>
    <definedName name="ж33" localSheetId="11">'[12]2+'!$DY:$DZ</definedName>
    <definedName name="ж33" localSheetId="4">'[12]2+'!$DY:$DZ</definedName>
    <definedName name="ж33" localSheetId="8">'[12]2+'!$DY:$DZ</definedName>
    <definedName name="ж33" localSheetId="14">'[12]2+'!$DY:$DZ</definedName>
    <definedName name="ж33">'[4]2+'!$DY:$DZ</definedName>
    <definedName name="ж34" localSheetId="9">#REF!</definedName>
    <definedName name="ж34" localSheetId="6">'[12]2+'!$EC:$ED</definedName>
    <definedName name="ж34" localSheetId="13">'[12]2+'!$EC:$ED</definedName>
    <definedName name="ж34" localSheetId="10">'[4]2+'!$EC:$ED</definedName>
    <definedName name="ж34" localSheetId="12">'[12]2+'!$EC:$ED</definedName>
    <definedName name="ж34" localSheetId="7">'[4]2+'!$EC:$ED</definedName>
    <definedName name="ж34" localSheetId="11">'[12]2+'!$EC:$ED</definedName>
    <definedName name="ж34" localSheetId="4">'[12]2+'!$EC:$ED</definedName>
    <definedName name="ж34" localSheetId="8">'[12]2+'!$EC:$ED</definedName>
    <definedName name="ж34" localSheetId="14">'[12]2+'!$EC:$ED</definedName>
    <definedName name="ж34">'[4]2+'!$EC:$ED</definedName>
    <definedName name="ж35" localSheetId="9">#REF!</definedName>
    <definedName name="ж35" localSheetId="6">'[12]2+'!$EG:$EH</definedName>
    <definedName name="ж35" localSheetId="13">'[12]2+'!$EG:$EH</definedName>
    <definedName name="ж35" localSheetId="10">'[4]2+'!$EG:$EH</definedName>
    <definedName name="ж35" localSheetId="12">'[12]2+'!$EG:$EH</definedName>
    <definedName name="ж35" localSheetId="7">'[4]2+'!$EG:$EH</definedName>
    <definedName name="ж35" localSheetId="11">'[12]2+'!$EG:$EH</definedName>
    <definedName name="ж35" localSheetId="4">'[12]2+'!$EG:$EH</definedName>
    <definedName name="ж35" localSheetId="8">'[12]2+'!$EG:$EH</definedName>
    <definedName name="ж35" localSheetId="14">'[12]2+'!$EG:$EH</definedName>
    <definedName name="ж35">'[4]2+'!$EG:$EH</definedName>
    <definedName name="ж36" localSheetId="9">#REF!</definedName>
    <definedName name="ж36" localSheetId="6">'[12]2+'!$EK:$EL</definedName>
    <definedName name="ж36" localSheetId="13">'[12]2+'!$EK:$EL</definedName>
    <definedName name="ж36" localSheetId="10">'[4]2+'!$EK:$EL</definedName>
    <definedName name="ж36" localSheetId="12">'[12]2+'!$EK:$EL</definedName>
    <definedName name="ж36" localSheetId="7">'[4]2+'!$EK:$EL</definedName>
    <definedName name="ж36" localSheetId="11">'[12]2+'!$EK:$EL</definedName>
    <definedName name="ж36" localSheetId="4">'[12]2+'!$EK:$EL</definedName>
    <definedName name="ж36" localSheetId="8">'[12]2+'!$EK:$EL</definedName>
    <definedName name="ж36" localSheetId="14">'[12]2+'!$EK:$EL</definedName>
    <definedName name="ж36">'[4]2+'!$EK:$EL</definedName>
    <definedName name="ж37" localSheetId="9">#REF!</definedName>
    <definedName name="ж37" localSheetId="6">'[12]2+'!$EO:$EP</definedName>
    <definedName name="ж37" localSheetId="13">'[12]2+'!$EO:$EP</definedName>
    <definedName name="ж37" localSheetId="10">'[4]2+'!$EO:$EP</definedName>
    <definedName name="ж37" localSheetId="12">'[12]2+'!$EO:$EP</definedName>
    <definedName name="ж37" localSheetId="7">'[4]2+'!$EO:$EP</definedName>
    <definedName name="ж37" localSheetId="11">'[12]2+'!$EO:$EP</definedName>
    <definedName name="ж37" localSheetId="4">'[12]2+'!$EO:$EP</definedName>
    <definedName name="ж37" localSheetId="8">'[12]2+'!$EO:$EP</definedName>
    <definedName name="ж37" localSheetId="14">'[12]2+'!$EO:$EP</definedName>
    <definedName name="ж37">'[4]2+'!$EO:$EP</definedName>
    <definedName name="ж38" localSheetId="9">#REF!</definedName>
    <definedName name="ж38" localSheetId="6">'[12]2+'!$ES:$ET</definedName>
    <definedName name="ж38" localSheetId="13">'[12]2+'!$ES:$ET</definedName>
    <definedName name="ж38" localSheetId="10">'[4]2+'!$ES:$ET</definedName>
    <definedName name="ж38" localSheetId="12">'[12]2+'!$ES:$ET</definedName>
    <definedName name="ж38" localSheetId="7">'[4]2+'!$ES:$ET</definedName>
    <definedName name="ж38" localSheetId="11">'[12]2+'!$ES:$ET</definedName>
    <definedName name="ж38" localSheetId="4">'[12]2+'!$ES:$ET</definedName>
    <definedName name="ж38" localSheetId="8">'[12]2+'!$ES:$ET</definedName>
    <definedName name="ж38" localSheetId="14">'[12]2+'!$ES:$ET</definedName>
    <definedName name="ж38">'[4]2+'!$ES:$ET</definedName>
    <definedName name="ж39" localSheetId="9">#REF!</definedName>
    <definedName name="ж39" localSheetId="6">'[12]2+'!$EW:$EX</definedName>
    <definedName name="ж39" localSheetId="13">'[12]2+'!$EW:$EX</definedName>
    <definedName name="ж39" localSheetId="10">'[4]2+'!$EW:$EX</definedName>
    <definedName name="ж39" localSheetId="12">'[12]2+'!$EW:$EX</definedName>
    <definedName name="ж39" localSheetId="7">'[4]2+'!$EW:$EX</definedName>
    <definedName name="ж39" localSheetId="11">'[12]2+'!$EW:$EX</definedName>
    <definedName name="ж39" localSheetId="4">'[12]2+'!$EW:$EX</definedName>
    <definedName name="ж39" localSheetId="8">'[12]2+'!$EW:$EX</definedName>
    <definedName name="ж39" localSheetId="14">'[12]2+'!$EW:$EX</definedName>
    <definedName name="ж39">'[4]2+'!$EW:$EX</definedName>
    <definedName name="ж4" localSheetId="9">#REF!</definedName>
    <definedName name="ж4" localSheetId="6">'[12]2+'!$M:$N</definedName>
    <definedName name="ж4" localSheetId="13">'[12]2+'!$M:$N</definedName>
    <definedName name="ж4" localSheetId="10">'[4]2+'!$M:$N</definedName>
    <definedName name="ж4" localSheetId="12">'[12]2+'!$M:$N</definedName>
    <definedName name="ж4" localSheetId="7">'[4]2+'!$M:$N</definedName>
    <definedName name="ж4" localSheetId="11">'[12]2+'!$M:$N</definedName>
    <definedName name="ж4" localSheetId="4">'[12]2+'!$M:$N</definedName>
    <definedName name="ж4" localSheetId="8">'[12]2+'!$M:$N</definedName>
    <definedName name="ж4" localSheetId="14">'[12]2+'!$M:$N</definedName>
    <definedName name="ж4">'[4]2+'!$M:$N</definedName>
    <definedName name="ж40" localSheetId="9">#REF!</definedName>
    <definedName name="ж40" localSheetId="6">'[12]2+'!$FA:$FB</definedName>
    <definedName name="ж40" localSheetId="13">'[12]2+'!$FA:$FB</definedName>
    <definedName name="ж40" localSheetId="10">'[4]2+'!$FA:$FB</definedName>
    <definedName name="ж40" localSheetId="12">'[12]2+'!$FA:$FB</definedName>
    <definedName name="ж40" localSheetId="7">'[4]2+'!$FA:$FB</definedName>
    <definedName name="ж40" localSheetId="11">'[12]2+'!$FA:$FB</definedName>
    <definedName name="ж40" localSheetId="4">'[12]2+'!$FA:$FB</definedName>
    <definedName name="ж40" localSheetId="8">'[12]2+'!$FA:$FB</definedName>
    <definedName name="ж40" localSheetId="14">'[12]2+'!$FA:$FB</definedName>
    <definedName name="ж40">'[4]2+'!$FA:$FB</definedName>
    <definedName name="ж41" localSheetId="9">#REF!</definedName>
    <definedName name="ж41" localSheetId="6">'[12]2+'!$FE:$FF</definedName>
    <definedName name="ж41" localSheetId="13">'[12]2+'!$FE:$FF</definedName>
    <definedName name="ж41" localSheetId="10">'[4]2+'!$FE:$FF</definedName>
    <definedName name="ж41" localSheetId="12">'[12]2+'!$FE:$FF</definedName>
    <definedName name="ж41" localSheetId="7">'[4]2+'!$FE:$FF</definedName>
    <definedName name="ж41" localSheetId="11">'[12]2+'!$FE:$FF</definedName>
    <definedName name="ж41" localSheetId="4">'[12]2+'!$FE:$FF</definedName>
    <definedName name="ж41" localSheetId="8">'[12]2+'!$FE:$FF</definedName>
    <definedName name="ж41" localSheetId="14">'[12]2+'!$FE:$FF</definedName>
    <definedName name="ж41">'[4]2+'!$FE:$FF</definedName>
    <definedName name="ж42" localSheetId="9">#REF!</definedName>
    <definedName name="ж42" localSheetId="6">'[12]2+'!$FI:$FJ</definedName>
    <definedName name="ж42" localSheetId="13">'[12]2+'!$FI:$FJ</definedName>
    <definedName name="ж42" localSheetId="10">'[4]2+'!$FI:$FJ</definedName>
    <definedName name="ж42" localSheetId="12">'[12]2+'!$FI:$FJ</definedName>
    <definedName name="ж42" localSheetId="7">'[4]2+'!$FI:$FJ</definedName>
    <definedName name="ж42" localSheetId="11">'[12]2+'!$FI:$FJ</definedName>
    <definedName name="ж42" localSheetId="4">'[12]2+'!$FI:$FJ</definedName>
    <definedName name="ж42" localSheetId="8">'[12]2+'!$FI:$FJ</definedName>
    <definedName name="ж42" localSheetId="14">'[12]2+'!$FI:$FJ</definedName>
    <definedName name="ж42">'[4]2+'!$FI:$FJ</definedName>
    <definedName name="ж43" localSheetId="9">#REF!</definedName>
    <definedName name="ж43" localSheetId="6">'[12]2+'!$FM:$FN</definedName>
    <definedName name="ж43" localSheetId="13">'[12]2+'!$FM:$FN</definedName>
    <definedName name="ж43" localSheetId="10">'[4]2+'!$FM:$FN</definedName>
    <definedName name="ж43" localSheetId="12">'[12]2+'!$FM:$FN</definedName>
    <definedName name="ж43" localSheetId="7">'[4]2+'!$FM:$FN</definedName>
    <definedName name="ж43" localSheetId="11">'[12]2+'!$FM:$FN</definedName>
    <definedName name="ж43" localSheetId="4">'[12]2+'!$FM:$FN</definedName>
    <definedName name="ж43" localSheetId="8">'[12]2+'!$FM:$FN</definedName>
    <definedName name="ж43" localSheetId="14">'[12]2+'!$FM:$FN</definedName>
    <definedName name="ж43">'[4]2+'!$FM:$FN</definedName>
    <definedName name="ж44" localSheetId="9">#REF!</definedName>
    <definedName name="ж44" localSheetId="6">'[12]2+'!$FQ:$FR</definedName>
    <definedName name="ж44" localSheetId="13">'[12]2+'!$FQ:$FR</definedName>
    <definedName name="ж44" localSheetId="10">'[4]2+'!$FQ:$FR</definedName>
    <definedName name="ж44" localSheetId="12">'[12]2+'!$FQ:$FR</definedName>
    <definedName name="ж44" localSheetId="7">'[4]2+'!$FQ:$FR</definedName>
    <definedName name="ж44" localSheetId="11">'[12]2+'!$FQ:$FR</definedName>
    <definedName name="ж44" localSheetId="4">'[12]2+'!$FQ:$FR</definedName>
    <definedName name="ж44" localSheetId="8">'[12]2+'!$FQ:$FR</definedName>
    <definedName name="ж44" localSheetId="14">'[12]2+'!$FQ:$FR</definedName>
    <definedName name="ж44">'[4]2+'!$FQ:$FR</definedName>
    <definedName name="ж45" localSheetId="9">#REF!</definedName>
    <definedName name="ж45" localSheetId="6">'[12]2+'!$FU:$FV</definedName>
    <definedName name="ж45" localSheetId="13">'[12]2+'!$FU:$FV</definedName>
    <definedName name="ж45" localSheetId="10">'[4]2+'!$FU:$FV</definedName>
    <definedName name="ж45" localSheetId="12">'[12]2+'!$FU:$FV</definedName>
    <definedName name="ж45" localSheetId="7">'[4]2+'!$FU:$FV</definedName>
    <definedName name="ж45" localSheetId="11">'[12]2+'!$FU:$FV</definedName>
    <definedName name="ж45" localSheetId="4">'[12]2+'!$FU:$FV</definedName>
    <definedName name="ж45" localSheetId="8">'[12]2+'!$FU:$FV</definedName>
    <definedName name="ж45" localSheetId="14">'[12]2+'!$FU:$FV</definedName>
    <definedName name="ж45">'[4]2+'!$FU:$FV</definedName>
    <definedName name="ж46" localSheetId="9">#REF!</definedName>
    <definedName name="ж46" localSheetId="6">'[12]2+'!$FY:$FZ</definedName>
    <definedName name="ж46" localSheetId="13">'[12]2+'!$FY:$FZ</definedName>
    <definedName name="ж46" localSheetId="10">'[4]2+'!$FY:$FZ</definedName>
    <definedName name="ж46" localSheetId="12">'[12]2+'!$FY:$FZ</definedName>
    <definedName name="ж46" localSheetId="7">'[4]2+'!$FY:$FZ</definedName>
    <definedName name="ж46" localSheetId="11">'[12]2+'!$FY:$FZ</definedName>
    <definedName name="ж46" localSheetId="4">'[12]2+'!$FY:$FZ</definedName>
    <definedName name="ж46" localSheetId="8">'[12]2+'!$FY:$FZ</definedName>
    <definedName name="ж46" localSheetId="14">'[12]2+'!$FY:$FZ</definedName>
    <definedName name="ж46">'[4]2+'!$FY:$FZ</definedName>
    <definedName name="ж47" localSheetId="9">#REF!</definedName>
    <definedName name="ж47" localSheetId="6">'[12]2+'!$GC:$GD</definedName>
    <definedName name="ж47" localSheetId="13">'[12]2+'!$GC:$GD</definedName>
    <definedName name="ж47" localSheetId="10">'[4]2+'!$GC:$GD</definedName>
    <definedName name="ж47" localSheetId="12">'[12]2+'!$GC:$GD</definedName>
    <definedName name="ж47" localSheetId="7">'[4]2+'!$GC:$GD</definedName>
    <definedName name="ж47" localSheetId="11">'[12]2+'!$GC:$GD</definedName>
    <definedName name="ж47" localSheetId="4">'[12]2+'!$GC:$GD</definedName>
    <definedName name="ж47" localSheetId="8">'[12]2+'!$GC:$GD</definedName>
    <definedName name="ж47" localSheetId="14">'[12]2+'!$GC:$GD</definedName>
    <definedName name="ж47">'[4]2+'!$GC:$GD</definedName>
    <definedName name="ж48" localSheetId="9">#REF!</definedName>
    <definedName name="ж48" localSheetId="6">'[12]2+'!$GG:$GH</definedName>
    <definedName name="ж48" localSheetId="13">'[12]2+'!$GG:$GH</definedName>
    <definedName name="ж48" localSheetId="10">'[4]2+'!$GG:$GH</definedName>
    <definedName name="ж48" localSheetId="12">'[12]2+'!$GG:$GH</definedName>
    <definedName name="ж48" localSheetId="7">'[4]2+'!$GG:$GH</definedName>
    <definedName name="ж48" localSheetId="11">'[12]2+'!$GG:$GH</definedName>
    <definedName name="ж48" localSheetId="4">'[12]2+'!$GG:$GH</definedName>
    <definedName name="ж48" localSheetId="8">'[12]2+'!$GG:$GH</definedName>
    <definedName name="ж48" localSheetId="14">'[12]2+'!$GG:$GH</definedName>
    <definedName name="ж48">'[4]2+'!$GG:$GH</definedName>
    <definedName name="ж49" localSheetId="9">#REF!</definedName>
    <definedName name="ж49" localSheetId="6">'[12]2+'!$GK:$GL</definedName>
    <definedName name="ж49" localSheetId="13">'[12]2+'!$GK:$GL</definedName>
    <definedName name="ж49" localSheetId="10">'[4]2+'!$GK:$GL</definedName>
    <definedName name="ж49" localSheetId="12">'[12]2+'!$GK:$GL</definedName>
    <definedName name="ж49" localSheetId="7">'[4]2+'!$GK:$GL</definedName>
    <definedName name="ж49" localSheetId="11">'[12]2+'!$GK:$GL</definedName>
    <definedName name="ж49" localSheetId="4">'[12]2+'!$GK:$GL</definedName>
    <definedName name="ж49" localSheetId="8">'[12]2+'!$GK:$GL</definedName>
    <definedName name="ж49" localSheetId="14">'[12]2+'!$GK:$GL</definedName>
    <definedName name="ж49">'[4]2+'!$GK:$GL</definedName>
    <definedName name="ж5" localSheetId="9">#REF!</definedName>
    <definedName name="ж5" localSheetId="6">'[12]2+'!$Q:$R</definedName>
    <definedName name="ж5" localSheetId="13">'[12]2+'!$Q:$R</definedName>
    <definedName name="ж5" localSheetId="10">'[4]2+'!$Q:$R</definedName>
    <definedName name="ж5" localSheetId="12">'[12]2+'!$Q:$R</definedName>
    <definedName name="ж5" localSheetId="7">'[4]2+'!$Q:$R</definedName>
    <definedName name="ж5" localSheetId="11">'[12]2+'!$Q:$R</definedName>
    <definedName name="ж5" localSheetId="4">'[12]2+'!$Q:$R</definedName>
    <definedName name="ж5" localSheetId="8">'[12]2+'!$Q:$R</definedName>
    <definedName name="ж5" localSheetId="14">'[12]2+'!$Q:$R</definedName>
    <definedName name="ж5">'[4]2+'!$Q:$R</definedName>
    <definedName name="ж50" localSheetId="9">#REF!</definedName>
    <definedName name="ж50" localSheetId="6">'[12]2+'!$GO:$GP</definedName>
    <definedName name="ж50" localSheetId="13">'[12]2+'!$GO:$GP</definedName>
    <definedName name="ж50" localSheetId="10">'[4]2+'!$GO:$GP</definedName>
    <definedName name="ж50" localSheetId="12">'[12]2+'!$GO:$GP</definedName>
    <definedName name="ж50" localSheetId="7">'[4]2+'!$GO:$GP</definedName>
    <definedName name="ж50" localSheetId="11">'[12]2+'!$GO:$GP</definedName>
    <definedName name="ж50" localSheetId="4">'[12]2+'!$GO:$GP</definedName>
    <definedName name="ж50" localSheetId="8">'[12]2+'!$GO:$GP</definedName>
    <definedName name="ж50" localSheetId="14">'[12]2+'!$GO:$GP</definedName>
    <definedName name="ж50">'[4]2+'!$GO:$GP</definedName>
    <definedName name="ж51" localSheetId="9">#REF!</definedName>
    <definedName name="ж51" localSheetId="6">'[12]2+'!$GS:$GT</definedName>
    <definedName name="ж51" localSheetId="13">'[12]2+'!$GS:$GT</definedName>
    <definedName name="ж51" localSheetId="10">'[4]2+'!$GS:$GT</definedName>
    <definedName name="ж51" localSheetId="12">'[12]2+'!$GS:$GT</definedName>
    <definedName name="ж51" localSheetId="7">'[4]2+'!$GS:$GT</definedName>
    <definedName name="ж51" localSheetId="11">'[12]2+'!$GS:$GT</definedName>
    <definedName name="ж51" localSheetId="4">'[12]2+'!$GS:$GT</definedName>
    <definedName name="ж51" localSheetId="8">'[12]2+'!$GS:$GT</definedName>
    <definedName name="ж51" localSheetId="14">'[12]2+'!$GS:$GT</definedName>
    <definedName name="ж51">'[4]2+'!$GS:$GT</definedName>
    <definedName name="ж52" localSheetId="9">#REF!</definedName>
    <definedName name="ж52" localSheetId="6">'[12]2+'!$GW:$GX</definedName>
    <definedName name="ж52" localSheetId="13">'[12]2+'!$GW:$GX</definedName>
    <definedName name="ж52" localSheetId="10">'[4]2+'!$GW:$GX</definedName>
    <definedName name="ж52" localSheetId="12">'[12]2+'!$GW:$GX</definedName>
    <definedName name="ж52" localSheetId="7">'[4]2+'!$GW:$GX</definedName>
    <definedName name="ж52" localSheetId="11">'[12]2+'!$GW:$GX</definedName>
    <definedName name="ж52" localSheetId="4">'[12]2+'!$GW:$GX</definedName>
    <definedName name="ж52" localSheetId="8">'[12]2+'!$GW:$GX</definedName>
    <definedName name="ж52" localSheetId="14">'[12]2+'!$GW:$GX</definedName>
    <definedName name="ж52">'[4]2+'!$GW:$GX</definedName>
    <definedName name="ж53" localSheetId="9">#REF!</definedName>
    <definedName name="ж53" localSheetId="6">'[12]2+'!$HA:$HB</definedName>
    <definedName name="ж53" localSheetId="13">'[12]2+'!$HA:$HB</definedName>
    <definedName name="ж53" localSheetId="10">'[4]2+'!$HA:$HB</definedName>
    <definedName name="ж53" localSheetId="12">'[12]2+'!$HA:$HB</definedName>
    <definedName name="ж53" localSheetId="7">'[4]2+'!$HA:$HB</definedName>
    <definedName name="ж53" localSheetId="11">'[12]2+'!$HA:$HB</definedName>
    <definedName name="ж53" localSheetId="4">'[12]2+'!$HA:$HB</definedName>
    <definedName name="ж53" localSheetId="8">'[12]2+'!$HA:$HB</definedName>
    <definedName name="ж53" localSheetId="14">'[12]2+'!$HA:$HB</definedName>
    <definedName name="ж53">'[4]2+'!$HA:$HB</definedName>
    <definedName name="ж54" localSheetId="9">#REF!</definedName>
    <definedName name="ж54" localSheetId="6">'[12]2+'!$HE:$HF</definedName>
    <definedName name="ж54" localSheetId="13">'[12]2+'!$HE:$HF</definedName>
    <definedName name="ж54" localSheetId="10">'[4]2+'!$HE:$HF</definedName>
    <definedName name="ж54" localSheetId="12">'[12]2+'!$HE:$HF</definedName>
    <definedName name="ж54" localSheetId="7">'[4]2+'!$HE:$HF</definedName>
    <definedName name="ж54" localSheetId="11">'[12]2+'!$HE:$HF</definedName>
    <definedName name="ж54" localSheetId="4">'[12]2+'!$HE:$HF</definedName>
    <definedName name="ж54" localSheetId="8">'[12]2+'!$HE:$HF</definedName>
    <definedName name="ж54" localSheetId="14">'[12]2+'!$HE:$HF</definedName>
    <definedName name="ж54">'[4]2+'!$HE:$HF</definedName>
    <definedName name="ж55" localSheetId="9">#REF!</definedName>
    <definedName name="ж55" localSheetId="6">'[12]2+'!$HI:$HJ</definedName>
    <definedName name="ж55" localSheetId="13">'[12]2+'!$HI:$HJ</definedName>
    <definedName name="ж55" localSheetId="10">'[4]2+'!$HI:$HJ</definedName>
    <definedName name="ж55" localSheetId="12">'[12]2+'!$HI:$HJ</definedName>
    <definedName name="ж55" localSheetId="7">'[4]2+'!$HI:$HJ</definedName>
    <definedName name="ж55" localSheetId="11">'[12]2+'!$HI:$HJ</definedName>
    <definedName name="ж55" localSheetId="4">'[12]2+'!$HI:$HJ</definedName>
    <definedName name="ж55" localSheetId="8">'[12]2+'!$HI:$HJ</definedName>
    <definedName name="ж55" localSheetId="14">'[12]2+'!$HI:$HJ</definedName>
    <definedName name="ж55">'[4]2+'!$HI:$HJ</definedName>
    <definedName name="ж56" localSheetId="9">#REF!</definedName>
    <definedName name="ж56" localSheetId="6">'[12]2+'!$HM:$HN</definedName>
    <definedName name="ж56" localSheetId="13">'[12]2+'!$HM:$HN</definedName>
    <definedName name="ж56" localSheetId="10">'[4]2+'!$HM:$HN</definedName>
    <definedName name="ж56" localSheetId="12">'[12]2+'!$HM:$HN</definedName>
    <definedName name="ж56" localSheetId="7">'[4]2+'!$HM:$HN</definedName>
    <definedName name="ж56" localSheetId="11">'[12]2+'!$HM:$HN</definedName>
    <definedName name="ж56" localSheetId="4">'[12]2+'!$HM:$HN</definedName>
    <definedName name="ж56" localSheetId="8">'[12]2+'!$HM:$HN</definedName>
    <definedName name="ж56" localSheetId="14">'[12]2+'!$HM:$HN</definedName>
    <definedName name="ж56">'[4]2+'!$HM:$HN</definedName>
    <definedName name="ж57" localSheetId="9">#REF!</definedName>
    <definedName name="ж57" localSheetId="6">'[12]2+'!$HQ:$HR</definedName>
    <definedName name="ж57" localSheetId="13">'[12]2+'!$HQ:$HR</definedName>
    <definedName name="ж57" localSheetId="10">'[4]2+'!$HQ:$HR</definedName>
    <definedName name="ж57" localSheetId="12">'[12]2+'!$HQ:$HR</definedName>
    <definedName name="ж57" localSheetId="7">'[4]2+'!$HQ:$HR</definedName>
    <definedName name="ж57" localSheetId="11">'[12]2+'!$HQ:$HR</definedName>
    <definedName name="ж57" localSheetId="4">'[12]2+'!$HQ:$HR</definedName>
    <definedName name="ж57" localSheetId="8">'[12]2+'!$HQ:$HR</definedName>
    <definedName name="ж57" localSheetId="14">'[12]2+'!$HQ:$HR</definedName>
    <definedName name="ж57">'[4]2+'!$HQ:$HR</definedName>
    <definedName name="ж58" localSheetId="9">#REF!</definedName>
    <definedName name="ж58" localSheetId="6">'[12]2+'!$HU:$HV</definedName>
    <definedName name="ж58" localSheetId="13">'[12]2+'!$HU:$HV</definedName>
    <definedName name="ж58" localSheetId="10">'[4]2+'!$HU:$HV</definedName>
    <definedName name="ж58" localSheetId="12">'[12]2+'!$HU:$HV</definedName>
    <definedName name="ж58" localSheetId="7">'[4]2+'!$HU:$HV</definedName>
    <definedName name="ж58" localSheetId="11">'[12]2+'!$HU:$HV</definedName>
    <definedName name="ж58" localSheetId="4">'[12]2+'!$HU:$HV</definedName>
    <definedName name="ж58" localSheetId="8">'[12]2+'!$HU:$HV</definedName>
    <definedName name="ж58" localSheetId="14">'[12]2+'!$HU:$HV</definedName>
    <definedName name="ж58">'[4]2+'!$HU:$HV</definedName>
    <definedName name="ж59" localSheetId="9">#REF!</definedName>
    <definedName name="ж59" localSheetId="6">'[12]2+'!$HY:$HZ</definedName>
    <definedName name="ж59" localSheetId="13">'[12]2+'!$HY:$HZ</definedName>
    <definedName name="ж59" localSheetId="10">'[4]2+'!$HY:$HZ</definedName>
    <definedName name="ж59" localSheetId="12">'[12]2+'!$HY:$HZ</definedName>
    <definedName name="ж59" localSheetId="7">'[4]2+'!$HY:$HZ</definedName>
    <definedName name="ж59" localSheetId="11">'[12]2+'!$HY:$HZ</definedName>
    <definedName name="ж59" localSheetId="4">'[12]2+'!$HY:$HZ</definedName>
    <definedName name="ж59" localSheetId="8">'[12]2+'!$HY:$HZ</definedName>
    <definedName name="ж59" localSheetId="14">'[12]2+'!$HY:$HZ</definedName>
    <definedName name="ж59">'[4]2+'!$HY:$HZ</definedName>
    <definedName name="ж6" localSheetId="9">#REF!</definedName>
    <definedName name="ж6" localSheetId="6">'[12]2+'!$U:$V</definedName>
    <definedName name="ж6" localSheetId="13">'[12]2+'!$U:$V</definedName>
    <definedName name="ж6" localSheetId="10">'[4]2+'!$U:$V</definedName>
    <definedName name="ж6" localSheetId="12">'[12]2+'!$U:$V</definedName>
    <definedName name="ж6" localSheetId="7">'[4]2+'!$U:$V</definedName>
    <definedName name="ж6" localSheetId="11">'[12]2+'!$U:$V</definedName>
    <definedName name="ж6" localSheetId="4">'[12]2+'!$U:$V</definedName>
    <definedName name="ж6" localSheetId="8">'[12]2+'!$U:$V</definedName>
    <definedName name="ж6" localSheetId="14">'[12]2+'!$U:$V</definedName>
    <definedName name="ж6">'[4]2+'!$U:$V</definedName>
    <definedName name="ж60" localSheetId="9">#REF!</definedName>
    <definedName name="ж60" localSheetId="6">'[12]2+'!$IC:$ID</definedName>
    <definedName name="ж60" localSheetId="13">'[12]2+'!$IC:$ID</definedName>
    <definedName name="ж60" localSheetId="10">'[4]2+'!$IC:$ID</definedName>
    <definedName name="ж60" localSheetId="12">'[12]2+'!$IC:$ID</definedName>
    <definedName name="ж60" localSheetId="7">'[4]2+'!$IC:$ID</definedName>
    <definedName name="ж60" localSheetId="11">'[12]2+'!$IC:$ID</definedName>
    <definedName name="ж60" localSheetId="4">'[12]2+'!$IC:$ID</definedName>
    <definedName name="ж60" localSheetId="8">'[12]2+'!$IC:$ID</definedName>
    <definedName name="ж60" localSheetId="14">'[12]2+'!$IC:$ID</definedName>
    <definedName name="ж60">'[4]2+'!$IC:$ID</definedName>
    <definedName name="ж61" localSheetId="9">#REF!</definedName>
    <definedName name="ж61" localSheetId="6">'[12]2+'!$IG:$IH</definedName>
    <definedName name="ж61" localSheetId="13">'[12]2+'!$IG:$IH</definedName>
    <definedName name="ж61" localSheetId="10">'[4]2+'!$IG:$IH</definedName>
    <definedName name="ж61" localSheetId="12">'[12]2+'!$IG:$IH</definedName>
    <definedName name="ж61" localSheetId="7">'[4]2+'!$IG:$IH</definedName>
    <definedName name="ж61" localSheetId="11">'[12]2+'!$IG:$IH</definedName>
    <definedName name="ж61" localSheetId="4">'[12]2+'!$IG:$IH</definedName>
    <definedName name="ж61" localSheetId="8">'[12]2+'!$IG:$IH</definedName>
    <definedName name="ж61" localSheetId="14">'[12]2+'!$IG:$IH</definedName>
    <definedName name="ж61">'[4]2+'!$IG:$IH</definedName>
    <definedName name="ж62" localSheetId="9">#REF!</definedName>
    <definedName name="ж62" localSheetId="6">'[12]2+'!$IK:$IL</definedName>
    <definedName name="ж62" localSheetId="13">'[12]2+'!$IK:$IL</definedName>
    <definedName name="ж62" localSheetId="10">'[4]2+'!$IK:$IL</definedName>
    <definedName name="ж62" localSheetId="12">'[12]2+'!$IK:$IL</definedName>
    <definedName name="ж62" localSheetId="7">'[4]2+'!$IK:$IL</definedName>
    <definedName name="ж62" localSheetId="11">'[12]2+'!$IK:$IL</definedName>
    <definedName name="ж62" localSheetId="4">'[12]2+'!$IK:$IL</definedName>
    <definedName name="ж62" localSheetId="8">'[12]2+'!$IK:$IL</definedName>
    <definedName name="ж62" localSheetId="14">'[12]2+'!$IK:$IL</definedName>
    <definedName name="ж62">'[4]2+'!$IK:$IL</definedName>
    <definedName name="ж63" localSheetId="9">#REF!</definedName>
    <definedName name="ж63" localSheetId="6">'[12]2+'!$IO:$IP</definedName>
    <definedName name="ж63" localSheetId="13">'[12]2+'!$IO:$IP</definedName>
    <definedName name="ж63" localSheetId="10">'[4]2+'!$IO:$IP</definedName>
    <definedName name="ж63" localSheetId="12">'[12]2+'!$IO:$IP</definedName>
    <definedName name="ж63" localSheetId="7">'[4]2+'!$IO:$IP</definedName>
    <definedName name="ж63" localSheetId="11">'[12]2+'!$IO:$IP</definedName>
    <definedName name="ж63" localSheetId="4">'[12]2+'!$IO:$IP</definedName>
    <definedName name="ж63" localSheetId="8">'[12]2+'!$IO:$IP</definedName>
    <definedName name="ж63" localSheetId="14">'[12]2+'!$IO:$IP</definedName>
    <definedName name="ж63">'[4]2+'!$IO:$IP</definedName>
    <definedName name="ж64" localSheetId="9">#REF!</definedName>
    <definedName name="ж64" localSheetId="6">'[12]2+'!$IS:$IT</definedName>
    <definedName name="ж64" localSheetId="13">'[12]2+'!$IS:$IT</definedName>
    <definedName name="ж64" localSheetId="10">'[4]2+'!$IS:$IT</definedName>
    <definedName name="ж64" localSheetId="12">'[12]2+'!$IS:$IT</definedName>
    <definedName name="ж64" localSheetId="7">'[4]2+'!$IS:$IT</definedName>
    <definedName name="ж64" localSheetId="11">'[12]2+'!$IS:$IT</definedName>
    <definedName name="ж64" localSheetId="4">'[12]2+'!$IS:$IT</definedName>
    <definedName name="ж64" localSheetId="8">'[12]2+'!$IS:$IT</definedName>
    <definedName name="ж64" localSheetId="14">'[12]2+'!$IS:$IT</definedName>
    <definedName name="ж64">'[4]2+'!$IS:$IT</definedName>
    <definedName name="ж65" localSheetId="9">#REF!</definedName>
    <definedName name="ж65" localSheetId="6">'[12]2+'!$IW:$IX</definedName>
    <definedName name="ж65" localSheetId="13">'[12]2+'!$IW:$IX</definedName>
    <definedName name="ж65" localSheetId="10">'[4]2+'!$IW:$IX</definedName>
    <definedName name="ж65" localSheetId="12">'[12]2+'!$IW:$IX</definedName>
    <definedName name="ж65" localSheetId="7">'[4]2+'!$IW:$IX</definedName>
    <definedName name="ж65" localSheetId="11">'[12]2+'!$IW:$IX</definedName>
    <definedName name="ж65" localSheetId="4">'[12]2+'!$IW:$IX</definedName>
    <definedName name="ж65" localSheetId="8">'[12]2+'!$IW:$IX</definedName>
    <definedName name="ж65" localSheetId="14">'[12]2+'!$IW:$IX</definedName>
    <definedName name="ж65">'[4]2+'!$IW:$IX</definedName>
    <definedName name="ж66" localSheetId="9">#REF!</definedName>
    <definedName name="ж66" localSheetId="6">'[12]2+'!$JA:$JB</definedName>
    <definedName name="ж66" localSheetId="13">'[12]2+'!$JA:$JB</definedName>
    <definedName name="ж66" localSheetId="10">'[4]2+'!$JA:$JB</definedName>
    <definedName name="ж66" localSheetId="12">'[12]2+'!$JA:$JB</definedName>
    <definedName name="ж66" localSheetId="7">'[4]2+'!$JA:$JB</definedName>
    <definedName name="ж66" localSheetId="11">'[12]2+'!$JA:$JB</definedName>
    <definedName name="ж66" localSheetId="4">'[12]2+'!$JA:$JB</definedName>
    <definedName name="ж66" localSheetId="8">'[12]2+'!$JA:$JB</definedName>
    <definedName name="ж66" localSheetId="14">'[12]2+'!$JA:$JB</definedName>
    <definedName name="ж66">'[4]2+'!$JA:$JB</definedName>
    <definedName name="ж67" localSheetId="9">#REF!</definedName>
    <definedName name="ж67" localSheetId="6">'[12]2+'!$JE:$JF</definedName>
    <definedName name="ж67" localSheetId="13">'[12]2+'!$JE:$JF</definedName>
    <definedName name="ж67" localSheetId="10">'[4]2+'!$JE:$JF</definedName>
    <definedName name="ж67" localSheetId="12">'[12]2+'!$JE:$JF</definedName>
    <definedName name="ж67" localSheetId="7">'[4]2+'!$JE:$JF</definedName>
    <definedName name="ж67" localSheetId="11">'[12]2+'!$JE:$JF</definedName>
    <definedName name="ж67" localSheetId="4">'[12]2+'!$JE:$JF</definedName>
    <definedName name="ж67" localSheetId="8">'[12]2+'!$JE:$JF</definedName>
    <definedName name="ж67" localSheetId="14">'[12]2+'!$JE:$JF</definedName>
    <definedName name="ж67">'[4]2+'!$JE:$JF</definedName>
    <definedName name="ж68" localSheetId="9">#REF!</definedName>
    <definedName name="ж68" localSheetId="6">'[12]2+'!$JI:$JJ</definedName>
    <definedName name="ж68" localSheetId="13">'[12]2+'!$JI:$JJ</definedName>
    <definedName name="ж68" localSheetId="10">'[4]2+'!$JI:$JJ</definedName>
    <definedName name="ж68" localSheetId="12">'[12]2+'!$JI:$JJ</definedName>
    <definedName name="ж68" localSheetId="7">'[4]2+'!$JI:$JJ</definedName>
    <definedName name="ж68" localSheetId="11">'[12]2+'!$JI:$JJ</definedName>
    <definedName name="ж68" localSheetId="4">'[12]2+'!$JI:$JJ</definedName>
    <definedName name="ж68" localSheetId="8">'[12]2+'!$JI:$JJ</definedName>
    <definedName name="ж68" localSheetId="14">'[12]2+'!$JI:$JJ</definedName>
    <definedName name="ж68">'[4]2+'!$JI:$JJ</definedName>
    <definedName name="ж69" localSheetId="9">#REF!</definedName>
    <definedName name="ж69" localSheetId="6">'[12]2+'!$JM:$JN</definedName>
    <definedName name="ж69" localSheetId="13">'[12]2+'!$JM:$JN</definedName>
    <definedName name="ж69" localSheetId="10">'[4]2+'!$JM:$JN</definedName>
    <definedName name="ж69" localSheetId="12">'[12]2+'!$JM:$JN</definedName>
    <definedName name="ж69" localSheetId="7">'[4]2+'!$JM:$JN</definedName>
    <definedName name="ж69" localSheetId="11">'[12]2+'!$JM:$JN</definedName>
    <definedName name="ж69" localSheetId="4">'[12]2+'!$JM:$JN</definedName>
    <definedName name="ж69" localSheetId="8">'[12]2+'!$JM:$JN</definedName>
    <definedName name="ж69" localSheetId="14">'[12]2+'!$JM:$JN</definedName>
    <definedName name="ж69">'[4]2+'!$JM:$JN</definedName>
    <definedName name="ж7" localSheetId="9">#REF!</definedName>
    <definedName name="ж7" localSheetId="6">'[12]2+'!$Y:$Z</definedName>
    <definedName name="ж7" localSheetId="13">'[12]2+'!$Y:$Z</definedName>
    <definedName name="ж7" localSheetId="10">'[4]2+'!$Y:$Z</definedName>
    <definedName name="ж7" localSheetId="12">'[12]2+'!$Y:$Z</definedName>
    <definedName name="ж7" localSheetId="7">'[4]2+'!$Y:$Z</definedName>
    <definedName name="ж7" localSheetId="11">'[12]2+'!$Y:$Z</definedName>
    <definedName name="ж7" localSheetId="4">'[12]2+'!$Y:$Z</definedName>
    <definedName name="ж7" localSheetId="8">'[12]2+'!$Y:$Z</definedName>
    <definedName name="ж7" localSheetId="14">'[12]2+'!$Y:$Z</definedName>
    <definedName name="ж7">'[4]2+'!$Y:$Z</definedName>
    <definedName name="ж70" localSheetId="9">#REF!</definedName>
    <definedName name="ж70" localSheetId="6">'[12]2+'!$JQ:$JR</definedName>
    <definedName name="ж70" localSheetId="13">'[12]2+'!$JQ:$JR</definedName>
    <definedName name="ж70" localSheetId="10">'[4]2+'!$JQ:$JR</definedName>
    <definedName name="ж70" localSheetId="12">'[12]2+'!$JQ:$JR</definedName>
    <definedName name="ж70" localSheetId="7">'[4]2+'!$JQ:$JR</definedName>
    <definedName name="ж70" localSheetId="11">'[12]2+'!$JQ:$JR</definedName>
    <definedName name="ж70" localSheetId="4">'[12]2+'!$JQ:$JR</definedName>
    <definedName name="ж70" localSheetId="8">'[12]2+'!$JQ:$JR</definedName>
    <definedName name="ж70" localSheetId="14">'[12]2+'!$JQ:$JR</definedName>
    <definedName name="ж70">'[4]2+'!$JQ:$JR</definedName>
    <definedName name="ж71" localSheetId="9">#REF!</definedName>
    <definedName name="ж71" localSheetId="6">'[12]2+'!$JU:$JV</definedName>
    <definedName name="ж71" localSheetId="13">'[12]2+'!$JU:$JV</definedName>
    <definedName name="ж71" localSheetId="10">'[4]2+'!$JU:$JV</definedName>
    <definedName name="ж71" localSheetId="12">'[12]2+'!$JU:$JV</definedName>
    <definedName name="ж71" localSheetId="7">'[4]2+'!$JU:$JV</definedName>
    <definedName name="ж71" localSheetId="11">'[12]2+'!$JU:$JV</definedName>
    <definedName name="ж71" localSheetId="4">'[12]2+'!$JU:$JV</definedName>
    <definedName name="ж71" localSheetId="8">'[12]2+'!$JU:$JV</definedName>
    <definedName name="ж71" localSheetId="14">'[12]2+'!$JU:$JV</definedName>
    <definedName name="ж71">'[4]2+'!$JU:$JV</definedName>
    <definedName name="ж72" localSheetId="9">#REF!</definedName>
    <definedName name="ж72" localSheetId="6">'[12]2+'!$JY:$JZ</definedName>
    <definedName name="ж72" localSheetId="13">'[12]2+'!$JY:$JZ</definedName>
    <definedName name="ж72" localSheetId="10">'[4]2+'!$JY:$JZ</definedName>
    <definedName name="ж72" localSheetId="12">'[12]2+'!$JY:$JZ</definedName>
    <definedName name="ж72" localSheetId="7">'[4]2+'!$JY:$JZ</definedName>
    <definedName name="ж72" localSheetId="11">'[12]2+'!$JY:$JZ</definedName>
    <definedName name="ж72" localSheetId="4">'[12]2+'!$JY:$JZ</definedName>
    <definedName name="ж72" localSheetId="8">'[12]2+'!$JY:$JZ</definedName>
    <definedName name="ж72" localSheetId="14">'[12]2+'!$JY:$JZ</definedName>
    <definedName name="ж72">'[4]2+'!$JY:$JZ</definedName>
    <definedName name="ж73" localSheetId="9">#REF!</definedName>
    <definedName name="ж73" localSheetId="6">'[12]2+'!$KC:$KD</definedName>
    <definedName name="ж73" localSheetId="13">'[12]2+'!$KC:$KD</definedName>
    <definedName name="ж73" localSheetId="10">'[4]2+'!$KC:$KD</definedName>
    <definedName name="ж73" localSheetId="12">'[12]2+'!$KC:$KD</definedName>
    <definedName name="ж73" localSheetId="7">'[4]2+'!$KC:$KD</definedName>
    <definedName name="ж73" localSheetId="11">'[12]2+'!$KC:$KD</definedName>
    <definedName name="ж73" localSheetId="4">'[12]2+'!$KC:$KD</definedName>
    <definedName name="ж73" localSheetId="8">'[12]2+'!$KC:$KD</definedName>
    <definedName name="ж73" localSheetId="14">'[12]2+'!$KC:$KD</definedName>
    <definedName name="ж73">'[4]2+'!$KC:$KD</definedName>
    <definedName name="ж74" localSheetId="9">#REF!</definedName>
    <definedName name="ж74" localSheetId="6">'[12]2+'!$KG:$KH</definedName>
    <definedName name="ж74" localSheetId="13">'[12]2+'!$KG:$KH</definedName>
    <definedName name="ж74" localSheetId="10">'[4]2+'!$KG:$KH</definedName>
    <definedName name="ж74" localSheetId="12">'[12]2+'!$KG:$KH</definedName>
    <definedName name="ж74" localSheetId="7">'[4]2+'!$KG:$KH</definedName>
    <definedName name="ж74" localSheetId="11">'[12]2+'!$KG:$KH</definedName>
    <definedName name="ж74" localSheetId="4">'[12]2+'!$KG:$KH</definedName>
    <definedName name="ж74" localSheetId="8">'[12]2+'!$KG:$KH</definedName>
    <definedName name="ж74" localSheetId="14">'[12]2+'!$KG:$KH</definedName>
    <definedName name="ж74">'[4]2+'!$KG:$KH</definedName>
    <definedName name="ж75" localSheetId="9">#REF!</definedName>
    <definedName name="ж75" localSheetId="6">'[12]2+'!$KK:$KL</definedName>
    <definedName name="ж75" localSheetId="13">'[12]2+'!$KK:$KL</definedName>
    <definedName name="ж75" localSheetId="10">'[4]2+'!$KK:$KL</definedName>
    <definedName name="ж75" localSheetId="12">'[12]2+'!$KK:$KL</definedName>
    <definedName name="ж75" localSheetId="7">'[4]2+'!$KK:$KL</definedName>
    <definedName name="ж75" localSheetId="11">'[12]2+'!$KK:$KL</definedName>
    <definedName name="ж75" localSheetId="4">'[12]2+'!$KK:$KL</definedName>
    <definedName name="ж75" localSheetId="8">'[12]2+'!$KK:$KL</definedName>
    <definedName name="ж75" localSheetId="14">'[12]2+'!$KK:$KL</definedName>
    <definedName name="ж75">'[4]2+'!$KK:$KL</definedName>
    <definedName name="ж76" localSheetId="9">#REF!</definedName>
    <definedName name="ж76" localSheetId="6">'[12]2+'!$KO:$KP</definedName>
    <definedName name="ж76" localSheetId="13">'[12]2+'!$KO:$KP</definedName>
    <definedName name="ж76" localSheetId="10">'[4]2+'!$KO:$KP</definedName>
    <definedName name="ж76" localSheetId="12">'[12]2+'!$KO:$KP</definedName>
    <definedName name="ж76" localSheetId="7">'[4]2+'!$KO:$KP</definedName>
    <definedName name="ж76" localSheetId="11">'[12]2+'!$KO:$KP</definedName>
    <definedName name="ж76" localSheetId="4">'[12]2+'!$KO:$KP</definedName>
    <definedName name="ж76" localSheetId="8">'[12]2+'!$KO:$KP</definedName>
    <definedName name="ж76" localSheetId="14">'[12]2+'!$KO:$KP</definedName>
    <definedName name="ж76">'[4]2+'!$KO:$KP</definedName>
    <definedName name="ж77" localSheetId="9">#REF!</definedName>
    <definedName name="ж77" localSheetId="6">'[12]2+'!$KS:$KT</definedName>
    <definedName name="ж77" localSheetId="13">'[12]2+'!$KS:$KT</definedName>
    <definedName name="ж77" localSheetId="10">'[4]2+'!$KS:$KT</definedName>
    <definedName name="ж77" localSheetId="12">'[12]2+'!$KS:$KT</definedName>
    <definedName name="ж77" localSheetId="7">'[4]2+'!$KS:$KT</definedName>
    <definedName name="ж77" localSheetId="11">'[12]2+'!$KS:$KT</definedName>
    <definedName name="ж77" localSheetId="4">'[12]2+'!$KS:$KT</definedName>
    <definedName name="ж77" localSheetId="8">'[12]2+'!$KS:$KT</definedName>
    <definedName name="ж77" localSheetId="14">'[12]2+'!$KS:$KT</definedName>
    <definedName name="ж77">'[4]2+'!$KS:$KT</definedName>
    <definedName name="ж78" localSheetId="9">#REF!</definedName>
    <definedName name="ж78" localSheetId="6">'[12]2+'!$KW:$KX</definedName>
    <definedName name="ж78" localSheetId="13">'[12]2+'!$KW:$KX</definedName>
    <definedName name="ж78" localSheetId="10">'[4]2+'!$KW:$KX</definedName>
    <definedName name="ж78" localSheetId="12">'[12]2+'!$KW:$KX</definedName>
    <definedName name="ж78" localSheetId="7">'[4]2+'!$KW:$KX</definedName>
    <definedName name="ж78" localSheetId="11">'[12]2+'!$KW:$KX</definedName>
    <definedName name="ж78" localSheetId="4">'[12]2+'!$KW:$KX</definedName>
    <definedName name="ж78" localSheetId="8">'[12]2+'!$KW:$KX</definedName>
    <definedName name="ж78" localSheetId="14">'[12]2+'!$KW:$KX</definedName>
    <definedName name="ж78">'[4]2+'!$KW:$KX</definedName>
    <definedName name="ж79" localSheetId="9">#REF!</definedName>
    <definedName name="ж79" localSheetId="6">'[12]2+'!$LA:$LB</definedName>
    <definedName name="ж79" localSheetId="13">'[12]2+'!$LA:$LB</definedName>
    <definedName name="ж79" localSheetId="10">'[4]2+'!$LA:$LB</definedName>
    <definedName name="ж79" localSheetId="12">'[12]2+'!$LA:$LB</definedName>
    <definedName name="ж79" localSheetId="7">'[4]2+'!$LA:$LB</definedName>
    <definedName name="ж79" localSheetId="11">'[12]2+'!$LA:$LB</definedName>
    <definedName name="ж79" localSheetId="4">'[12]2+'!$LA:$LB</definedName>
    <definedName name="ж79" localSheetId="8">'[12]2+'!$LA:$LB</definedName>
    <definedName name="ж79" localSheetId="14">'[12]2+'!$LA:$LB</definedName>
    <definedName name="ж79">'[4]2+'!$LA:$LB</definedName>
    <definedName name="ж8" localSheetId="9">#REF!</definedName>
    <definedName name="ж8" localSheetId="6">'[12]2+'!$AC:$AD</definedName>
    <definedName name="ж8" localSheetId="13">'[12]2+'!$AC:$AD</definedName>
    <definedName name="ж8" localSheetId="10">'[4]2+'!$AC:$AD</definedName>
    <definedName name="ж8" localSheetId="12">'[12]2+'!$AC:$AD</definedName>
    <definedName name="ж8" localSheetId="7">'[4]2+'!$AC:$AD</definedName>
    <definedName name="ж8" localSheetId="11">'[12]2+'!$AC:$AD</definedName>
    <definedName name="ж8" localSheetId="4">'[12]2+'!$AC:$AD</definedName>
    <definedName name="ж8" localSheetId="8">'[12]2+'!$AC:$AD</definedName>
    <definedName name="ж8" localSheetId="14">'[12]2+'!$AC:$AD</definedName>
    <definedName name="ж8">'[4]2+'!$AC:$AD</definedName>
    <definedName name="ж80" localSheetId="9">#REF!</definedName>
    <definedName name="ж80" localSheetId="6">'[12]2+'!$LE:$LF</definedName>
    <definedName name="ж80" localSheetId="13">'[12]2+'!$LE:$LF</definedName>
    <definedName name="ж80" localSheetId="10">'[4]2+'!$LE:$LF</definedName>
    <definedName name="ж80" localSheetId="12">'[12]2+'!$LE:$LF</definedName>
    <definedName name="ж80" localSheetId="7">'[4]2+'!$LE:$LF</definedName>
    <definedName name="ж80" localSheetId="11">'[12]2+'!$LE:$LF</definedName>
    <definedName name="ж80" localSheetId="4">'[12]2+'!$LE:$LF</definedName>
    <definedName name="ж80" localSheetId="8">'[12]2+'!$LE:$LF</definedName>
    <definedName name="ж80" localSheetId="14">'[12]2+'!$LE:$LF</definedName>
    <definedName name="ж80">'[4]2+'!$LE:$LF</definedName>
    <definedName name="ж81" localSheetId="9">#REF!</definedName>
    <definedName name="ж81" localSheetId="6">'[12]2+'!$LI:$LJ</definedName>
    <definedName name="ж81" localSheetId="13">'[12]2+'!$LI:$LJ</definedName>
    <definedName name="ж81" localSheetId="10">'[4]2+'!$LI:$LJ</definedName>
    <definedName name="ж81" localSheetId="12">'[12]2+'!$LI:$LJ</definedName>
    <definedName name="ж81" localSheetId="7">'[4]2+'!$LI:$LJ</definedName>
    <definedName name="ж81" localSheetId="11">'[12]2+'!$LI:$LJ</definedName>
    <definedName name="ж81" localSheetId="4">'[12]2+'!$LI:$LJ</definedName>
    <definedName name="ж81" localSheetId="8">'[12]2+'!$LI:$LJ</definedName>
    <definedName name="ж81" localSheetId="14">'[12]2+'!$LI:$LJ</definedName>
    <definedName name="ж81">'[4]2+'!$LI:$LJ</definedName>
    <definedName name="ж82" localSheetId="9">#REF!</definedName>
    <definedName name="ж82" localSheetId="6">'[12]2+'!$LM:$LN</definedName>
    <definedName name="ж82" localSheetId="13">'[12]2+'!$LM:$LN</definedName>
    <definedName name="ж82" localSheetId="10">'[4]2+'!$LM:$LN</definedName>
    <definedName name="ж82" localSheetId="12">'[12]2+'!$LM:$LN</definedName>
    <definedName name="ж82" localSheetId="7">'[4]2+'!$LM:$LN</definedName>
    <definedName name="ж82" localSheetId="11">'[12]2+'!$LM:$LN</definedName>
    <definedName name="ж82" localSheetId="4">'[12]2+'!$LM:$LN</definedName>
    <definedName name="ж82" localSheetId="8">'[12]2+'!$LM:$LN</definedName>
    <definedName name="ж82" localSheetId="14">'[12]2+'!$LM:$LN</definedName>
    <definedName name="ж82">'[4]2+'!$LM:$LN</definedName>
    <definedName name="ж83" localSheetId="9">#REF!</definedName>
    <definedName name="ж83" localSheetId="6">'[12]2+'!$LQ:$LR</definedName>
    <definedName name="ж83" localSheetId="13">'[12]2+'!$LQ:$LR</definedName>
    <definedName name="ж83" localSheetId="10">'[4]2+'!$LQ:$LR</definedName>
    <definedName name="ж83" localSheetId="12">'[12]2+'!$LQ:$LR</definedName>
    <definedName name="ж83" localSheetId="7">'[4]2+'!$LQ:$LR</definedName>
    <definedName name="ж83" localSheetId="11">'[12]2+'!$LQ:$LR</definedName>
    <definedName name="ж83" localSheetId="4">'[12]2+'!$LQ:$LR</definedName>
    <definedName name="ж83" localSheetId="8">'[12]2+'!$LQ:$LR</definedName>
    <definedName name="ж83" localSheetId="14">'[12]2+'!$LQ:$LR</definedName>
    <definedName name="ж83">'[4]2+'!$LQ:$LR</definedName>
    <definedName name="ж84" localSheetId="9">#REF!</definedName>
    <definedName name="ж84" localSheetId="6">'[12]2+'!$LU:$LV</definedName>
    <definedName name="ж84" localSheetId="13">'[12]2+'!$LU:$LV</definedName>
    <definedName name="ж84" localSheetId="10">'[4]2+'!$LU:$LV</definedName>
    <definedName name="ж84" localSheetId="12">'[12]2+'!$LU:$LV</definedName>
    <definedName name="ж84" localSheetId="7">'[4]2+'!$LU:$LV</definedName>
    <definedName name="ж84" localSheetId="11">'[12]2+'!$LU:$LV</definedName>
    <definedName name="ж84" localSheetId="4">'[12]2+'!$LU:$LV</definedName>
    <definedName name="ж84" localSheetId="8">'[12]2+'!$LU:$LV</definedName>
    <definedName name="ж84" localSheetId="14">'[12]2+'!$LU:$LV</definedName>
    <definedName name="ж84">'[4]2+'!$LU:$LV</definedName>
    <definedName name="ж85" localSheetId="9">#REF!</definedName>
    <definedName name="ж85" localSheetId="6">'[12]2+'!$LY:$LZ</definedName>
    <definedName name="ж85" localSheetId="13">'[12]2+'!$LY:$LZ</definedName>
    <definedName name="ж85" localSheetId="10">'[4]2+'!$LY:$LZ</definedName>
    <definedName name="ж85" localSheetId="12">'[12]2+'!$LY:$LZ</definedName>
    <definedName name="ж85" localSheetId="7">'[4]2+'!$LY:$LZ</definedName>
    <definedName name="ж85" localSheetId="11">'[12]2+'!$LY:$LZ</definedName>
    <definedName name="ж85" localSheetId="4">'[12]2+'!$LY:$LZ</definedName>
    <definedName name="ж85" localSheetId="8">'[12]2+'!$LY:$LZ</definedName>
    <definedName name="ж85" localSheetId="14">'[12]2+'!$LY:$LZ</definedName>
    <definedName name="ж85">'[4]2+'!$LY:$LZ</definedName>
    <definedName name="ж86" localSheetId="9">#REF!</definedName>
    <definedName name="ж86" localSheetId="6">'[12]2+'!$MC:$MD</definedName>
    <definedName name="ж86" localSheetId="13">'[12]2+'!$MC:$MD</definedName>
    <definedName name="ж86" localSheetId="10">'[4]2+'!$MC:$MD</definedName>
    <definedName name="ж86" localSheetId="12">'[12]2+'!$MC:$MD</definedName>
    <definedName name="ж86" localSheetId="7">'[4]2+'!$MC:$MD</definedName>
    <definedName name="ж86" localSheetId="11">'[12]2+'!$MC:$MD</definedName>
    <definedName name="ж86" localSheetId="4">'[12]2+'!$MC:$MD</definedName>
    <definedName name="ж86" localSheetId="8">'[12]2+'!$MC:$MD</definedName>
    <definedName name="ж86" localSheetId="14">'[12]2+'!$MC:$MD</definedName>
    <definedName name="ж86">'[4]2+'!$MC:$MD</definedName>
    <definedName name="ж87" localSheetId="9">#REF!</definedName>
    <definedName name="ж87" localSheetId="6">'[12]2+'!$MG:$MH</definedName>
    <definedName name="ж87" localSheetId="13">'[12]2+'!$MG:$MH</definedName>
    <definedName name="ж87" localSheetId="10">'[4]2+'!$MG:$MH</definedName>
    <definedName name="ж87" localSheetId="12">'[12]2+'!$MG:$MH</definedName>
    <definedName name="ж87" localSheetId="7">'[4]2+'!$MG:$MH</definedName>
    <definedName name="ж87" localSheetId="11">'[12]2+'!$MG:$MH</definedName>
    <definedName name="ж87" localSheetId="4">'[12]2+'!$MG:$MH</definedName>
    <definedName name="ж87" localSheetId="8">'[12]2+'!$MG:$MH</definedName>
    <definedName name="ж87" localSheetId="14">'[12]2+'!$MG:$MH</definedName>
    <definedName name="ж87">'[4]2+'!$MG:$MH</definedName>
    <definedName name="ж88" localSheetId="9">#REF!</definedName>
    <definedName name="ж88" localSheetId="6">'[12]2+'!$MK:$ML</definedName>
    <definedName name="ж88" localSheetId="13">'[12]2+'!$MK:$ML</definedName>
    <definedName name="ж88" localSheetId="10">'[4]2+'!$MK:$ML</definedName>
    <definedName name="ж88" localSheetId="12">'[12]2+'!$MK:$ML</definedName>
    <definedName name="ж88" localSheetId="7">'[4]2+'!$MK:$ML</definedName>
    <definedName name="ж88" localSheetId="11">'[12]2+'!$MK:$ML</definedName>
    <definedName name="ж88" localSheetId="4">'[12]2+'!$MK:$ML</definedName>
    <definedName name="ж88" localSheetId="8">'[12]2+'!$MK:$ML</definedName>
    <definedName name="ж88" localSheetId="14">'[12]2+'!$MK:$ML</definedName>
    <definedName name="ж88">'[4]2+'!$MK:$ML</definedName>
    <definedName name="ж89" localSheetId="9">#REF!</definedName>
    <definedName name="ж89" localSheetId="6">'[12]2+'!$MO:$MP</definedName>
    <definedName name="ж89" localSheetId="13">'[12]2+'!$MO:$MP</definedName>
    <definedName name="ж89" localSheetId="10">'[4]2+'!$MO:$MP</definedName>
    <definedName name="ж89" localSheetId="12">'[12]2+'!$MO:$MP</definedName>
    <definedName name="ж89" localSheetId="7">'[4]2+'!$MO:$MP</definedName>
    <definedName name="ж89" localSheetId="11">'[12]2+'!$MO:$MP</definedName>
    <definedName name="ж89" localSheetId="4">'[12]2+'!$MO:$MP</definedName>
    <definedName name="ж89" localSheetId="8">'[12]2+'!$MO:$MP</definedName>
    <definedName name="ж89" localSheetId="14">'[12]2+'!$MO:$MP</definedName>
    <definedName name="ж89">'[4]2+'!$MO:$MP</definedName>
    <definedName name="ж9" localSheetId="9">#REF!</definedName>
    <definedName name="ж9" localSheetId="6">'[12]2+'!$AG:$AH</definedName>
    <definedName name="ж9" localSheetId="13">'[12]2+'!$AG:$AH</definedName>
    <definedName name="ж9" localSheetId="10">'[4]2+'!$AG:$AH</definedName>
    <definedName name="ж9" localSheetId="12">'[12]2+'!$AG:$AH</definedName>
    <definedName name="ж9" localSheetId="7">'[4]2+'!$AG:$AH</definedName>
    <definedName name="ж9" localSheetId="11">'[12]2+'!$AG:$AH</definedName>
    <definedName name="ж9" localSheetId="4">'[12]2+'!$AG:$AH</definedName>
    <definedName name="ж9" localSheetId="8">'[12]2+'!$AG:$AH</definedName>
    <definedName name="ж9" localSheetId="14">'[12]2+'!$AG:$AH</definedName>
    <definedName name="ж9">'[4]2+'!$AG:$AH</definedName>
    <definedName name="ж90" localSheetId="9">#REF!</definedName>
    <definedName name="ж90" localSheetId="6">'[12]2+'!$MS:$MT</definedName>
    <definedName name="ж90" localSheetId="13">'[12]2+'!$MS:$MT</definedName>
    <definedName name="ж90" localSheetId="10">'[4]2+'!$MS:$MT</definedName>
    <definedName name="ж90" localSheetId="12">'[12]2+'!$MS:$MT</definedName>
    <definedName name="ж90" localSheetId="7">'[4]2+'!$MS:$MT</definedName>
    <definedName name="ж90" localSheetId="11">'[12]2+'!$MS:$MT</definedName>
    <definedName name="ж90" localSheetId="4">'[12]2+'!$MS:$MT</definedName>
    <definedName name="ж90" localSheetId="8">'[12]2+'!$MS:$MT</definedName>
    <definedName name="ж90" localSheetId="14">'[12]2+'!$MS:$MT</definedName>
    <definedName name="ж90">'[4]2+'!$MS:$MT</definedName>
    <definedName name="ж91" localSheetId="9">#REF!</definedName>
    <definedName name="ж91" localSheetId="6">'[12]2+'!$MW:$MX</definedName>
    <definedName name="ж91" localSheetId="13">'[12]2+'!$MW:$MX</definedName>
    <definedName name="ж91" localSheetId="10">'[4]2+'!$MW:$MX</definedName>
    <definedName name="ж91" localSheetId="12">'[12]2+'!$MW:$MX</definedName>
    <definedName name="ж91" localSheetId="7">'[4]2+'!$MW:$MX</definedName>
    <definedName name="ж91" localSheetId="11">'[12]2+'!$MW:$MX</definedName>
    <definedName name="ж91" localSheetId="4">'[12]2+'!$MW:$MX</definedName>
    <definedName name="ж91" localSheetId="8">'[12]2+'!$MW:$MX</definedName>
    <definedName name="ж91" localSheetId="14">'[12]2+'!$MW:$MX</definedName>
    <definedName name="ж91">'[4]2+'!$MW:$MX</definedName>
    <definedName name="ж92" localSheetId="9">#REF!</definedName>
    <definedName name="ж92" localSheetId="6">'[12]2+'!$NA:$NB</definedName>
    <definedName name="ж92" localSheetId="13">'[12]2+'!$NA:$NB</definedName>
    <definedName name="ж92" localSheetId="10">'[4]2+'!$NA:$NB</definedName>
    <definedName name="ж92" localSheetId="12">'[12]2+'!$NA:$NB</definedName>
    <definedName name="ж92" localSheetId="7">'[4]2+'!$NA:$NB</definedName>
    <definedName name="ж92" localSheetId="11">'[12]2+'!$NA:$NB</definedName>
    <definedName name="ж92" localSheetId="4">'[12]2+'!$NA:$NB</definedName>
    <definedName name="ж92" localSheetId="8">'[12]2+'!$NA:$NB</definedName>
    <definedName name="ж92" localSheetId="14">'[12]2+'!$NA:$NB</definedName>
    <definedName name="ж92">'[4]2+'!$NA:$NB</definedName>
    <definedName name="ж93" localSheetId="9">#REF!</definedName>
    <definedName name="ж93" localSheetId="6">'[12]2+'!$NE:$NF</definedName>
    <definedName name="ж93" localSheetId="13">'[12]2+'!$NE:$NF</definedName>
    <definedName name="ж93" localSheetId="10">'[4]2+'!$NE:$NF</definedName>
    <definedName name="ж93" localSheetId="12">'[12]2+'!$NE:$NF</definedName>
    <definedName name="ж93" localSheetId="7">'[4]2+'!$NE:$NF</definedName>
    <definedName name="ж93" localSheetId="11">'[12]2+'!$NE:$NF</definedName>
    <definedName name="ж93" localSheetId="4">'[12]2+'!$NE:$NF</definedName>
    <definedName name="ж93" localSheetId="8">'[12]2+'!$NE:$NF</definedName>
    <definedName name="ж93" localSheetId="14">'[12]2+'!$NE:$NF</definedName>
    <definedName name="ж93">'[4]2+'!$NE:$NF</definedName>
    <definedName name="ж94" localSheetId="9">#REF!</definedName>
    <definedName name="ж94" localSheetId="6">'[12]2+'!$NI:$NJ</definedName>
    <definedName name="ж94" localSheetId="13">'[12]2+'!$NI:$NJ</definedName>
    <definedName name="ж94" localSheetId="10">'[4]2+'!$NI:$NJ</definedName>
    <definedName name="ж94" localSheetId="12">'[12]2+'!$NI:$NJ</definedName>
    <definedName name="ж94" localSheetId="7">'[4]2+'!$NI:$NJ</definedName>
    <definedName name="ж94" localSheetId="11">'[12]2+'!$NI:$NJ</definedName>
    <definedName name="ж94" localSheetId="4">'[12]2+'!$NI:$NJ</definedName>
    <definedName name="ж94" localSheetId="8">'[12]2+'!$NI:$NJ</definedName>
    <definedName name="ж94" localSheetId="14">'[12]2+'!$NI:$NJ</definedName>
    <definedName name="ж94">'[4]2+'!$NI:$NJ</definedName>
    <definedName name="ж95" localSheetId="9">#REF!</definedName>
    <definedName name="ж95" localSheetId="6">'[12]2+'!$NM:$NN</definedName>
    <definedName name="ж95" localSheetId="13">'[12]2+'!$NM:$NN</definedName>
    <definedName name="ж95" localSheetId="10">'[4]2+'!$NM:$NN</definedName>
    <definedName name="ж95" localSheetId="12">'[12]2+'!$NM:$NN</definedName>
    <definedName name="ж95" localSheetId="7">'[4]2+'!$NM:$NN</definedName>
    <definedName name="ж95" localSheetId="11">'[12]2+'!$NM:$NN</definedName>
    <definedName name="ж95" localSheetId="4">'[12]2+'!$NM:$NN</definedName>
    <definedName name="ж95" localSheetId="8">'[12]2+'!$NM:$NN</definedName>
    <definedName name="ж95" localSheetId="14">'[12]2+'!$NM:$NN</definedName>
    <definedName name="ж95">'[4]2+'!$NM:$NN</definedName>
    <definedName name="ж96" localSheetId="9">#REF!</definedName>
    <definedName name="ж96" localSheetId="6">'[12]2+'!$NQ:$NR</definedName>
    <definedName name="ж96" localSheetId="13">'[12]2+'!$NQ:$NR</definedName>
    <definedName name="ж96" localSheetId="10">'[4]2+'!$NQ:$NR</definedName>
    <definedName name="ж96" localSheetId="12">'[12]2+'!$NQ:$NR</definedName>
    <definedName name="ж96" localSheetId="7">'[4]2+'!$NQ:$NR</definedName>
    <definedName name="ж96" localSheetId="11">'[12]2+'!$NQ:$NR</definedName>
    <definedName name="ж96" localSheetId="4">'[12]2+'!$NQ:$NR</definedName>
    <definedName name="ж96" localSheetId="8">'[12]2+'!$NQ:$NR</definedName>
    <definedName name="ж96" localSheetId="14">'[12]2+'!$NQ:$NR</definedName>
    <definedName name="ж96">'[4]2+'!$NQ:$NR</definedName>
    <definedName name="ж97" localSheetId="9">#REF!</definedName>
    <definedName name="ж97" localSheetId="6">'[12]2+'!$NU:$NV</definedName>
    <definedName name="ж97" localSheetId="13">'[12]2+'!$NU:$NV</definedName>
    <definedName name="ж97" localSheetId="10">'[4]2+'!$NU:$NV</definedName>
    <definedName name="ж97" localSheetId="12">'[12]2+'!$NU:$NV</definedName>
    <definedName name="ж97" localSheetId="7">'[4]2+'!$NU:$NV</definedName>
    <definedName name="ж97" localSheetId="11">'[12]2+'!$NU:$NV</definedName>
    <definedName name="ж97" localSheetId="4">'[12]2+'!$NU:$NV</definedName>
    <definedName name="ж97" localSheetId="8">'[12]2+'!$NU:$NV</definedName>
    <definedName name="ж97" localSheetId="14">'[12]2+'!$NU:$NV</definedName>
    <definedName name="ж97">'[4]2+'!$NU:$NV</definedName>
    <definedName name="ж98" localSheetId="9">#REF!</definedName>
    <definedName name="ж98" localSheetId="6">'[12]2+'!$NY:$NZ</definedName>
    <definedName name="ж98" localSheetId="13">'[12]2+'!$NY:$NZ</definedName>
    <definedName name="ж98" localSheetId="10">'[4]2+'!$NY:$NZ</definedName>
    <definedName name="ж98" localSheetId="12">'[12]2+'!$NY:$NZ</definedName>
    <definedName name="ж98" localSheetId="7">'[4]2+'!$NY:$NZ</definedName>
    <definedName name="ж98" localSheetId="11">'[12]2+'!$NY:$NZ</definedName>
    <definedName name="ж98" localSheetId="4">'[12]2+'!$NY:$NZ</definedName>
    <definedName name="ж98" localSheetId="8">'[12]2+'!$NY:$NZ</definedName>
    <definedName name="ж98" localSheetId="14">'[12]2+'!$NY:$NZ</definedName>
    <definedName name="ж98">'[4]2+'!$NY:$NZ</definedName>
    <definedName name="ж99" localSheetId="9">#REF!</definedName>
    <definedName name="ж99" localSheetId="6">'[12]2+'!$OC:$OD</definedName>
    <definedName name="ж99" localSheetId="13">'[12]2+'!$OC:$OD</definedName>
    <definedName name="ж99" localSheetId="10">'[4]2+'!$OC:$OD</definedName>
    <definedName name="ж99" localSheetId="12">'[12]2+'!$OC:$OD</definedName>
    <definedName name="ж99" localSheetId="7">'[4]2+'!$OC:$OD</definedName>
    <definedName name="ж99" localSheetId="11">'[12]2+'!$OC:$OD</definedName>
    <definedName name="ж99" localSheetId="4">'[12]2+'!$OC:$OD</definedName>
    <definedName name="ж99" localSheetId="8">'[12]2+'!$OC:$OD</definedName>
    <definedName name="ж99" localSheetId="14">'[12]2+'!$OC:$OD</definedName>
    <definedName name="ж99">'[4]2+'!$OC:$OD</definedName>
    <definedName name="Жен.конс." localSheetId="2">#REF!</definedName>
    <definedName name="Жен.конс." localSheetId="1">#REF!</definedName>
    <definedName name="Жен.конс." localSheetId="16">#REF!</definedName>
    <definedName name="Жен.конс." localSheetId="9">#REF!</definedName>
    <definedName name="Жен.конс." localSheetId="3">#REF!</definedName>
    <definedName name="Жен.конс." localSheetId="6">#REF!</definedName>
    <definedName name="Жен.конс." localSheetId="20">#REF!</definedName>
    <definedName name="Жен.конс." localSheetId="5">#REF!</definedName>
    <definedName name="Жен.конс." localSheetId="13">#REF!</definedName>
    <definedName name="Жен.конс." localSheetId="10">#REF!</definedName>
    <definedName name="Жен.конс." localSheetId="12">#REF!</definedName>
    <definedName name="Жен.конс." localSheetId="7">#REF!</definedName>
    <definedName name="Жен.конс." localSheetId="11">#REF!</definedName>
    <definedName name="Жен.конс." localSheetId="4">#REF!</definedName>
    <definedName name="Жен.конс." localSheetId="8">#REF!</definedName>
    <definedName name="Жен.конс." localSheetId="18">#REF!</definedName>
    <definedName name="Жен.конс." localSheetId="14">#REF!</definedName>
    <definedName name="Жен.конс." localSheetId="21">#REF!</definedName>
    <definedName name="Жен.конс." localSheetId="19">#REF!</definedName>
    <definedName name="Жен.конс.">#REF!</definedName>
    <definedName name="жж0" localSheetId="9">#REF!</definedName>
    <definedName name="жж0" localSheetId="6">'[12]0-2'!$D:$E</definedName>
    <definedName name="жж0" localSheetId="13">'[12]0-2'!$D:$E</definedName>
    <definedName name="жж0" localSheetId="10">'[4]0-2'!$D:$E</definedName>
    <definedName name="жж0" localSheetId="12">'[12]0-2'!$D:$E</definedName>
    <definedName name="жж0" localSheetId="7">'[4]0-2'!$D:$E</definedName>
    <definedName name="жж0" localSheetId="11">'[12]0-2'!$D:$E</definedName>
    <definedName name="жж0" localSheetId="4">'[12]0-2'!$D:$E</definedName>
    <definedName name="жж0" localSheetId="8">'[12]0-2'!$D:$E</definedName>
    <definedName name="жж0" localSheetId="14">'[12]0-2'!$D:$E</definedName>
    <definedName name="жж0">'[4]0-2'!$D:$E</definedName>
    <definedName name="жж1" localSheetId="9">#REF!</definedName>
    <definedName name="жж1" localSheetId="6">'[12]0-2'!$H:$I</definedName>
    <definedName name="жж1" localSheetId="13">'[12]0-2'!$H:$I</definedName>
    <definedName name="жж1" localSheetId="10">'[4]0-2'!$H:$I</definedName>
    <definedName name="жж1" localSheetId="12">'[12]0-2'!$H:$I</definedName>
    <definedName name="жж1" localSheetId="7">'[4]0-2'!$H:$I</definedName>
    <definedName name="жж1" localSheetId="11">'[12]0-2'!$H:$I</definedName>
    <definedName name="жж1" localSheetId="4">'[12]0-2'!$H:$I</definedName>
    <definedName name="жж1" localSheetId="8">'[12]0-2'!$H:$I</definedName>
    <definedName name="жж1" localSheetId="14">'[12]0-2'!$H:$I</definedName>
    <definedName name="жж1">'[4]0-2'!$H:$I</definedName>
    <definedName name="жж10" localSheetId="9">#REF!</definedName>
    <definedName name="жж10" localSheetId="6">'[12]0-2'!$AR:$AS</definedName>
    <definedName name="жж10" localSheetId="13">'[12]0-2'!$AR:$AS</definedName>
    <definedName name="жж10" localSheetId="10">'[4]0-2'!$AR:$AS</definedName>
    <definedName name="жж10" localSheetId="12">'[12]0-2'!$AR:$AS</definedName>
    <definedName name="жж10" localSheetId="7">'[4]0-2'!$AR:$AS</definedName>
    <definedName name="жж10" localSheetId="11">'[12]0-2'!$AR:$AS</definedName>
    <definedName name="жж10" localSheetId="4">'[12]0-2'!$AR:$AS</definedName>
    <definedName name="жж10" localSheetId="8">'[12]0-2'!$AR:$AS</definedName>
    <definedName name="жж10" localSheetId="14">'[12]0-2'!$AR:$AS</definedName>
    <definedName name="жж10">'[4]0-2'!$AR:$AS</definedName>
    <definedName name="жж11" localSheetId="9">#REF!</definedName>
    <definedName name="жж11" localSheetId="6">'[12]0-2'!$AV:$AW</definedName>
    <definedName name="жж11" localSheetId="13">'[12]0-2'!$AV:$AW</definedName>
    <definedName name="жж11" localSheetId="10">'[4]0-2'!$AV:$AW</definedName>
    <definedName name="жж11" localSheetId="12">'[12]0-2'!$AV:$AW</definedName>
    <definedName name="жж11" localSheetId="7">'[4]0-2'!$AV:$AW</definedName>
    <definedName name="жж11" localSheetId="11">'[12]0-2'!$AV:$AW</definedName>
    <definedName name="жж11" localSheetId="4">'[12]0-2'!$AV:$AW</definedName>
    <definedName name="жж11" localSheetId="8">'[12]0-2'!$AV:$AW</definedName>
    <definedName name="жж11" localSheetId="14">'[12]0-2'!$AV:$AW</definedName>
    <definedName name="жж11">'[4]0-2'!$AV:$AW</definedName>
    <definedName name="жж12" localSheetId="9">#REF!</definedName>
    <definedName name="жж12" localSheetId="6">'[12]0-2'!$AZ:$BA</definedName>
    <definedName name="жж12" localSheetId="13">'[12]0-2'!$AZ:$BA</definedName>
    <definedName name="жж12" localSheetId="10">'[4]0-2'!$AZ:$BA</definedName>
    <definedName name="жж12" localSheetId="12">'[12]0-2'!$AZ:$BA</definedName>
    <definedName name="жж12" localSheetId="7">'[4]0-2'!$AZ:$BA</definedName>
    <definedName name="жж12" localSheetId="11">'[12]0-2'!$AZ:$BA</definedName>
    <definedName name="жж12" localSheetId="4">'[12]0-2'!$AZ:$BA</definedName>
    <definedName name="жж12" localSheetId="8">'[12]0-2'!$AZ:$BA</definedName>
    <definedName name="жж12" localSheetId="14">'[12]0-2'!$AZ:$BA</definedName>
    <definedName name="жж12">'[4]0-2'!$AZ:$BA</definedName>
    <definedName name="жж13" localSheetId="9">#REF!</definedName>
    <definedName name="жж13" localSheetId="6">'[12]0-2'!$BD:$BE</definedName>
    <definedName name="жж13" localSheetId="13">'[12]0-2'!$BD:$BE</definedName>
    <definedName name="жж13" localSheetId="10">'[4]0-2'!$BD:$BE</definedName>
    <definedName name="жж13" localSheetId="12">'[12]0-2'!$BD:$BE</definedName>
    <definedName name="жж13" localSheetId="7">'[4]0-2'!$BD:$BE</definedName>
    <definedName name="жж13" localSheetId="11">'[12]0-2'!$BD:$BE</definedName>
    <definedName name="жж13" localSheetId="4">'[12]0-2'!$BD:$BE</definedName>
    <definedName name="жж13" localSheetId="8">'[12]0-2'!$BD:$BE</definedName>
    <definedName name="жж13" localSheetId="14">'[12]0-2'!$BD:$BE</definedName>
    <definedName name="жж13">'[4]0-2'!$BD:$BE</definedName>
    <definedName name="жж14" localSheetId="9">#REF!</definedName>
    <definedName name="жж14" localSheetId="6">'[12]0-2'!$BH:$BI</definedName>
    <definedName name="жж14" localSheetId="13">'[12]0-2'!$BH:$BI</definedName>
    <definedName name="жж14" localSheetId="10">'[4]0-2'!$BH:$BI</definedName>
    <definedName name="жж14" localSheetId="12">'[12]0-2'!$BH:$BI</definedName>
    <definedName name="жж14" localSheetId="7">'[4]0-2'!$BH:$BI</definedName>
    <definedName name="жж14" localSheetId="11">'[12]0-2'!$BH:$BI</definedName>
    <definedName name="жж14" localSheetId="4">'[12]0-2'!$BH:$BI</definedName>
    <definedName name="жж14" localSheetId="8">'[12]0-2'!$BH:$BI</definedName>
    <definedName name="жж14" localSheetId="14">'[12]0-2'!$BH:$BI</definedName>
    <definedName name="жж14">'[4]0-2'!$BH:$BI</definedName>
    <definedName name="жж15" localSheetId="9">#REF!</definedName>
    <definedName name="жж15" localSheetId="6">'[12]0-2'!$BL:$BM</definedName>
    <definedName name="жж15" localSheetId="13">'[12]0-2'!$BL:$BM</definedName>
    <definedName name="жж15" localSheetId="10">'[4]0-2'!$BL:$BM</definedName>
    <definedName name="жж15" localSheetId="12">'[12]0-2'!$BL:$BM</definedName>
    <definedName name="жж15" localSheetId="7">'[4]0-2'!$BL:$BM</definedName>
    <definedName name="жж15" localSheetId="11">'[12]0-2'!$BL:$BM</definedName>
    <definedName name="жж15" localSheetId="4">'[12]0-2'!$BL:$BM</definedName>
    <definedName name="жж15" localSheetId="8">'[12]0-2'!$BL:$BM</definedName>
    <definedName name="жж15" localSheetId="14">'[12]0-2'!$BL:$BM</definedName>
    <definedName name="жж15">'[4]0-2'!$BL:$BM</definedName>
    <definedName name="жж16" localSheetId="9">#REF!</definedName>
    <definedName name="жж16" localSheetId="6">'[12]0-2'!$BP:$BQ</definedName>
    <definedName name="жж16" localSheetId="13">'[12]0-2'!$BP:$BQ</definedName>
    <definedName name="жж16" localSheetId="10">'[4]0-2'!$BP:$BQ</definedName>
    <definedName name="жж16" localSheetId="12">'[12]0-2'!$BP:$BQ</definedName>
    <definedName name="жж16" localSheetId="7">'[4]0-2'!$BP:$BQ</definedName>
    <definedName name="жж16" localSheetId="11">'[12]0-2'!$BP:$BQ</definedName>
    <definedName name="жж16" localSheetId="4">'[12]0-2'!$BP:$BQ</definedName>
    <definedName name="жж16" localSheetId="8">'[12]0-2'!$BP:$BQ</definedName>
    <definedName name="жж16" localSheetId="14">'[12]0-2'!$BP:$BQ</definedName>
    <definedName name="жж16">'[4]0-2'!$BP:$BQ</definedName>
    <definedName name="жж17" localSheetId="9">#REF!</definedName>
    <definedName name="жж17" localSheetId="6">'[12]0-2'!$BT:$BU</definedName>
    <definedName name="жж17" localSheetId="13">'[12]0-2'!$BT:$BU</definedName>
    <definedName name="жж17" localSheetId="10">'[4]0-2'!$BT:$BU</definedName>
    <definedName name="жж17" localSheetId="12">'[12]0-2'!$BT:$BU</definedName>
    <definedName name="жж17" localSheetId="7">'[4]0-2'!$BT:$BU</definedName>
    <definedName name="жж17" localSheetId="11">'[12]0-2'!$BT:$BU</definedName>
    <definedName name="жж17" localSheetId="4">'[12]0-2'!$BT:$BU</definedName>
    <definedName name="жж17" localSheetId="8">'[12]0-2'!$BT:$BU</definedName>
    <definedName name="жж17" localSheetId="14">'[12]0-2'!$BT:$BU</definedName>
    <definedName name="жж17">'[4]0-2'!$BT:$BU</definedName>
    <definedName name="жж18" localSheetId="9">#REF!</definedName>
    <definedName name="жж18" localSheetId="6">'[12]0-2'!$BX:$BY</definedName>
    <definedName name="жж18" localSheetId="13">'[12]0-2'!$BX:$BY</definedName>
    <definedName name="жж18" localSheetId="10">'[4]0-2'!$BX:$BY</definedName>
    <definedName name="жж18" localSheetId="12">'[12]0-2'!$BX:$BY</definedName>
    <definedName name="жж18" localSheetId="7">'[4]0-2'!$BX:$BY</definedName>
    <definedName name="жж18" localSheetId="11">'[12]0-2'!$BX:$BY</definedName>
    <definedName name="жж18" localSheetId="4">'[12]0-2'!$BX:$BY</definedName>
    <definedName name="жж18" localSheetId="8">'[12]0-2'!$BX:$BY</definedName>
    <definedName name="жж18" localSheetId="14">'[12]0-2'!$BX:$BY</definedName>
    <definedName name="жж18">'[4]0-2'!$BX:$BY</definedName>
    <definedName name="жж19" localSheetId="9">#REF!</definedName>
    <definedName name="жж19" localSheetId="6">'[12]0-2'!$CB:$CC</definedName>
    <definedName name="жж19" localSheetId="13">'[12]0-2'!$CB:$CC</definedName>
    <definedName name="жж19" localSheetId="10">'[4]0-2'!$CB:$CC</definedName>
    <definedName name="жж19" localSheetId="12">'[12]0-2'!$CB:$CC</definedName>
    <definedName name="жж19" localSheetId="7">'[4]0-2'!$CB:$CC</definedName>
    <definedName name="жж19" localSheetId="11">'[12]0-2'!$CB:$CC</definedName>
    <definedName name="жж19" localSheetId="4">'[12]0-2'!$CB:$CC</definedName>
    <definedName name="жж19" localSheetId="8">'[12]0-2'!$CB:$CC</definedName>
    <definedName name="жж19" localSheetId="14">'[12]0-2'!$CB:$CC</definedName>
    <definedName name="жж19">'[4]0-2'!$CB:$CC</definedName>
    <definedName name="жж2" localSheetId="9">#REF!</definedName>
    <definedName name="жж2" localSheetId="6">'[12]0-2'!$L:$M</definedName>
    <definedName name="жж2" localSheetId="13">'[12]0-2'!$L:$M</definedName>
    <definedName name="жж2" localSheetId="10">'[4]0-2'!$L:$M</definedName>
    <definedName name="жж2" localSheetId="12">'[12]0-2'!$L:$M</definedName>
    <definedName name="жж2" localSheetId="7">'[4]0-2'!$L:$M</definedName>
    <definedName name="жж2" localSheetId="11">'[12]0-2'!$L:$M</definedName>
    <definedName name="жж2" localSheetId="4">'[12]0-2'!$L:$M</definedName>
    <definedName name="жж2" localSheetId="8">'[12]0-2'!$L:$M</definedName>
    <definedName name="жж2" localSheetId="14">'[12]0-2'!$L:$M</definedName>
    <definedName name="жж2">'[4]0-2'!$L:$M</definedName>
    <definedName name="жж20" localSheetId="9">#REF!</definedName>
    <definedName name="жж20" localSheetId="6">'[12]0-2'!$CF:$CG</definedName>
    <definedName name="жж20" localSheetId="13">'[12]0-2'!$CF:$CG</definedName>
    <definedName name="жж20" localSheetId="10">'[4]0-2'!$CF:$CG</definedName>
    <definedName name="жж20" localSheetId="12">'[12]0-2'!$CF:$CG</definedName>
    <definedName name="жж20" localSheetId="7">'[4]0-2'!$CF:$CG</definedName>
    <definedName name="жж20" localSheetId="11">'[12]0-2'!$CF:$CG</definedName>
    <definedName name="жж20" localSheetId="4">'[12]0-2'!$CF:$CG</definedName>
    <definedName name="жж20" localSheetId="8">'[12]0-2'!$CF:$CG</definedName>
    <definedName name="жж20" localSheetId="14">'[12]0-2'!$CF:$CG</definedName>
    <definedName name="жж20">'[4]0-2'!$CF:$CG</definedName>
    <definedName name="жж21" localSheetId="9">#REF!</definedName>
    <definedName name="жж21" localSheetId="6">'[12]0-2'!$CJ:$CK</definedName>
    <definedName name="жж21" localSheetId="13">'[12]0-2'!$CJ:$CK</definedName>
    <definedName name="жж21" localSheetId="10">'[4]0-2'!$CJ:$CK</definedName>
    <definedName name="жж21" localSheetId="12">'[12]0-2'!$CJ:$CK</definedName>
    <definedName name="жж21" localSheetId="7">'[4]0-2'!$CJ:$CK</definedName>
    <definedName name="жж21" localSheetId="11">'[12]0-2'!$CJ:$CK</definedName>
    <definedName name="жж21" localSheetId="4">'[12]0-2'!$CJ:$CK</definedName>
    <definedName name="жж21" localSheetId="8">'[12]0-2'!$CJ:$CK</definedName>
    <definedName name="жж21" localSheetId="14">'[12]0-2'!$CJ:$CK</definedName>
    <definedName name="жж21">'[4]0-2'!$CJ:$CK</definedName>
    <definedName name="жж22" localSheetId="9">#REF!</definedName>
    <definedName name="жж22" localSheetId="6">'[12]0-2'!$CN:$CO</definedName>
    <definedName name="жж22" localSheetId="13">'[12]0-2'!$CN:$CO</definedName>
    <definedName name="жж22" localSheetId="10">'[4]0-2'!$CN:$CO</definedName>
    <definedName name="жж22" localSheetId="12">'[12]0-2'!$CN:$CO</definedName>
    <definedName name="жж22" localSheetId="7">'[4]0-2'!$CN:$CO</definedName>
    <definedName name="жж22" localSheetId="11">'[12]0-2'!$CN:$CO</definedName>
    <definedName name="жж22" localSheetId="4">'[12]0-2'!$CN:$CO</definedName>
    <definedName name="жж22" localSheetId="8">'[12]0-2'!$CN:$CO</definedName>
    <definedName name="жж22" localSheetId="14">'[12]0-2'!$CN:$CO</definedName>
    <definedName name="жж22">'[4]0-2'!$CN:$CO</definedName>
    <definedName name="жж23" localSheetId="9">#REF!</definedName>
    <definedName name="жж23" localSheetId="6">'[12]0-2'!$CR:$CS</definedName>
    <definedName name="жж23" localSheetId="13">'[12]0-2'!$CR:$CS</definedName>
    <definedName name="жж23" localSheetId="10">'[4]0-2'!$CR:$CS</definedName>
    <definedName name="жж23" localSheetId="12">'[12]0-2'!$CR:$CS</definedName>
    <definedName name="жж23" localSheetId="7">'[4]0-2'!$CR:$CS</definedName>
    <definedName name="жж23" localSheetId="11">'[12]0-2'!$CR:$CS</definedName>
    <definedName name="жж23" localSheetId="4">'[12]0-2'!$CR:$CS</definedName>
    <definedName name="жж23" localSheetId="8">'[12]0-2'!$CR:$CS</definedName>
    <definedName name="жж23" localSheetId="14">'[12]0-2'!$CR:$CS</definedName>
    <definedName name="жж23">'[4]0-2'!$CR:$CS</definedName>
    <definedName name="жж3" localSheetId="9">#REF!</definedName>
    <definedName name="жж3" localSheetId="6">'[12]0-2'!$P:$Q</definedName>
    <definedName name="жж3" localSheetId="13">'[12]0-2'!$P:$Q</definedName>
    <definedName name="жж3" localSheetId="10">'[4]0-2'!$P:$Q</definedName>
    <definedName name="жж3" localSheetId="12">'[12]0-2'!$P:$Q</definedName>
    <definedName name="жж3" localSheetId="7">'[4]0-2'!$P:$Q</definedName>
    <definedName name="жж3" localSheetId="11">'[12]0-2'!$P:$Q</definedName>
    <definedName name="жж3" localSheetId="4">'[12]0-2'!$P:$Q</definedName>
    <definedName name="жж3" localSheetId="8">'[12]0-2'!$P:$Q</definedName>
    <definedName name="жж3" localSheetId="14">'[12]0-2'!$P:$Q</definedName>
    <definedName name="жж3">'[4]0-2'!$P:$Q</definedName>
    <definedName name="жж4" localSheetId="9">#REF!</definedName>
    <definedName name="жж4" localSheetId="6">'[12]0-2'!$T:$U</definedName>
    <definedName name="жж4" localSheetId="13">'[12]0-2'!$T:$U</definedName>
    <definedName name="жж4" localSheetId="10">'[4]0-2'!$T:$U</definedName>
    <definedName name="жж4" localSheetId="12">'[12]0-2'!$T:$U</definedName>
    <definedName name="жж4" localSheetId="7">'[4]0-2'!$T:$U</definedName>
    <definedName name="жж4" localSheetId="11">'[12]0-2'!$T:$U</definedName>
    <definedName name="жж4" localSheetId="4">'[12]0-2'!$T:$U</definedName>
    <definedName name="жж4" localSheetId="8">'[12]0-2'!$T:$U</definedName>
    <definedName name="жж4" localSheetId="14">'[12]0-2'!$T:$U</definedName>
    <definedName name="жж4">'[4]0-2'!$T:$U</definedName>
    <definedName name="жж5" localSheetId="9">#REF!</definedName>
    <definedName name="жж5" localSheetId="6">'[12]0-2'!$X:$Y</definedName>
    <definedName name="жж5" localSheetId="13">'[12]0-2'!$X:$Y</definedName>
    <definedName name="жж5" localSheetId="10">'[4]0-2'!$X:$Y</definedName>
    <definedName name="жж5" localSheetId="12">'[12]0-2'!$X:$Y</definedName>
    <definedName name="жж5" localSheetId="7">'[4]0-2'!$X:$Y</definedName>
    <definedName name="жж5" localSheetId="11">'[12]0-2'!$X:$Y</definedName>
    <definedName name="жж5" localSheetId="4">'[12]0-2'!$X:$Y</definedName>
    <definedName name="жж5" localSheetId="8">'[12]0-2'!$X:$Y</definedName>
    <definedName name="жж5" localSheetId="14">'[12]0-2'!$X:$Y</definedName>
    <definedName name="жж5">'[4]0-2'!$X:$Y</definedName>
    <definedName name="жж6" localSheetId="9">#REF!</definedName>
    <definedName name="жж6" localSheetId="6">'[12]0-2'!$AB:$AC</definedName>
    <definedName name="жж6" localSheetId="13">'[12]0-2'!$AB:$AC</definedName>
    <definedName name="жж6" localSheetId="10">'[4]0-2'!$AB:$AC</definedName>
    <definedName name="жж6" localSheetId="12">'[12]0-2'!$AB:$AC</definedName>
    <definedName name="жж6" localSheetId="7">'[4]0-2'!$AB:$AC</definedName>
    <definedName name="жж6" localSheetId="11">'[12]0-2'!$AB:$AC</definedName>
    <definedName name="жж6" localSheetId="4">'[12]0-2'!$AB:$AC</definedName>
    <definedName name="жж6" localSheetId="8">'[12]0-2'!$AB:$AC</definedName>
    <definedName name="жж6" localSheetId="14">'[12]0-2'!$AB:$AC</definedName>
    <definedName name="жж6">'[4]0-2'!$AB:$AC</definedName>
    <definedName name="жж7" localSheetId="9">#REF!</definedName>
    <definedName name="жж7" localSheetId="6">'[12]0-2'!$AF:$AG</definedName>
    <definedName name="жж7" localSheetId="13">'[12]0-2'!$AF:$AG</definedName>
    <definedName name="жж7" localSheetId="10">'[4]0-2'!$AF:$AG</definedName>
    <definedName name="жж7" localSheetId="12">'[12]0-2'!$AF:$AG</definedName>
    <definedName name="жж7" localSheetId="7">'[4]0-2'!$AF:$AG</definedName>
    <definedName name="жж7" localSheetId="11">'[12]0-2'!$AF:$AG</definedName>
    <definedName name="жж7" localSheetId="4">'[12]0-2'!$AF:$AG</definedName>
    <definedName name="жж7" localSheetId="8">'[12]0-2'!$AF:$AG</definedName>
    <definedName name="жж7" localSheetId="14">'[12]0-2'!$AF:$AG</definedName>
    <definedName name="жж7">'[4]0-2'!$AF:$AG</definedName>
    <definedName name="жж8" localSheetId="9">#REF!</definedName>
    <definedName name="жж8" localSheetId="6">'[12]0-2'!$AJ:$AK</definedName>
    <definedName name="жж8" localSheetId="13">'[12]0-2'!$AJ:$AK</definedName>
    <definedName name="жж8" localSheetId="10">'[4]0-2'!$AJ:$AK</definedName>
    <definedName name="жж8" localSheetId="12">'[12]0-2'!$AJ:$AK</definedName>
    <definedName name="жж8" localSheetId="7">'[4]0-2'!$AJ:$AK</definedName>
    <definedName name="жж8" localSheetId="11">'[12]0-2'!$AJ:$AK</definedName>
    <definedName name="жж8" localSheetId="4">'[12]0-2'!$AJ:$AK</definedName>
    <definedName name="жж8" localSheetId="8">'[12]0-2'!$AJ:$AK</definedName>
    <definedName name="жж8" localSheetId="14">'[12]0-2'!$AJ:$AK</definedName>
    <definedName name="жж8">'[4]0-2'!$AJ:$AK</definedName>
    <definedName name="жж9" localSheetId="9">#REF!</definedName>
    <definedName name="жж9" localSheetId="6">'[12]0-2'!$AN:$AO</definedName>
    <definedName name="жж9" localSheetId="13">'[12]0-2'!$AN:$AO</definedName>
    <definedName name="жж9" localSheetId="10">'[4]0-2'!$AN:$AO</definedName>
    <definedName name="жж9" localSheetId="12">'[12]0-2'!$AN:$AO</definedName>
    <definedName name="жж9" localSheetId="7">'[4]0-2'!$AN:$AO</definedName>
    <definedName name="жж9" localSheetId="11">'[12]0-2'!$AN:$AO</definedName>
    <definedName name="жж9" localSheetId="4">'[12]0-2'!$AN:$AO</definedName>
    <definedName name="жж9" localSheetId="8">'[12]0-2'!$AN:$AO</definedName>
    <definedName name="жж9" localSheetId="14">'[12]0-2'!$AN:$AO</definedName>
    <definedName name="жж9">'[4]0-2'!$AN:$AO</definedName>
    <definedName name="_xlnm.Print_Titles" localSheetId="22">'АПУ неотл.пом. (8-26)'!$4:$5</definedName>
    <definedName name="_xlnm.Print_Titles" localSheetId="1">'ВМП КС (Пр.6-26)'!$B:$B,'ВМП КС (Пр.6-26)'!$3:$4</definedName>
    <definedName name="_xlnm.Print_Titles" localSheetId="16">'Дистанц. набл.(3-26)'!$7:$7</definedName>
    <definedName name="_xlnm.Print_Titles" localSheetId="3">'ДС (8-26)'!#REF!</definedName>
    <definedName name="_xlnm.Print_Titles" localSheetId="17">'КТ, МРТ, КТПЭТ, ОФЭКТ(8-26)'!$4:$7</definedName>
    <definedName name="_xlnm.Print_Titles" localSheetId="20">'НИПТ, РНК геп С, Лаб.геп (8-26)'!$5:$7</definedName>
    <definedName name="_xlnm.Print_Titles" localSheetId="5">'Обращения 8-26'!$4:$7</definedName>
    <definedName name="_xlnm.Print_Titles" localSheetId="0">'Объемы КС (Пр.8-26)'!$6:$8</definedName>
    <definedName name="_xlnm.Print_Titles" localSheetId="13">'Пос с др.целями(Пр.8-26)  '!$2:$6</definedName>
    <definedName name="_xlnm.Print_Titles" localSheetId="10">'Пос. по дисп.набл. (Пр.8-26) '!$2:$8</definedName>
    <definedName name="_xlnm.Print_Titles" localSheetId="12">'Пос. ср.мед.пер. (Пр.8-26)  '!$2:$6</definedName>
    <definedName name="_xlnm.Print_Titles" localSheetId="7">'Проф.Свод (Пр.8-26)   '!$2:$8</definedName>
    <definedName name="_xlnm.Print_Titles" localSheetId="11">'Раз.пос.(Пр.8-26) '!$2:$7</definedName>
    <definedName name="_xlnm.Print_Titles" localSheetId="4">'СМП (16-25)'!$4:$7</definedName>
    <definedName name="_xlnm.Print_Titles" localSheetId="8">'Углуб.дисп.1 и 2 эт.(Пр.1-26)'!$2:$6</definedName>
    <definedName name="_xlnm.Print_Titles" localSheetId="18">'УЗИ ССС(8-26)'!$4:$7</definedName>
    <definedName name="_xlnm.Print_Titles" localSheetId="14">'Центры здор.взросл Пр.5-26 '!$3:$9</definedName>
    <definedName name="_xlnm.Print_Titles" localSheetId="21">'ШХНИЗ, ШСД, ШБ (8-26)'!$5:$7</definedName>
    <definedName name="_xlnm.Print_Titles" localSheetId="19">'ЭИ, ПАИ, МГИ(8-26)'!$4:$8</definedName>
    <definedName name="ЗД" localSheetId="2">[5]Данные!$BY$3:$DB$3</definedName>
    <definedName name="ЗД" localSheetId="1">[5]Данные!$BY$3:$DB$3</definedName>
    <definedName name="ЗД" localSheetId="0">[5]Данные!$BY$3:$DB$3</definedName>
    <definedName name="ЗД" localSheetId="13">[6]Данные!$BY$3:$DB$3</definedName>
    <definedName name="ЗД" localSheetId="10">[5]Данные!$BY$3:$DB$3</definedName>
    <definedName name="ЗД" localSheetId="12">[5]Данные!$BY$3:$DB$3</definedName>
    <definedName name="ЗД" localSheetId="7">[6]Данные!$BY$3:$DB$3</definedName>
    <definedName name="ЗД" localSheetId="11">[7]Данные!$BY$3:$DB$3</definedName>
    <definedName name="ЗД" localSheetId="4">[5]Данные!$BY$3:$DB$3</definedName>
    <definedName name="ЗД" localSheetId="8">[5]Данные!$BY$3:$DB$3</definedName>
    <definedName name="ЗД" localSheetId="14">[5]Данные!$BY$3:$DB$3</definedName>
    <definedName name="ЗД">[8]Данные!$BY$3:$DB$3</definedName>
    <definedName name="иные" localSheetId="16">#REF!</definedName>
    <definedName name="иные" localSheetId="9">#REF!</definedName>
    <definedName name="иные" localSheetId="3">#REF!</definedName>
    <definedName name="иные" localSheetId="6">#REF!</definedName>
    <definedName name="иные" localSheetId="20">#REF!</definedName>
    <definedName name="иные" localSheetId="5">#REF!</definedName>
    <definedName name="иные" localSheetId="13">#REF!</definedName>
    <definedName name="иные" localSheetId="10">#REF!</definedName>
    <definedName name="иные" localSheetId="12">#REF!</definedName>
    <definedName name="иные" localSheetId="7">#REF!</definedName>
    <definedName name="иные" localSheetId="11">#REF!</definedName>
    <definedName name="иные" localSheetId="4">#REF!</definedName>
    <definedName name="иные" localSheetId="8">#REF!</definedName>
    <definedName name="иные" localSheetId="18">#REF!</definedName>
    <definedName name="иные" localSheetId="14">#REF!</definedName>
    <definedName name="иные" localSheetId="21">#REF!</definedName>
    <definedName name="иные" localSheetId="19">#REF!</definedName>
    <definedName name="иные">#REF!</definedName>
    <definedName name="м0" localSheetId="9">'[9]0-2'!$B:$C</definedName>
    <definedName name="м0" localSheetId="6">'[10]0-2'!$B:$C</definedName>
    <definedName name="м0" localSheetId="13">'[10]0-2'!$B:$C</definedName>
    <definedName name="м0" localSheetId="10">'[11]0-2'!$B:$C</definedName>
    <definedName name="м0" localSheetId="12">'[10]0-2'!$B:$C</definedName>
    <definedName name="м0" localSheetId="7">'[11]0-2'!$B:$C</definedName>
    <definedName name="м0" localSheetId="11">'[10]0-2'!$B:$C</definedName>
    <definedName name="м0" localSheetId="4">'[10]0-2'!$B:$C</definedName>
    <definedName name="м0" localSheetId="8">'[10]0-2'!$B:$C</definedName>
    <definedName name="м0" localSheetId="14">'[10]0-2'!$B:$C</definedName>
    <definedName name="м0">'[11]0-2'!$B:$C</definedName>
    <definedName name="м1" localSheetId="9">'[9]0-2'!$G:$H</definedName>
    <definedName name="м1" localSheetId="6">'[10]0-2'!$G:$H</definedName>
    <definedName name="м1" localSheetId="13">'[10]0-2'!$G:$H</definedName>
    <definedName name="м1" localSheetId="10">'[11]0-2'!$G:$H</definedName>
    <definedName name="м1" localSheetId="12">'[10]0-2'!$G:$H</definedName>
    <definedName name="м1" localSheetId="7">'[11]0-2'!$G:$H</definedName>
    <definedName name="м1" localSheetId="11">'[10]0-2'!$G:$H</definedName>
    <definedName name="м1" localSheetId="4">'[10]0-2'!$G:$H</definedName>
    <definedName name="м1" localSheetId="8">'[10]0-2'!$G:$H</definedName>
    <definedName name="м1" localSheetId="14">'[10]0-2'!$G:$H</definedName>
    <definedName name="м1">'[11]0-2'!$G:$H</definedName>
    <definedName name="м10" localSheetId="9">#REF!</definedName>
    <definedName name="м10" localSheetId="6">'[12]2+'!$AI:$AJ</definedName>
    <definedName name="м10" localSheetId="13">'[12]2+'!$AI:$AJ</definedName>
    <definedName name="м10" localSheetId="10">'[4]2+'!$AI:$AJ</definedName>
    <definedName name="м10" localSheetId="12">'[12]2+'!$AI:$AJ</definedName>
    <definedName name="м10" localSheetId="7">'[4]2+'!$AI:$AJ</definedName>
    <definedName name="м10" localSheetId="11">'[12]2+'!$AI:$AJ</definedName>
    <definedName name="м10" localSheetId="4">'[12]2+'!$AI:$AJ</definedName>
    <definedName name="м10" localSheetId="8">'[12]2+'!$AI:$AJ</definedName>
    <definedName name="м10" localSheetId="14">'[12]2+'!$AI:$AJ</definedName>
    <definedName name="м10">'[4]2+'!$AI:$AJ</definedName>
    <definedName name="м100" localSheetId="9">#REF!</definedName>
    <definedName name="м100" localSheetId="6">'[12]2+'!$OE:$OF</definedName>
    <definedName name="м100" localSheetId="13">'[12]2+'!$OE:$OF</definedName>
    <definedName name="м100" localSheetId="10">'[4]2+'!$OE:$OF</definedName>
    <definedName name="м100" localSheetId="12">'[12]2+'!$OE:$OF</definedName>
    <definedName name="м100" localSheetId="7">'[4]2+'!$OE:$OF</definedName>
    <definedName name="м100" localSheetId="11">'[12]2+'!$OE:$OF</definedName>
    <definedName name="м100" localSheetId="4">'[12]2+'!$OE:$OF</definedName>
    <definedName name="м100" localSheetId="8">'[12]2+'!$OE:$OF</definedName>
    <definedName name="м100" localSheetId="14">'[12]2+'!$OE:$OF</definedName>
    <definedName name="м100">'[4]2+'!$OE:$OF</definedName>
    <definedName name="м101" localSheetId="9">#REF!</definedName>
    <definedName name="м101" localSheetId="6">'[12]2+'!$OI:$OJ</definedName>
    <definedName name="м101" localSheetId="13">'[12]2+'!$OI:$OJ</definedName>
    <definedName name="м101" localSheetId="10">'[4]2+'!$OI:$OJ</definedName>
    <definedName name="м101" localSheetId="12">'[12]2+'!$OI:$OJ</definedName>
    <definedName name="м101" localSheetId="7">'[4]2+'!$OI:$OJ</definedName>
    <definedName name="м101" localSheetId="11">'[12]2+'!$OI:$OJ</definedName>
    <definedName name="м101" localSheetId="4">'[12]2+'!$OI:$OJ</definedName>
    <definedName name="м101" localSheetId="8">'[12]2+'!$OI:$OJ</definedName>
    <definedName name="м101" localSheetId="14">'[12]2+'!$OI:$OJ</definedName>
    <definedName name="м101">'[4]2+'!$OI:$OJ</definedName>
    <definedName name="м102" localSheetId="9">#REF!</definedName>
    <definedName name="м102" localSheetId="6">'[12]2+'!$OM:$ON</definedName>
    <definedName name="м102" localSheetId="13">'[12]2+'!$OM:$ON</definedName>
    <definedName name="м102" localSheetId="10">'[4]2+'!$OM:$ON</definedName>
    <definedName name="м102" localSheetId="12">'[12]2+'!$OM:$ON</definedName>
    <definedName name="м102" localSheetId="7">'[4]2+'!$OM:$ON</definedName>
    <definedName name="м102" localSheetId="11">'[12]2+'!$OM:$ON</definedName>
    <definedName name="м102" localSheetId="4">'[12]2+'!$OM:$ON</definedName>
    <definedName name="м102" localSheetId="8">'[12]2+'!$OM:$ON</definedName>
    <definedName name="м102" localSheetId="14">'[12]2+'!$OM:$ON</definedName>
    <definedName name="м102">'[4]2+'!$OM:$ON</definedName>
    <definedName name="м103" localSheetId="9">#REF!</definedName>
    <definedName name="м103" localSheetId="6">'[12]2+'!$OQ:$OR</definedName>
    <definedName name="м103" localSheetId="13">'[12]2+'!$OQ:$OR</definedName>
    <definedName name="м103" localSheetId="10">'[4]2+'!$OQ:$OR</definedName>
    <definedName name="м103" localSheetId="12">'[12]2+'!$OQ:$OR</definedName>
    <definedName name="м103" localSheetId="7">'[4]2+'!$OQ:$OR</definedName>
    <definedName name="м103" localSheetId="11">'[12]2+'!$OQ:$OR</definedName>
    <definedName name="м103" localSheetId="4">'[12]2+'!$OQ:$OR</definedName>
    <definedName name="м103" localSheetId="8">'[12]2+'!$OQ:$OR</definedName>
    <definedName name="м103" localSheetId="14">'[12]2+'!$OQ:$OR</definedName>
    <definedName name="м103">'[4]2+'!$OQ:$OR</definedName>
    <definedName name="м104" localSheetId="9">#REF!</definedName>
    <definedName name="м104" localSheetId="6">'[12]2+'!$OU:$OV</definedName>
    <definedName name="м104" localSheetId="13">'[12]2+'!$OU:$OV</definedName>
    <definedName name="м104" localSheetId="10">'[4]2+'!$OU:$OV</definedName>
    <definedName name="м104" localSheetId="12">'[12]2+'!$OU:$OV</definedName>
    <definedName name="м104" localSheetId="7">'[4]2+'!$OU:$OV</definedName>
    <definedName name="м104" localSheetId="11">'[12]2+'!$OU:$OV</definedName>
    <definedName name="м104" localSheetId="4">'[12]2+'!$OU:$OV</definedName>
    <definedName name="м104" localSheetId="8">'[12]2+'!$OU:$OV</definedName>
    <definedName name="м104" localSheetId="14">'[12]2+'!$OU:$OV</definedName>
    <definedName name="м104">'[4]2+'!$OU:$OV</definedName>
    <definedName name="м105" localSheetId="9">#REF!</definedName>
    <definedName name="м105" localSheetId="6">'[12]2+'!$OY:$OZ</definedName>
    <definedName name="м105" localSheetId="13">'[12]2+'!$OY:$OZ</definedName>
    <definedName name="м105" localSheetId="10">'[4]2+'!$OY:$OZ</definedName>
    <definedName name="м105" localSheetId="12">'[12]2+'!$OY:$OZ</definedName>
    <definedName name="м105" localSheetId="7">'[4]2+'!$OY:$OZ</definedName>
    <definedName name="м105" localSheetId="11">'[12]2+'!$OY:$OZ</definedName>
    <definedName name="м105" localSheetId="4">'[12]2+'!$OY:$OZ</definedName>
    <definedName name="м105" localSheetId="8">'[12]2+'!$OY:$OZ</definedName>
    <definedName name="м105" localSheetId="14">'[12]2+'!$OY:$OZ</definedName>
    <definedName name="м105">'[4]2+'!$OY:$OZ</definedName>
    <definedName name="м106" localSheetId="9">#REF!</definedName>
    <definedName name="м106" localSheetId="6">'[12]2+'!$PC:$PD</definedName>
    <definedName name="м106" localSheetId="13">'[12]2+'!$PC:$PD</definedName>
    <definedName name="м106" localSheetId="10">'[4]2+'!$PC:$PD</definedName>
    <definedName name="м106" localSheetId="12">'[12]2+'!$PC:$PD</definedName>
    <definedName name="м106" localSheetId="7">'[4]2+'!$PC:$PD</definedName>
    <definedName name="м106" localSheetId="11">'[12]2+'!$PC:$PD</definedName>
    <definedName name="м106" localSheetId="4">'[12]2+'!$PC:$PD</definedName>
    <definedName name="м106" localSheetId="8">'[12]2+'!$PC:$PD</definedName>
    <definedName name="м106" localSheetId="14">'[12]2+'!$PC:$PD</definedName>
    <definedName name="м106">'[4]2+'!$PC:$PD</definedName>
    <definedName name="м107" localSheetId="9">#REF!</definedName>
    <definedName name="м107" localSheetId="6">'[12]2+'!$PG:$PH</definedName>
    <definedName name="м107" localSheetId="13">'[12]2+'!$PG:$PH</definedName>
    <definedName name="м107" localSheetId="10">'[4]2+'!$PG:$PH</definedName>
    <definedName name="м107" localSheetId="12">'[12]2+'!$PG:$PH</definedName>
    <definedName name="м107" localSheetId="7">'[4]2+'!$PG:$PH</definedName>
    <definedName name="м107" localSheetId="11">'[12]2+'!$PG:$PH</definedName>
    <definedName name="м107" localSheetId="4">'[12]2+'!$PG:$PH</definedName>
    <definedName name="м107" localSheetId="8">'[12]2+'!$PG:$PH</definedName>
    <definedName name="м107" localSheetId="14">'[12]2+'!$PG:$PH</definedName>
    <definedName name="м107">'[4]2+'!$PG:$PH</definedName>
    <definedName name="м108" localSheetId="9">#REF!</definedName>
    <definedName name="м108" localSheetId="6">'[12]2+'!$PK:$PL</definedName>
    <definedName name="м108" localSheetId="13">'[12]2+'!$PK:$PL</definedName>
    <definedName name="м108" localSheetId="10">'[4]2+'!$PK:$PL</definedName>
    <definedName name="м108" localSheetId="12">'[12]2+'!$PK:$PL</definedName>
    <definedName name="м108" localSheetId="7">'[4]2+'!$PK:$PL</definedName>
    <definedName name="м108" localSheetId="11">'[12]2+'!$PK:$PL</definedName>
    <definedName name="м108" localSheetId="4">'[12]2+'!$PK:$PL</definedName>
    <definedName name="м108" localSheetId="8">'[12]2+'!$PK:$PL</definedName>
    <definedName name="м108" localSheetId="14">'[12]2+'!$PK:$PL</definedName>
    <definedName name="м108">'[4]2+'!$PK:$PL</definedName>
    <definedName name="м109" localSheetId="9">#REF!</definedName>
    <definedName name="м109" localSheetId="6">'[12]2+'!$PO:$PP</definedName>
    <definedName name="м109" localSheetId="13">'[12]2+'!$PO:$PP</definedName>
    <definedName name="м109" localSheetId="10">'[4]2+'!$PO:$PP</definedName>
    <definedName name="м109" localSheetId="12">'[12]2+'!$PO:$PP</definedName>
    <definedName name="м109" localSheetId="7">'[4]2+'!$PO:$PP</definedName>
    <definedName name="м109" localSheetId="11">'[12]2+'!$PO:$PP</definedName>
    <definedName name="м109" localSheetId="4">'[12]2+'!$PO:$PP</definedName>
    <definedName name="м109" localSheetId="8">'[12]2+'!$PO:$PP</definedName>
    <definedName name="м109" localSheetId="14">'[12]2+'!$PO:$PP</definedName>
    <definedName name="м109">'[4]2+'!$PO:$PP</definedName>
    <definedName name="м11" localSheetId="9">#REF!</definedName>
    <definedName name="м11" localSheetId="6">'[12]2+'!$AM:$AN</definedName>
    <definedName name="м11" localSheetId="13">'[12]2+'!$AM:$AN</definedName>
    <definedName name="м11" localSheetId="10">'[4]2+'!$AM:$AN</definedName>
    <definedName name="м11" localSheetId="12">'[12]2+'!$AM:$AN</definedName>
    <definedName name="м11" localSheetId="7">'[4]2+'!$AM:$AN</definedName>
    <definedName name="м11" localSheetId="11">'[12]2+'!$AM:$AN</definedName>
    <definedName name="м11" localSheetId="4">'[12]2+'!$AM:$AN</definedName>
    <definedName name="м11" localSheetId="8">'[12]2+'!$AM:$AN</definedName>
    <definedName name="м11" localSheetId="14">'[12]2+'!$AM:$AN</definedName>
    <definedName name="м11">'[4]2+'!$AM:$AN</definedName>
    <definedName name="м110" localSheetId="9">#REF!</definedName>
    <definedName name="м110" localSheetId="6">'[12]2+'!$PS:$PT</definedName>
    <definedName name="м110" localSheetId="13">'[12]2+'!$PS:$PT</definedName>
    <definedName name="м110" localSheetId="10">'[4]2+'!$PS:$PT</definedName>
    <definedName name="м110" localSheetId="12">'[12]2+'!$PS:$PT</definedName>
    <definedName name="м110" localSheetId="7">'[4]2+'!$PS:$PT</definedName>
    <definedName name="м110" localSheetId="11">'[12]2+'!$PS:$PT</definedName>
    <definedName name="м110" localSheetId="4">'[12]2+'!$PS:$PT</definedName>
    <definedName name="м110" localSheetId="8">'[12]2+'!$PS:$PT</definedName>
    <definedName name="м110" localSheetId="14">'[12]2+'!$PS:$PT</definedName>
    <definedName name="м110">'[4]2+'!$PS:$PT</definedName>
    <definedName name="м111" localSheetId="9">#REF!</definedName>
    <definedName name="м111" localSheetId="6">'[12]2+'!$PW:$PX</definedName>
    <definedName name="м111" localSheetId="13">'[12]2+'!$PW:$PX</definedName>
    <definedName name="м111" localSheetId="10">'[4]2+'!$PW:$PX</definedName>
    <definedName name="м111" localSheetId="12">'[12]2+'!$PW:$PX</definedName>
    <definedName name="м111" localSheetId="7">'[4]2+'!$PW:$PX</definedName>
    <definedName name="м111" localSheetId="11">'[12]2+'!$PW:$PX</definedName>
    <definedName name="м111" localSheetId="4">'[12]2+'!$PW:$PX</definedName>
    <definedName name="м111" localSheetId="8">'[12]2+'!$PW:$PX</definedName>
    <definedName name="м111" localSheetId="14">'[12]2+'!$PW:$PX</definedName>
    <definedName name="м111">'[4]2+'!$PW:$PX</definedName>
    <definedName name="м112" localSheetId="9">#REF!</definedName>
    <definedName name="м112" localSheetId="6">'[12]2+'!$QA:$QB</definedName>
    <definedName name="м112" localSheetId="13">'[12]2+'!$QA:$QB</definedName>
    <definedName name="м112" localSheetId="10">'[4]2+'!$QA:$QB</definedName>
    <definedName name="м112" localSheetId="12">'[12]2+'!$QA:$QB</definedName>
    <definedName name="м112" localSheetId="7">'[4]2+'!$QA:$QB</definedName>
    <definedName name="м112" localSheetId="11">'[12]2+'!$QA:$QB</definedName>
    <definedName name="м112" localSheetId="4">'[12]2+'!$QA:$QB</definedName>
    <definedName name="м112" localSheetId="8">'[12]2+'!$QA:$QB</definedName>
    <definedName name="м112" localSheetId="14">'[12]2+'!$QA:$QB</definedName>
    <definedName name="м112">'[4]2+'!$QA:$QB</definedName>
    <definedName name="м113" localSheetId="16">#REF!</definedName>
    <definedName name="м113" localSheetId="9">#REF!</definedName>
    <definedName name="м113" localSheetId="3">#REF!</definedName>
    <definedName name="м113" localSheetId="20">#REF!</definedName>
    <definedName name="м113" localSheetId="5">#REF!</definedName>
    <definedName name="м113" localSheetId="13">#REF!</definedName>
    <definedName name="м113" localSheetId="10">#REF!</definedName>
    <definedName name="м113" localSheetId="12">#REF!</definedName>
    <definedName name="м113" localSheetId="7">#REF!</definedName>
    <definedName name="м113" localSheetId="11">#REF!</definedName>
    <definedName name="м113" localSheetId="8">#REF!</definedName>
    <definedName name="м113" localSheetId="18">#REF!</definedName>
    <definedName name="м113" localSheetId="14">#REF!</definedName>
    <definedName name="м113" localSheetId="19">#REF!</definedName>
    <definedName name="м113">#REF!</definedName>
    <definedName name="м12" localSheetId="9">#REF!</definedName>
    <definedName name="м12" localSheetId="6">'[12]2+'!$AQ:$AR</definedName>
    <definedName name="м12" localSheetId="13">'[12]2+'!$AQ:$AR</definedName>
    <definedName name="м12" localSheetId="10">'[4]2+'!$AQ:$AR</definedName>
    <definedName name="м12" localSheetId="12">'[12]2+'!$AQ:$AR</definedName>
    <definedName name="м12" localSheetId="7">'[4]2+'!$AQ:$AR</definedName>
    <definedName name="м12" localSheetId="11">'[12]2+'!$AQ:$AR</definedName>
    <definedName name="м12" localSheetId="4">'[12]2+'!$AQ:$AR</definedName>
    <definedName name="м12" localSheetId="8">'[12]2+'!$AQ:$AR</definedName>
    <definedName name="м12" localSheetId="14">'[12]2+'!$AQ:$AR</definedName>
    <definedName name="м12">'[4]2+'!$AQ:$AR</definedName>
    <definedName name="м13" localSheetId="9">#REF!</definedName>
    <definedName name="м13" localSheetId="6">'[12]2+'!$AU:$AV</definedName>
    <definedName name="м13" localSheetId="13">'[12]2+'!$AU:$AV</definedName>
    <definedName name="м13" localSheetId="10">'[4]2+'!$AU:$AV</definedName>
    <definedName name="м13" localSheetId="12">'[12]2+'!$AU:$AV</definedName>
    <definedName name="м13" localSheetId="7">'[4]2+'!$AU:$AV</definedName>
    <definedName name="м13" localSheetId="11">'[12]2+'!$AU:$AV</definedName>
    <definedName name="м13" localSheetId="4">'[12]2+'!$AU:$AV</definedName>
    <definedName name="м13" localSheetId="8">'[12]2+'!$AU:$AV</definedName>
    <definedName name="м13" localSheetId="14">'[12]2+'!$AU:$AV</definedName>
    <definedName name="м13">'[4]2+'!$AU:$AV</definedName>
    <definedName name="м14" localSheetId="9">#REF!</definedName>
    <definedName name="м14" localSheetId="6">'[12]2+'!$AY:$AZ</definedName>
    <definedName name="м14" localSheetId="13">'[12]2+'!$AY:$AZ</definedName>
    <definedName name="м14" localSheetId="10">'[4]2+'!$AY:$AZ</definedName>
    <definedName name="м14" localSheetId="12">'[12]2+'!$AY:$AZ</definedName>
    <definedName name="м14" localSheetId="7">'[4]2+'!$AY:$AZ</definedName>
    <definedName name="м14" localSheetId="11">'[12]2+'!$AY:$AZ</definedName>
    <definedName name="м14" localSheetId="4">'[12]2+'!$AY:$AZ</definedName>
    <definedName name="м14" localSheetId="8">'[12]2+'!$AY:$AZ</definedName>
    <definedName name="м14" localSheetId="14">'[12]2+'!$AY:$AZ</definedName>
    <definedName name="м14">'[4]2+'!$AY:$AZ</definedName>
    <definedName name="м15" localSheetId="9">#REF!</definedName>
    <definedName name="м15" localSheetId="6">'[12]2+'!$BC:$BD</definedName>
    <definedName name="м15" localSheetId="13">'[12]2+'!$BC:$BD</definedName>
    <definedName name="м15" localSheetId="10">'[4]2+'!$BC:$BD</definedName>
    <definedName name="м15" localSheetId="12">'[12]2+'!$BC:$BD</definedName>
    <definedName name="м15" localSheetId="7">'[4]2+'!$BC:$BD</definedName>
    <definedName name="м15" localSheetId="11">'[12]2+'!$BC:$BD</definedName>
    <definedName name="м15" localSheetId="4">'[12]2+'!$BC:$BD</definedName>
    <definedName name="м15" localSheetId="8">'[12]2+'!$BC:$BD</definedName>
    <definedName name="м15" localSheetId="14">'[12]2+'!$BC:$BD</definedName>
    <definedName name="м15">'[4]2+'!$BC:$BD</definedName>
    <definedName name="м16" localSheetId="9">#REF!</definedName>
    <definedName name="м16" localSheetId="6">'[12]2+'!$BG:$BH</definedName>
    <definedName name="м16" localSheetId="13">'[12]2+'!$BG:$BH</definedName>
    <definedName name="м16" localSheetId="10">'[4]2+'!$BG:$BH</definedName>
    <definedName name="м16" localSheetId="12">'[12]2+'!$BG:$BH</definedName>
    <definedName name="м16" localSheetId="7">'[4]2+'!$BG:$BH</definedName>
    <definedName name="м16" localSheetId="11">'[12]2+'!$BG:$BH</definedName>
    <definedName name="м16" localSheetId="4">'[12]2+'!$BG:$BH</definedName>
    <definedName name="м16" localSheetId="8">'[12]2+'!$BG:$BH</definedName>
    <definedName name="м16" localSheetId="14">'[12]2+'!$BG:$BH</definedName>
    <definedName name="м16">'[4]2+'!$BG:$BH</definedName>
    <definedName name="м17" localSheetId="9">#REF!</definedName>
    <definedName name="м17" localSheetId="6">'[12]2+'!$BK:$BL</definedName>
    <definedName name="м17" localSheetId="13">'[12]2+'!$BK:$BL</definedName>
    <definedName name="м17" localSheetId="10">'[4]2+'!$BK:$BL</definedName>
    <definedName name="м17" localSheetId="12">'[12]2+'!$BK:$BL</definedName>
    <definedName name="м17" localSheetId="7">'[4]2+'!$BK:$BL</definedName>
    <definedName name="м17" localSheetId="11">'[12]2+'!$BK:$BL</definedName>
    <definedName name="м17" localSheetId="4">'[12]2+'!$BK:$BL</definedName>
    <definedName name="м17" localSheetId="8">'[12]2+'!$BK:$BL</definedName>
    <definedName name="м17" localSheetId="14">'[12]2+'!$BK:$BL</definedName>
    <definedName name="м17">'[4]2+'!$BK:$BL</definedName>
    <definedName name="м18" localSheetId="9">#REF!</definedName>
    <definedName name="м18" localSheetId="6">'[12]2+'!$BO:$BP</definedName>
    <definedName name="м18" localSheetId="13">'[12]2+'!$BO:$BP</definedName>
    <definedName name="м18" localSheetId="10">'[4]2+'!$BO:$BP</definedName>
    <definedName name="м18" localSheetId="12">'[12]2+'!$BO:$BP</definedName>
    <definedName name="м18" localSheetId="7">'[4]2+'!$BO:$BP</definedName>
    <definedName name="м18" localSheetId="11">'[12]2+'!$BO:$BP</definedName>
    <definedName name="м18" localSheetId="4">'[12]2+'!$BO:$BP</definedName>
    <definedName name="м18" localSheetId="8">'[12]2+'!$BO:$BP</definedName>
    <definedName name="м18" localSheetId="14">'[12]2+'!$BO:$BP</definedName>
    <definedName name="м18">'[4]2+'!$BO:$BP</definedName>
    <definedName name="м19" localSheetId="9">#REF!</definedName>
    <definedName name="м19" localSheetId="6">'[12]2+'!$BS:$BT</definedName>
    <definedName name="м19" localSheetId="13">'[12]2+'!$BS:$BT</definedName>
    <definedName name="м19" localSheetId="10">'[4]2+'!$BS:$BT</definedName>
    <definedName name="м19" localSheetId="12">'[12]2+'!$BS:$BT</definedName>
    <definedName name="м19" localSheetId="7">'[4]2+'!$BS:$BT</definedName>
    <definedName name="м19" localSheetId="11">'[12]2+'!$BS:$BT</definedName>
    <definedName name="м19" localSheetId="4">'[12]2+'!$BS:$BT</definedName>
    <definedName name="м19" localSheetId="8">'[12]2+'!$BS:$BT</definedName>
    <definedName name="м19" localSheetId="14">'[12]2+'!$BS:$BT</definedName>
    <definedName name="м19">'[4]2+'!$BS:$BT</definedName>
    <definedName name="м2" localSheetId="9">#REF!</definedName>
    <definedName name="м2" localSheetId="6">'[12]2+'!$C:$D</definedName>
    <definedName name="м2" localSheetId="13">'[12]2+'!$C:$D</definedName>
    <definedName name="м2" localSheetId="10">'[4]2+'!$C:$D</definedName>
    <definedName name="м2" localSheetId="12">'[12]2+'!$C:$D</definedName>
    <definedName name="м2" localSheetId="7">'[4]2+'!$C:$D</definedName>
    <definedName name="м2" localSheetId="11">'[12]2+'!$C:$D</definedName>
    <definedName name="м2" localSheetId="4">'[12]2+'!$C:$D</definedName>
    <definedName name="м2" localSheetId="8">'[12]2+'!$C:$D</definedName>
    <definedName name="м2" localSheetId="14">'[12]2+'!$C:$D</definedName>
    <definedName name="м2">'[4]2+'!$C:$D</definedName>
    <definedName name="м20" localSheetId="9">#REF!</definedName>
    <definedName name="м20" localSheetId="6">'[12]2+'!$BW:$BX</definedName>
    <definedName name="м20" localSheetId="13">'[12]2+'!$BW:$BX</definedName>
    <definedName name="м20" localSheetId="10">'[4]2+'!$BW:$BX</definedName>
    <definedName name="м20" localSheetId="12">'[12]2+'!$BW:$BX</definedName>
    <definedName name="м20" localSheetId="7">'[4]2+'!$BW:$BX</definedName>
    <definedName name="м20" localSheetId="11">'[12]2+'!$BW:$BX</definedName>
    <definedName name="м20" localSheetId="4">'[12]2+'!$BW:$BX</definedName>
    <definedName name="м20" localSheetId="8">'[12]2+'!$BW:$BX</definedName>
    <definedName name="м20" localSheetId="14">'[12]2+'!$BW:$BX</definedName>
    <definedName name="м20">'[4]2+'!$BW:$BX</definedName>
    <definedName name="м21" localSheetId="9">#REF!</definedName>
    <definedName name="м21" localSheetId="6">'[12]2+'!$CA:$CB</definedName>
    <definedName name="м21" localSheetId="13">'[12]2+'!$CA:$CB</definedName>
    <definedName name="м21" localSheetId="10">'[4]2+'!$CA:$CB</definedName>
    <definedName name="м21" localSheetId="12">'[12]2+'!$CA:$CB</definedName>
    <definedName name="м21" localSheetId="7">'[4]2+'!$CA:$CB</definedName>
    <definedName name="м21" localSheetId="11">'[12]2+'!$CA:$CB</definedName>
    <definedName name="м21" localSheetId="4">'[12]2+'!$CA:$CB</definedName>
    <definedName name="м21" localSheetId="8">'[12]2+'!$CA:$CB</definedName>
    <definedName name="м21" localSheetId="14">'[12]2+'!$CA:$CB</definedName>
    <definedName name="м21">'[4]2+'!$CA:$CB</definedName>
    <definedName name="м22" localSheetId="9">#REF!</definedName>
    <definedName name="м22" localSheetId="6">'[12]2+'!$CE:$CF</definedName>
    <definedName name="м22" localSheetId="13">'[12]2+'!$CE:$CF</definedName>
    <definedName name="м22" localSheetId="10">'[4]2+'!$CE:$CF</definedName>
    <definedName name="м22" localSheetId="12">'[12]2+'!$CE:$CF</definedName>
    <definedName name="м22" localSheetId="7">'[4]2+'!$CE:$CF</definedName>
    <definedName name="м22" localSheetId="11">'[12]2+'!$CE:$CF</definedName>
    <definedName name="м22" localSheetId="4">'[12]2+'!$CE:$CF</definedName>
    <definedName name="м22" localSheetId="8">'[12]2+'!$CE:$CF</definedName>
    <definedName name="м22" localSheetId="14">'[12]2+'!$CE:$CF</definedName>
    <definedName name="м22">'[4]2+'!$CE:$CF</definedName>
    <definedName name="м23" localSheetId="9">#REF!</definedName>
    <definedName name="м23" localSheetId="6">'[12]2+'!$CI:$CJ</definedName>
    <definedName name="м23" localSheetId="13">'[12]2+'!$CI:$CJ</definedName>
    <definedName name="м23" localSheetId="10">'[4]2+'!$CI:$CJ</definedName>
    <definedName name="м23" localSheetId="12">'[12]2+'!$CI:$CJ</definedName>
    <definedName name="м23" localSheetId="7">'[4]2+'!$CI:$CJ</definedName>
    <definedName name="м23" localSheetId="11">'[12]2+'!$CI:$CJ</definedName>
    <definedName name="м23" localSheetId="4">'[12]2+'!$CI:$CJ</definedName>
    <definedName name="м23" localSheetId="8">'[12]2+'!$CI:$CJ</definedName>
    <definedName name="м23" localSheetId="14">'[12]2+'!$CI:$CJ</definedName>
    <definedName name="м23">'[4]2+'!$CI:$CJ</definedName>
    <definedName name="м24" localSheetId="9">#REF!</definedName>
    <definedName name="м24" localSheetId="6">'[12]2+'!$CM:$CN</definedName>
    <definedName name="м24" localSheetId="13">'[12]2+'!$CM:$CN</definedName>
    <definedName name="м24" localSheetId="10">'[4]2+'!$CM:$CN</definedName>
    <definedName name="м24" localSheetId="12">'[12]2+'!$CM:$CN</definedName>
    <definedName name="м24" localSheetId="7">'[4]2+'!$CM:$CN</definedName>
    <definedName name="м24" localSheetId="11">'[12]2+'!$CM:$CN</definedName>
    <definedName name="м24" localSheetId="4">'[12]2+'!$CM:$CN</definedName>
    <definedName name="м24" localSheetId="8">'[12]2+'!$CM:$CN</definedName>
    <definedName name="м24" localSheetId="14">'[12]2+'!$CM:$CN</definedName>
    <definedName name="м24">'[4]2+'!$CM:$CN</definedName>
    <definedName name="м25" localSheetId="9">#REF!</definedName>
    <definedName name="м25" localSheetId="6">'[12]2+'!$CQ:$CR</definedName>
    <definedName name="м25" localSheetId="13">'[12]2+'!$CQ:$CR</definedName>
    <definedName name="м25" localSheetId="10">'[4]2+'!$CQ:$CR</definedName>
    <definedName name="м25" localSheetId="12">'[12]2+'!$CQ:$CR</definedName>
    <definedName name="м25" localSheetId="7">'[4]2+'!$CQ:$CR</definedName>
    <definedName name="м25" localSheetId="11">'[12]2+'!$CQ:$CR</definedName>
    <definedName name="м25" localSheetId="4">'[12]2+'!$CQ:$CR</definedName>
    <definedName name="м25" localSheetId="8">'[12]2+'!$CQ:$CR</definedName>
    <definedName name="м25" localSheetId="14">'[12]2+'!$CQ:$CR</definedName>
    <definedName name="м25">'[4]2+'!$CQ:$CR</definedName>
    <definedName name="м26" localSheetId="9">#REF!</definedName>
    <definedName name="м26" localSheetId="6">'[12]2+'!$CU:$CV</definedName>
    <definedName name="м26" localSheetId="13">'[12]2+'!$CU:$CV</definedName>
    <definedName name="м26" localSheetId="10">'[4]2+'!$CU:$CV</definedName>
    <definedName name="м26" localSheetId="12">'[12]2+'!$CU:$CV</definedName>
    <definedName name="м26" localSheetId="7">'[4]2+'!$CU:$CV</definedName>
    <definedName name="м26" localSheetId="11">'[12]2+'!$CU:$CV</definedName>
    <definedName name="м26" localSheetId="4">'[12]2+'!$CU:$CV</definedName>
    <definedName name="м26" localSheetId="8">'[12]2+'!$CU:$CV</definedName>
    <definedName name="м26" localSheetId="14">'[12]2+'!$CU:$CV</definedName>
    <definedName name="м26">'[4]2+'!$CU:$CV</definedName>
    <definedName name="м27" localSheetId="9">#REF!</definedName>
    <definedName name="м27" localSheetId="6">'[12]2+'!$CY:$CZ</definedName>
    <definedName name="м27" localSheetId="13">'[12]2+'!$CY:$CZ</definedName>
    <definedName name="м27" localSheetId="10">'[4]2+'!$CY:$CZ</definedName>
    <definedName name="м27" localSheetId="12">'[12]2+'!$CY:$CZ</definedName>
    <definedName name="м27" localSheetId="7">'[4]2+'!$CY:$CZ</definedName>
    <definedName name="м27" localSheetId="11">'[12]2+'!$CY:$CZ</definedName>
    <definedName name="м27" localSheetId="4">'[12]2+'!$CY:$CZ</definedName>
    <definedName name="м27" localSheetId="8">'[12]2+'!$CY:$CZ</definedName>
    <definedName name="м27" localSheetId="14">'[12]2+'!$CY:$CZ</definedName>
    <definedName name="м27">'[4]2+'!$CY:$CZ</definedName>
    <definedName name="м28" localSheetId="9">#REF!</definedName>
    <definedName name="м28" localSheetId="6">'[12]2+'!$DC:$DD</definedName>
    <definedName name="м28" localSheetId="13">'[12]2+'!$DC:$DD</definedName>
    <definedName name="м28" localSheetId="10">'[4]2+'!$DC:$DD</definedName>
    <definedName name="м28" localSheetId="12">'[12]2+'!$DC:$DD</definedName>
    <definedName name="м28" localSheetId="7">'[4]2+'!$DC:$DD</definedName>
    <definedName name="м28" localSheetId="11">'[12]2+'!$DC:$DD</definedName>
    <definedName name="м28" localSheetId="4">'[12]2+'!$DC:$DD</definedName>
    <definedName name="м28" localSheetId="8">'[12]2+'!$DC:$DD</definedName>
    <definedName name="м28" localSheetId="14">'[12]2+'!$DC:$DD</definedName>
    <definedName name="м28">'[4]2+'!$DC:$DD</definedName>
    <definedName name="м29" localSheetId="9">#REF!</definedName>
    <definedName name="м29" localSheetId="6">'[12]2+'!$DG:$DH</definedName>
    <definedName name="м29" localSheetId="13">'[12]2+'!$DG:$DH</definedName>
    <definedName name="м29" localSheetId="10">'[4]2+'!$DG:$DH</definedName>
    <definedName name="м29" localSheetId="12">'[12]2+'!$DG:$DH</definedName>
    <definedName name="м29" localSheetId="7">'[4]2+'!$DG:$DH</definedName>
    <definedName name="м29" localSheetId="11">'[12]2+'!$DG:$DH</definedName>
    <definedName name="м29" localSheetId="4">'[12]2+'!$DG:$DH</definedName>
    <definedName name="м29" localSheetId="8">'[12]2+'!$DG:$DH</definedName>
    <definedName name="м29" localSheetId="14">'[12]2+'!$DG:$DH</definedName>
    <definedName name="м29">'[4]2+'!$DG:$DH</definedName>
    <definedName name="м3" localSheetId="9">#REF!</definedName>
    <definedName name="м3" localSheetId="6">'[12]2+'!$G:$H</definedName>
    <definedName name="м3" localSheetId="13">'[12]2+'!$G:$H</definedName>
    <definedName name="м3" localSheetId="10">'[4]2+'!$G:$H</definedName>
    <definedName name="м3" localSheetId="12">'[12]2+'!$G:$H</definedName>
    <definedName name="м3" localSheetId="7">'[4]2+'!$G:$H</definedName>
    <definedName name="м3" localSheetId="11">'[12]2+'!$G:$H</definedName>
    <definedName name="м3" localSheetId="4">'[12]2+'!$G:$H</definedName>
    <definedName name="м3" localSheetId="8">'[12]2+'!$G:$H</definedName>
    <definedName name="м3" localSheetId="14">'[12]2+'!$G:$H</definedName>
    <definedName name="м3">'[4]2+'!$G:$H</definedName>
    <definedName name="м30" localSheetId="9">#REF!</definedName>
    <definedName name="м30" localSheetId="6">'[12]2+'!$DK:$DL</definedName>
    <definedName name="м30" localSheetId="13">'[12]2+'!$DK:$DL</definedName>
    <definedName name="м30" localSheetId="10">'[4]2+'!$DK:$DL</definedName>
    <definedName name="м30" localSheetId="12">'[12]2+'!$DK:$DL</definedName>
    <definedName name="м30" localSheetId="7">'[4]2+'!$DK:$DL</definedName>
    <definedName name="м30" localSheetId="11">'[12]2+'!$DK:$DL</definedName>
    <definedName name="м30" localSheetId="4">'[12]2+'!$DK:$DL</definedName>
    <definedName name="м30" localSheetId="8">'[12]2+'!$DK:$DL</definedName>
    <definedName name="м30" localSheetId="14">'[12]2+'!$DK:$DL</definedName>
    <definedName name="м30">'[4]2+'!$DK:$DL</definedName>
    <definedName name="м31" localSheetId="9">#REF!</definedName>
    <definedName name="м31" localSheetId="6">'[12]2+'!$DO:$DP</definedName>
    <definedName name="м31" localSheetId="13">'[12]2+'!$DO:$DP</definedName>
    <definedName name="м31" localSheetId="10">'[4]2+'!$DO:$DP</definedName>
    <definedName name="м31" localSheetId="12">'[12]2+'!$DO:$DP</definedName>
    <definedName name="м31" localSheetId="7">'[4]2+'!$DO:$DP</definedName>
    <definedName name="м31" localSheetId="11">'[12]2+'!$DO:$DP</definedName>
    <definedName name="м31" localSheetId="4">'[12]2+'!$DO:$DP</definedName>
    <definedName name="м31" localSheetId="8">'[12]2+'!$DO:$DP</definedName>
    <definedName name="м31" localSheetId="14">'[12]2+'!$DO:$DP</definedName>
    <definedName name="м31">'[4]2+'!$DO:$DP</definedName>
    <definedName name="м32" localSheetId="9">#REF!</definedName>
    <definedName name="м32" localSheetId="6">'[12]2+'!$DS:$DT</definedName>
    <definedName name="м32" localSheetId="13">'[12]2+'!$DS:$DT</definedName>
    <definedName name="м32" localSheetId="10">'[4]2+'!$DS:$DT</definedName>
    <definedName name="м32" localSheetId="12">'[12]2+'!$DS:$DT</definedName>
    <definedName name="м32" localSheetId="7">'[4]2+'!$DS:$DT</definedName>
    <definedName name="м32" localSheetId="11">'[12]2+'!$DS:$DT</definedName>
    <definedName name="м32" localSheetId="4">'[12]2+'!$DS:$DT</definedName>
    <definedName name="м32" localSheetId="8">'[12]2+'!$DS:$DT</definedName>
    <definedName name="м32" localSheetId="14">'[12]2+'!$DS:$DT</definedName>
    <definedName name="м32">'[4]2+'!$DS:$DT</definedName>
    <definedName name="м33" localSheetId="9">#REF!</definedName>
    <definedName name="м33" localSheetId="6">'[12]2+'!$DW:$DX</definedName>
    <definedName name="м33" localSheetId="13">'[12]2+'!$DW:$DX</definedName>
    <definedName name="м33" localSheetId="10">'[4]2+'!$DW:$DX</definedName>
    <definedName name="м33" localSheetId="12">'[12]2+'!$DW:$DX</definedName>
    <definedName name="м33" localSheetId="7">'[4]2+'!$DW:$DX</definedName>
    <definedName name="м33" localSheetId="11">'[12]2+'!$DW:$DX</definedName>
    <definedName name="м33" localSheetId="4">'[12]2+'!$DW:$DX</definedName>
    <definedName name="м33" localSheetId="8">'[12]2+'!$DW:$DX</definedName>
    <definedName name="м33" localSheetId="14">'[12]2+'!$DW:$DX</definedName>
    <definedName name="м33">'[4]2+'!$DW:$DX</definedName>
    <definedName name="м34" localSheetId="9">#REF!</definedName>
    <definedName name="м34" localSheetId="6">'[12]2+'!$EA:$EB</definedName>
    <definedName name="м34" localSheetId="13">'[12]2+'!$EA:$EB</definedName>
    <definedName name="м34" localSheetId="10">'[4]2+'!$EA:$EB</definedName>
    <definedName name="м34" localSheetId="12">'[12]2+'!$EA:$EB</definedName>
    <definedName name="м34" localSheetId="7">'[4]2+'!$EA:$EB</definedName>
    <definedName name="м34" localSheetId="11">'[12]2+'!$EA:$EB</definedName>
    <definedName name="м34" localSheetId="4">'[12]2+'!$EA:$EB</definedName>
    <definedName name="м34" localSheetId="8">'[12]2+'!$EA:$EB</definedName>
    <definedName name="м34" localSheetId="14">'[12]2+'!$EA:$EB</definedName>
    <definedName name="м34">'[4]2+'!$EA:$EB</definedName>
    <definedName name="м35" localSheetId="9">#REF!</definedName>
    <definedName name="м35" localSheetId="6">'[12]2+'!$EE:$EF</definedName>
    <definedName name="м35" localSheetId="13">'[12]2+'!$EE:$EF</definedName>
    <definedName name="м35" localSheetId="10">'[4]2+'!$EE:$EF</definedName>
    <definedName name="м35" localSheetId="12">'[12]2+'!$EE:$EF</definedName>
    <definedName name="м35" localSheetId="7">'[4]2+'!$EE:$EF</definedName>
    <definedName name="м35" localSheetId="11">'[12]2+'!$EE:$EF</definedName>
    <definedName name="м35" localSheetId="4">'[12]2+'!$EE:$EF</definedName>
    <definedName name="м35" localSheetId="8">'[12]2+'!$EE:$EF</definedName>
    <definedName name="м35" localSheetId="14">'[12]2+'!$EE:$EF</definedName>
    <definedName name="м35">'[4]2+'!$EE:$EF</definedName>
    <definedName name="м36" localSheetId="9">#REF!</definedName>
    <definedName name="м36" localSheetId="6">'[12]2+'!$EI:$EJ</definedName>
    <definedName name="м36" localSheetId="13">'[12]2+'!$EI:$EJ</definedName>
    <definedName name="м36" localSheetId="10">'[4]2+'!$EI:$EJ</definedName>
    <definedName name="м36" localSheetId="12">'[12]2+'!$EI:$EJ</definedName>
    <definedName name="м36" localSheetId="7">'[4]2+'!$EI:$EJ</definedName>
    <definedName name="м36" localSheetId="11">'[12]2+'!$EI:$EJ</definedName>
    <definedName name="м36" localSheetId="4">'[12]2+'!$EI:$EJ</definedName>
    <definedName name="м36" localSheetId="8">'[12]2+'!$EI:$EJ</definedName>
    <definedName name="м36" localSheetId="14">'[12]2+'!$EI:$EJ</definedName>
    <definedName name="м36">'[4]2+'!$EI:$EJ</definedName>
    <definedName name="м37" localSheetId="9">#REF!</definedName>
    <definedName name="м37" localSheetId="6">'[12]2+'!$EM:$EN</definedName>
    <definedName name="м37" localSheetId="13">'[12]2+'!$EM:$EN</definedName>
    <definedName name="м37" localSheetId="10">'[4]2+'!$EM:$EN</definedName>
    <definedName name="м37" localSheetId="12">'[12]2+'!$EM:$EN</definedName>
    <definedName name="м37" localSheetId="7">'[4]2+'!$EM:$EN</definedName>
    <definedName name="м37" localSheetId="11">'[12]2+'!$EM:$EN</definedName>
    <definedName name="м37" localSheetId="4">'[12]2+'!$EM:$EN</definedName>
    <definedName name="м37" localSheetId="8">'[12]2+'!$EM:$EN</definedName>
    <definedName name="м37" localSheetId="14">'[12]2+'!$EM:$EN</definedName>
    <definedName name="м37">'[4]2+'!$EM:$EN</definedName>
    <definedName name="м38" localSheetId="9">#REF!</definedName>
    <definedName name="м38" localSheetId="6">'[12]2+'!$EQ:$ER</definedName>
    <definedName name="м38" localSheetId="13">'[12]2+'!$EQ:$ER</definedName>
    <definedName name="м38" localSheetId="10">'[4]2+'!$EQ:$ER</definedName>
    <definedName name="м38" localSheetId="12">'[12]2+'!$EQ:$ER</definedName>
    <definedName name="м38" localSheetId="7">'[4]2+'!$EQ:$ER</definedName>
    <definedName name="м38" localSheetId="11">'[12]2+'!$EQ:$ER</definedName>
    <definedName name="м38" localSheetId="4">'[12]2+'!$EQ:$ER</definedName>
    <definedName name="м38" localSheetId="8">'[12]2+'!$EQ:$ER</definedName>
    <definedName name="м38" localSheetId="14">'[12]2+'!$EQ:$ER</definedName>
    <definedName name="м38">'[4]2+'!$EQ:$ER</definedName>
    <definedName name="м39" localSheetId="9">#REF!</definedName>
    <definedName name="м39" localSheetId="6">'[12]2+'!$EU:$EV</definedName>
    <definedName name="м39" localSheetId="13">'[12]2+'!$EU:$EV</definedName>
    <definedName name="м39" localSheetId="10">'[4]2+'!$EU:$EV</definedName>
    <definedName name="м39" localSheetId="12">'[12]2+'!$EU:$EV</definedName>
    <definedName name="м39" localSheetId="7">'[4]2+'!$EU:$EV</definedName>
    <definedName name="м39" localSheetId="11">'[12]2+'!$EU:$EV</definedName>
    <definedName name="м39" localSheetId="4">'[12]2+'!$EU:$EV</definedName>
    <definedName name="м39" localSheetId="8">'[12]2+'!$EU:$EV</definedName>
    <definedName name="м39" localSheetId="14">'[12]2+'!$EU:$EV</definedName>
    <definedName name="м39">'[4]2+'!$EU:$EV</definedName>
    <definedName name="м4" localSheetId="9">#REF!</definedName>
    <definedName name="м4" localSheetId="6">'[12]2+'!$K:$L</definedName>
    <definedName name="м4" localSheetId="13">'[12]2+'!$K:$L</definedName>
    <definedName name="м4" localSheetId="10">'[4]2+'!$K:$L</definedName>
    <definedName name="м4" localSheetId="12">'[12]2+'!$K:$L</definedName>
    <definedName name="м4" localSheetId="7">'[4]2+'!$K:$L</definedName>
    <definedName name="м4" localSheetId="11">'[12]2+'!$K:$L</definedName>
    <definedName name="м4" localSheetId="4">'[12]2+'!$K:$L</definedName>
    <definedName name="м4" localSheetId="8">'[12]2+'!$K:$L</definedName>
    <definedName name="м4" localSheetId="14">'[12]2+'!$K:$L</definedName>
    <definedName name="м4">'[4]2+'!$K:$L</definedName>
    <definedName name="м40" localSheetId="9">#REF!</definedName>
    <definedName name="м40" localSheetId="6">'[12]2+'!$EY:$EZ</definedName>
    <definedName name="м40" localSheetId="13">'[12]2+'!$EY:$EZ</definedName>
    <definedName name="м40" localSheetId="10">'[4]2+'!$EY:$EZ</definedName>
    <definedName name="м40" localSheetId="12">'[12]2+'!$EY:$EZ</definedName>
    <definedName name="м40" localSheetId="7">'[4]2+'!$EY:$EZ</definedName>
    <definedName name="м40" localSheetId="11">'[12]2+'!$EY:$EZ</definedName>
    <definedName name="м40" localSheetId="4">'[12]2+'!$EY:$EZ</definedName>
    <definedName name="м40" localSheetId="8">'[12]2+'!$EY:$EZ</definedName>
    <definedName name="м40" localSheetId="14">'[12]2+'!$EY:$EZ</definedName>
    <definedName name="м40">'[4]2+'!$EY:$EZ</definedName>
    <definedName name="м41" localSheetId="9">#REF!</definedName>
    <definedName name="м41" localSheetId="6">'[12]2+'!$FC:$FD</definedName>
    <definedName name="м41" localSheetId="13">'[12]2+'!$FC:$FD</definedName>
    <definedName name="м41" localSheetId="10">'[4]2+'!$FC:$FD</definedName>
    <definedName name="м41" localSheetId="12">'[12]2+'!$FC:$FD</definedName>
    <definedName name="м41" localSheetId="7">'[4]2+'!$FC:$FD</definedName>
    <definedName name="м41" localSheetId="11">'[12]2+'!$FC:$FD</definedName>
    <definedName name="м41" localSheetId="4">'[12]2+'!$FC:$FD</definedName>
    <definedName name="м41" localSheetId="8">'[12]2+'!$FC:$FD</definedName>
    <definedName name="м41" localSheetId="14">'[12]2+'!$FC:$FD</definedName>
    <definedName name="м41">'[4]2+'!$FC:$FD</definedName>
    <definedName name="м42" localSheetId="9">#REF!</definedName>
    <definedName name="м42" localSheetId="6">'[12]2+'!$FG:$FH</definedName>
    <definedName name="м42" localSheetId="13">'[12]2+'!$FG:$FH</definedName>
    <definedName name="м42" localSheetId="10">'[4]2+'!$FG:$FH</definedName>
    <definedName name="м42" localSheetId="12">'[12]2+'!$FG:$FH</definedName>
    <definedName name="м42" localSheetId="7">'[4]2+'!$FG:$FH</definedName>
    <definedName name="м42" localSheetId="11">'[12]2+'!$FG:$FH</definedName>
    <definedName name="м42" localSheetId="4">'[12]2+'!$FG:$FH</definedName>
    <definedName name="м42" localSheetId="8">'[12]2+'!$FG:$FH</definedName>
    <definedName name="м42" localSheetId="14">'[12]2+'!$FG:$FH</definedName>
    <definedName name="м42">'[4]2+'!$FG:$FH</definedName>
    <definedName name="м43" localSheetId="9">#REF!</definedName>
    <definedName name="м43" localSheetId="6">'[12]2+'!$FK:$FL</definedName>
    <definedName name="м43" localSheetId="13">'[12]2+'!$FK:$FL</definedName>
    <definedName name="м43" localSheetId="10">'[4]2+'!$FK:$FL</definedName>
    <definedName name="м43" localSheetId="12">'[12]2+'!$FK:$FL</definedName>
    <definedName name="м43" localSheetId="7">'[4]2+'!$FK:$FL</definedName>
    <definedName name="м43" localSheetId="11">'[12]2+'!$FK:$FL</definedName>
    <definedName name="м43" localSheetId="4">'[12]2+'!$FK:$FL</definedName>
    <definedName name="м43" localSheetId="8">'[12]2+'!$FK:$FL</definedName>
    <definedName name="м43" localSheetId="14">'[12]2+'!$FK:$FL</definedName>
    <definedName name="м43">'[4]2+'!$FK:$FL</definedName>
    <definedName name="м44" localSheetId="9">#REF!</definedName>
    <definedName name="м44" localSheetId="6">'[12]2+'!$FO:$FP</definedName>
    <definedName name="м44" localSheetId="13">'[12]2+'!$FO:$FP</definedName>
    <definedName name="м44" localSheetId="10">'[4]2+'!$FO:$FP</definedName>
    <definedName name="м44" localSheetId="12">'[12]2+'!$FO:$FP</definedName>
    <definedName name="м44" localSheetId="7">'[4]2+'!$FO:$FP</definedName>
    <definedName name="м44" localSheetId="11">'[12]2+'!$FO:$FP</definedName>
    <definedName name="м44" localSheetId="4">'[12]2+'!$FO:$FP</definedName>
    <definedName name="м44" localSheetId="8">'[12]2+'!$FO:$FP</definedName>
    <definedName name="м44" localSheetId="14">'[12]2+'!$FO:$FP</definedName>
    <definedName name="м44">'[4]2+'!$FO:$FP</definedName>
    <definedName name="м45" localSheetId="9">#REF!</definedName>
    <definedName name="м45" localSheetId="6">'[12]2+'!$FS:$FT</definedName>
    <definedName name="м45" localSheetId="13">'[12]2+'!$FS:$FT</definedName>
    <definedName name="м45" localSheetId="10">'[4]2+'!$FS:$FT</definedName>
    <definedName name="м45" localSheetId="12">'[12]2+'!$FS:$FT</definedName>
    <definedName name="м45" localSheetId="7">'[4]2+'!$FS:$FT</definedName>
    <definedName name="м45" localSheetId="11">'[12]2+'!$FS:$FT</definedName>
    <definedName name="м45" localSheetId="4">'[12]2+'!$FS:$FT</definedName>
    <definedName name="м45" localSheetId="8">'[12]2+'!$FS:$FT</definedName>
    <definedName name="м45" localSheetId="14">'[12]2+'!$FS:$FT</definedName>
    <definedName name="м45">'[4]2+'!$FS:$FT</definedName>
    <definedName name="м46" localSheetId="9">#REF!</definedName>
    <definedName name="м46" localSheetId="6">'[12]2+'!$FW:$FX</definedName>
    <definedName name="м46" localSheetId="13">'[12]2+'!$FW:$FX</definedName>
    <definedName name="м46" localSheetId="10">'[4]2+'!$FW:$FX</definedName>
    <definedName name="м46" localSheetId="12">'[12]2+'!$FW:$FX</definedName>
    <definedName name="м46" localSheetId="7">'[4]2+'!$FW:$FX</definedName>
    <definedName name="м46" localSheetId="11">'[12]2+'!$FW:$FX</definedName>
    <definedName name="м46" localSheetId="4">'[12]2+'!$FW:$FX</definedName>
    <definedName name="м46" localSheetId="8">'[12]2+'!$FW:$FX</definedName>
    <definedName name="м46" localSheetId="14">'[12]2+'!$FW:$FX</definedName>
    <definedName name="м46">'[4]2+'!$FW:$FX</definedName>
    <definedName name="м47" localSheetId="9">#REF!</definedName>
    <definedName name="м47" localSheetId="6">'[12]2+'!$GA:$GB</definedName>
    <definedName name="м47" localSheetId="13">'[12]2+'!$GA:$GB</definedName>
    <definedName name="м47" localSheetId="10">'[4]2+'!$GA:$GB</definedName>
    <definedName name="м47" localSheetId="12">'[12]2+'!$GA:$GB</definedName>
    <definedName name="м47" localSheetId="7">'[4]2+'!$GA:$GB</definedName>
    <definedName name="м47" localSheetId="11">'[12]2+'!$GA:$GB</definedName>
    <definedName name="м47" localSheetId="4">'[12]2+'!$GA:$GB</definedName>
    <definedName name="м47" localSheetId="8">'[12]2+'!$GA:$GB</definedName>
    <definedName name="м47" localSheetId="14">'[12]2+'!$GA:$GB</definedName>
    <definedName name="м47">'[4]2+'!$GA:$GB</definedName>
    <definedName name="м48" localSheetId="9">#REF!</definedName>
    <definedName name="м48" localSheetId="6">'[12]2+'!$GE:$GF</definedName>
    <definedName name="м48" localSheetId="13">'[12]2+'!$GE:$GF</definedName>
    <definedName name="м48" localSheetId="10">'[4]2+'!$GE:$GF</definedName>
    <definedName name="м48" localSheetId="12">'[12]2+'!$GE:$GF</definedName>
    <definedName name="м48" localSheetId="7">'[4]2+'!$GE:$GF</definedName>
    <definedName name="м48" localSheetId="11">'[12]2+'!$GE:$GF</definedName>
    <definedName name="м48" localSheetId="4">'[12]2+'!$GE:$GF</definedName>
    <definedName name="м48" localSheetId="8">'[12]2+'!$GE:$GF</definedName>
    <definedName name="м48" localSheetId="14">'[12]2+'!$GE:$GF</definedName>
    <definedName name="м48">'[4]2+'!$GE:$GF</definedName>
    <definedName name="м49" localSheetId="9">#REF!</definedName>
    <definedName name="м49" localSheetId="6">'[12]2+'!$GI:$GJ</definedName>
    <definedName name="м49" localSheetId="13">'[12]2+'!$GI:$GJ</definedName>
    <definedName name="м49" localSheetId="10">'[4]2+'!$GI:$GJ</definedName>
    <definedName name="м49" localSheetId="12">'[12]2+'!$GI:$GJ</definedName>
    <definedName name="м49" localSheetId="7">'[4]2+'!$GI:$GJ</definedName>
    <definedName name="м49" localSheetId="11">'[12]2+'!$GI:$GJ</definedName>
    <definedName name="м49" localSheetId="4">'[12]2+'!$GI:$GJ</definedName>
    <definedName name="м49" localSheetId="8">'[12]2+'!$GI:$GJ</definedName>
    <definedName name="м49" localSheetId="14">'[12]2+'!$GI:$GJ</definedName>
    <definedName name="м49">'[4]2+'!$GI:$GJ</definedName>
    <definedName name="м5" localSheetId="9">#REF!</definedName>
    <definedName name="м5" localSheetId="6">'[12]2+'!$O:$P</definedName>
    <definedName name="м5" localSheetId="13">'[12]2+'!$O:$P</definedName>
    <definedName name="м5" localSheetId="10">'[4]2+'!$O:$P</definedName>
    <definedName name="м5" localSheetId="12">'[12]2+'!$O:$P</definedName>
    <definedName name="м5" localSheetId="7">'[4]2+'!$O:$P</definedName>
    <definedName name="м5" localSheetId="11">'[12]2+'!$O:$P</definedName>
    <definedName name="м5" localSheetId="4">'[12]2+'!$O:$P</definedName>
    <definedName name="м5" localSheetId="8">'[12]2+'!$O:$P</definedName>
    <definedName name="м5" localSheetId="14">'[12]2+'!$O:$P</definedName>
    <definedName name="м5">'[4]2+'!$O:$P</definedName>
    <definedName name="м50" localSheetId="9">#REF!</definedName>
    <definedName name="м50" localSheetId="6">'[12]2+'!$GM:$GN</definedName>
    <definedName name="м50" localSheetId="13">'[12]2+'!$GM:$GN</definedName>
    <definedName name="м50" localSheetId="10">'[4]2+'!$GM:$GN</definedName>
    <definedName name="м50" localSheetId="12">'[12]2+'!$GM:$GN</definedName>
    <definedName name="м50" localSheetId="7">'[4]2+'!$GM:$GN</definedName>
    <definedName name="м50" localSheetId="11">'[12]2+'!$GM:$GN</definedName>
    <definedName name="м50" localSheetId="4">'[12]2+'!$GM:$GN</definedName>
    <definedName name="м50" localSheetId="8">'[12]2+'!$GM:$GN</definedName>
    <definedName name="м50" localSheetId="14">'[12]2+'!$GM:$GN</definedName>
    <definedName name="м50">'[4]2+'!$GM:$GN</definedName>
    <definedName name="м51" localSheetId="9">#REF!</definedName>
    <definedName name="м51" localSheetId="6">'[12]2+'!$GQ:$GR</definedName>
    <definedName name="м51" localSheetId="13">'[12]2+'!$GQ:$GR</definedName>
    <definedName name="м51" localSheetId="10">'[4]2+'!$GQ:$GR</definedName>
    <definedName name="м51" localSheetId="12">'[12]2+'!$GQ:$GR</definedName>
    <definedName name="м51" localSheetId="7">'[4]2+'!$GQ:$GR</definedName>
    <definedName name="м51" localSheetId="11">'[12]2+'!$GQ:$GR</definedName>
    <definedName name="м51" localSheetId="4">'[12]2+'!$GQ:$GR</definedName>
    <definedName name="м51" localSheetId="8">'[12]2+'!$GQ:$GR</definedName>
    <definedName name="м51" localSheetId="14">'[12]2+'!$GQ:$GR</definedName>
    <definedName name="м51">'[4]2+'!$GQ:$GR</definedName>
    <definedName name="м52" localSheetId="9">#REF!</definedName>
    <definedName name="м52" localSheetId="6">'[12]2+'!$GU:$GV</definedName>
    <definedName name="м52" localSheetId="13">'[12]2+'!$GU:$GV</definedName>
    <definedName name="м52" localSheetId="10">'[4]2+'!$GU:$GV</definedName>
    <definedName name="м52" localSheetId="12">'[12]2+'!$GU:$GV</definedName>
    <definedName name="м52" localSheetId="7">'[4]2+'!$GU:$GV</definedName>
    <definedName name="м52" localSheetId="11">'[12]2+'!$GU:$GV</definedName>
    <definedName name="м52" localSheetId="4">'[12]2+'!$GU:$GV</definedName>
    <definedName name="м52" localSheetId="8">'[12]2+'!$GU:$GV</definedName>
    <definedName name="м52" localSheetId="14">'[12]2+'!$GU:$GV</definedName>
    <definedName name="м52">'[4]2+'!$GU:$GV</definedName>
    <definedName name="м53" localSheetId="9">#REF!</definedName>
    <definedName name="м53" localSheetId="6">'[12]2+'!$GY:$GZ</definedName>
    <definedName name="м53" localSheetId="13">'[12]2+'!$GY:$GZ</definedName>
    <definedName name="м53" localSheetId="10">'[4]2+'!$GY:$GZ</definedName>
    <definedName name="м53" localSheetId="12">'[12]2+'!$GY:$GZ</definedName>
    <definedName name="м53" localSheetId="7">'[4]2+'!$GY:$GZ</definedName>
    <definedName name="м53" localSheetId="11">'[12]2+'!$GY:$GZ</definedName>
    <definedName name="м53" localSheetId="4">'[12]2+'!$GY:$GZ</definedName>
    <definedName name="м53" localSheetId="8">'[12]2+'!$GY:$GZ</definedName>
    <definedName name="м53" localSheetId="14">'[12]2+'!$GY:$GZ</definedName>
    <definedName name="м53">'[4]2+'!$GY:$GZ</definedName>
    <definedName name="м54" localSheetId="9">#REF!</definedName>
    <definedName name="м54" localSheetId="6">'[12]2+'!$HC:$HD</definedName>
    <definedName name="м54" localSheetId="13">'[12]2+'!$HC:$HD</definedName>
    <definedName name="м54" localSheetId="10">'[4]2+'!$HC:$HD</definedName>
    <definedName name="м54" localSheetId="12">'[12]2+'!$HC:$HD</definedName>
    <definedName name="м54" localSheetId="7">'[4]2+'!$HC:$HD</definedName>
    <definedName name="м54" localSheetId="11">'[12]2+'!$HC:$HD</definedName>
    <definedName name="м54" localSheetId="4">'[12]2+'!$HC:$HD</definedName>
    <definedName name="м54" localSheetId="8">'[12]2+'!$HC:$HD</definedName>
    <definedName name="м54" localSheetId="14">'[12]2+'!$HC:$HD</definedName>
    <definedName name="м54">'[4]2+'!$HC:$HD</definedName>
    <definedName name="м55" localSheetId="9">#REF!</definedName>
    <definedName name="м55" localSheetId="6">'[12]2+'!$HG:$HH</definedName>
    <definedName name="м55" localSheetId="13">'[12]2+'!$HG:$HH</definedName>
    <definedName name="м55" localSheetId="10">'[4]2+'!$HG:$HH</definedName>
    <definedName name="м55" localSheetId="12">'[12]2+'!$HG:$HH</definedName>
    <definedName name="м55" localSheetId="7">'[4]2+'!$HG:$HH</definedName>
    <definedName name="м55" localSheetId="11">'[12]2+'!$HG:$HH</definedName>
    <definedName name="м55" localSheetId="4">'[12]2+'!$HG:$HH</definedName>
    <definedName name="м55" localSheetId="8">'[12]2+'!$HG:$HH</definedName>
    <definedName name="м55" localSheetId="14">'[12]2+'!$HG:$HH</definedName>
    <definedName name="м55">'[4]2+'!$HG:$HH</definedName>
    <definedName name="м56" localSheetId="9">#REF!</definedName>
    <definedName name="м56" localSheetId="6">'[12]2+'!$HK:$HL</definedName>
    <definedName name="м56" localSheetId="13">'[12]2+'!$HK:$HL</definedName>
    <definedName name="м56" localSheetId="10">'[4]2+'!$HK:$HL</definedName>
    <definedName name="м56" localSheetId="12">'[12]2+'!$HK:$HL</definedName>
    <definedName name="м56" localSheetId="7">'[4]2+'!$HK:$HL</definedName>
    <definedName name="м56" localSheetId="11">'[12]2+'!$HK:$HL</definedName>
    <definedName name="м56" localSheetId="4">'[12]2+'!$HK:$HL</definedName>
    <definedName name="м56" localSheetId="8">'[12]2+'!$HK:$HL</definedName>
    <definedName name="м56" localSheetId="14">'[12]2+'!$HK:$HL</definedName>
    <definedName name="м56">'[4]2+'!$HK:$HL</definedName>
    <definedName name="м57" localSheetId="9">#REF!</definedName>
    <definedName name="м57" localSheetId="6">'[12]2+'!$HO:$HP</definedName>
    <definedName name="м57" localSheetId="13">'[12]2+'!$HO:$HP</definedName>
    <definedName name="м57" localSheetId="10">'[4]2+'!$HO:$HP</definedName>
    <definedName name="м57" localSheetId="12">'[12]2+'!$HO:$HP</definedName>
    <definedName name="м57" localSheetId="7">'[4]2+'!$HO:$HP</definedName>
    <definedName name="м57" localSheetId="11">'[12]2+'!$HO:$HP</definedName>
    <definedName name="м57" localSheetId="4">'[12]2+'!$HO:$HP</definedName>
    <definedName name="м57" localSheetId="8">'[12]2+'!$HO:$HP</definedName>
    <definedName name="м57" localSheetId="14">'[12]2+'!$HO:$HP</definedName>
    <definedName name="м57">'[4]2+'!$HO:$HP</definedName>
    <definedName name="м58" localSheetId="9">#REF!</definedName>
    <definedName name="м58" localSheetId="6">'[12]2+'!$HS:$HT</definedName>
    <definedName name="м58" localSheetId="13">'[12]2+'!$HS:$HT</definedName>
    <definedName name="м58" localSheetId="10">'[4]2+'!$HS:$HT</definedName>
    <definedName name="м58" localSheetId="12">'[12]2+'!$HS:$HT</definedName>
    <definedName name="м58" localSheetId="7">'[4]2+'!$HS:$HT</definedName>
    <definedName name="м58" localSheetId="11">'[12]2+'!$HS:$HT</definedName>
    <definedName name="м58" localSheetId="4">'[12]2+'!$HS:$HT</definedName>
    <definedName name="м58" localSheetId="8">'[12]2+'!$HS:$HT</definedName>
    <definedName name="м58" localSheetId="14">'[12]2+'!$HS:$HT</definedName>
    <definedName name="м58">'[4]2+'!$HS:$HT</definedName>
    <definedName name="м59" localSheetId="9">#REF!</definedName>
    <definedName name="м59" localSheetId="6">'[12]2+'!$HW:$HX</definedName>
    <definedName name="м59" localSheetId="13">'[12]2+'!$HW:$HX</definedName>
    <definedName name="м59" localSheetId="10">'[4]2+'!$HW:$HX</definedName>
    <definedName name="м59" localSheetId="12">'[12]2+'!$HW:$HX</definedName>
    <definedName name="м59" localSheetId="7">'[4]2+'!$HW:$HX</definedName>
    <definedName name="м59" localSheetId="11">'[12]2+'!$HW:$HX</definedName>
    <definedName name="м59" localSheetId="4">'[12]2+'!$HW:$HX</definedName>
    <definedName name="м59" localSheetId="8">'[12]2+'!$HW:$HX</definedName>
    <definedName name="м59" localSheetId="14">'[12]2+'!$HW:$HX</definedName>
    <definedName name="м59">'[4]2+'!$HW:$HX</definedName>
    <definedName name="м6" localSheetId="9">#REF!</definedName>
    <definedName name="м6" localSheetId="6">'[12]2+'!$S:$T</definedName>
    <definedName name="м6" localSheetId="13">'[12]2+'!$S:$T</definedName>
    <definedName name="м6" localSheetId="10">'[4]2+'!$S:$T</definedName>
    <definedName name="м6" localSheetId="12">'[12]2+'!$S:$T</definedName>
    <definedName name="м6" localSheetId="7">'[4]2+'!$S:$T</definedName>
    <definedName name="м6" localSheetId="11">'[12]2+'!$S:$T</definedName>
    <definedName name="м6" localSheetId="4">'[12]2+'!$S:$T</definedName>
    <definedName name="м6" localSheetId="8">'[12]2+'!$S:$T</definedName>
    <definedName name="м6" localSheetId="14">'[12]2+'!$S:$T</definedName>
    <definedName name="м6">'[4]2+'!$S:$T</definedName>
    <definedName name="м60" localSheetId="9">#REF!</definedName>
    <definedName name="м60" localSheetId="6">'[12]2+'!$IA:$IB</definedName>
    <definedName name="м60" localSheetId="13">'[12]2+'!$IA:$IB</definedName>
    <definedName name="м60" localSheetId="10">'[4]2+'!$IA:$IB</definedName>
    <definedName name="м60" localSheetId="12">'[12]2+'!$IA:$IB</definedName>
    <definedName name="м60" localSheetId="7">'[4]2+'!$IA:$IB</definedName>
    <definedName name="м60" localSheetId="11">'[12]2+'!$IA:$IB</definedName>
    <definedName name="м60" localSheetId="4">'[12]2+'!$IA:$IB</definedName>
    <definedName name="м60" localSheetId="8">'[12]2+'!$IA:$IB</definedName>
    <definedName name="м60" localSheetId="14">'[12]2+'!$IA:$IB</definedName>
    <definedName name="м60">'[4]2+'!$IA:$IB</definedName>
    <definedName name="м61" localSheetId="9">#REF!</definedName>
    <definedName name="м61" localSheetId="6">'[12]2+'!$IE:$IF</definedName>
    <definedName name="м61" localSheetId="13">'[12]2+'!$IE:$IF</definedName>
    <definedName name="м61" localSheetId="10">'[4]2+'!$IE:$IF</definedName>
    <definedName name="м61" localSheetId="12">'[12]2+'!$IE:$IF</definedName>
    <definedName name="м61" localSheetId="7">'[4]2+'!$IE:$IF</definedName>
    <definedName name="м61" localSheetId="11">'[12]2+'!$IE:$IF</definedName>
    <definedName name="м61" localSheetId="4">'[12]2+'!$IE:$IF</definedName>
    <definedName name="м61" localSheetId="8">'[12]2+'!$IE:$IF</definedName>
    <definedName name="м61" localSheetId="14">'[12]2+'!$IE:$IF</definedName>
    <definedName name="м61">'[4]2+'!$IE:$IF</definedName>
    <definedName name="м62" localSheetId="9">#REF!</definedName>
    <definedName name="м62" localSheetId="6">'[12]2+'!$II:$IJ</definedName>
    <definedName name="м62" localSheetId="13">'[12]2+'!$II:$IJ</definedName>
    <definedName name="м62" localSheetId="10">'[4]2+'!$II:$IJ</definedName>
    <definedName name="м62" localSheetId="12">'[12]2+'!$II:$IJ</definedName>
    <definedName name="м62" localSheetId="7">'[4]2+'!$II:$IJ</definedName>
    <definedName name="м62" localSheetId="11">'[12]2+'!$II:$IJ</definedName>
    <definedName name="м62" localSheetId="4">'[12]2+'!$II:$IJ</definedName>
    <definedName name="м62" localSheetId="8">'[12]2+'!$II:$IJ</definedName>
    <definedName name="м62" localSheetId="14">'[12]2+'!$II:$IJ</definedName>
    <definedName name="м62">'[4]2+'!$II:$IJ</definedName>
    <definedName name="м63" localSheetId="9">#REF!</definedName>
    <definedName name="м63" localSheetId="6">'[12]2+'!$IM:$IN</definedName>
    <definedName name="м63" localSheetId="13">'[12]2+'!$IM:$IN</definedName>
    <definedName name="м63" localSheetId="10">'[4]2+'!$IM:$IN</definedName>
    <definedName name="м63" localSheetId="12">'[12]2+'!$IM:$IN</definedName>
    <definedName name="м63" localSheetId="7">'[4]2+'!$IM:$IN</definedName>
    <definedName name="м63" localSheetId="11">'[12]2+'!$IM:$IN</definedName>
    <definedName name="м63" localSheetId="4">'[12]2+'!$IM:$IN</definedName>
    <definedName name="м63" localSheetId="8">'[12]2+'!$IM:$IN</definedName>
    <definedName name="м63" localSheetId="14">'[12]2+'!$IM:$IN</definedName>
    <definedName name="м63">'[4]2+'!$IM:$IN</definedName>
    <definedName name="м64" localSheetId="9">#REF!</definedName>
    <definedName name="м64" localSheetId="6">'[12]2+'!$IQ:$IR</definedName>
    <definedName name="м64" localSheetId="13">'[12]2+'!$IQ:$IR</definedName>
    <definedName name="м64" localSheetId="10">'[4]2+'!$IQ:$IR</definedName>
    <definedName name="м64" localSheetId="12">'[12]2+'!$IQ:$IR</definedName>
    <definedName name="м64" localSheetId="7">'[4]2+'!$IQ:$IR</definedName>
    <definedName name="м64" localSheetId="11">'[12]2+'!$IQ:$IR</definedName>
    <definedName name="м64" localSheetId="4">'[12]2+'!$IQ:$IR</definedName>
    <definedName name="м64" localSheetId="8">'[12]2+'!$IQ:$IR</definedName>
    <definedName name="м64" localSheetId="14">'[12]2+'!$IQ:$IR</definedName>
    <definedName name="м64">'[4]2+'!$IQ:$IR</definedName>
    <definedName name="м65" localSheetId="9">#REF!</definedName>
    <definedName name="м65" localSheetId="6">'[12]2+'!$IU:$IV</definedName>
    <definedName name="м65" localSheetId="13">'[12]2+'!$IU:$IV</definedName>
    <definedName name="м65" localSheetId="10">'[4]2+'!$IU:$IV</definedName>
    <definedName name="м65" localSheetId="12">'[12]2+'!$IU:$IV</definedName>
    <definedName name="м65" localSheetId="7">'[4]2+'!$IU:$IV</definedName>
    <definedName name="м65" localSheetId="11">'[12]2+'!$IU:$IV</definedName>
    <definedName name="м65" localSheetId="4">'[12]2+'!$IU:$IV</definedName>
    <definedName name="м65" localSheetId="8">'[12]2+'!$IU:$IV</definedName>
    <definedName name="м65" localSheetId="14">'[12]2+'!$IU:$IV</definedName>
    <definedName name="м65">'[4]2+'!$IU:$IV</definedName>
    <definedName name="м66" localSheetId="9">#REF!</definedName>
    <definedName name="м66" localSheetId="6">'[12]2+'!$IY:$IZ</definedName>
    <definedName name="м66" localSheetId="13">'[12]2+'!$IY:$IZ</definedName>
    <definedName name="м66" localSheetId="10">'[4]2+'!$IY:$IZ</definedName>
    <definedName name="м66" localSheetId="12">'[12]2+'!$IY:$IZ</definedName>
    <definedName name="м66" localSheetId="7">'[4]2+'!$IY:$IZ</definedName>
    <definedName name="м66" localSheetId="11">'[12]2+'!$IY:$IZ</definedName>
    <definedName name="м66" localSheetId="4">'[12]2+'!$IY:$IZ</definedName>
    <definedName name="м66" localSheetId="8">'[12]2+'!$IY:$IZ</definedName>
    <definedName name="м66" localSheetId="14">'[12]2+'!$IY:$IZ</definedName>
    <definedName name="м66">'[4]2+'!$IY:$IZ</definedName>
    <definedName name="м67" localSheetId="9">#REF!</definedName>
    <definedName name="м67" localSheetId="6">'[12]2+'!$JC:$JD</definedName>
    <definedName name="м67" localSheetId="13">'[12]2+'!$JC:$JD</definedName>
    <definedName name="м67" localSheetId="10">'[4]2+'!$JC:$JD</definedName>
    <definedName name="м67" localSheetId="12">'[12]2+'!$JC:$JD</definedName>
    <definedName name="м67" localSheetId="7">'[4]2+'!$JC:$JD</definedName>
    <definedName name="м67" localSheetId="11">'[12]2+'!$JC:$JD</definedName>
    <definedName name="м67" localSheetId="4">'[12]2+'!$JC:$JD</definedName>
    <definedName name="м67" localSheetId="8">'[12]2+'!$JC:$JD</definedName>
    <definedName name="м67" localSheetId="14">'[12]2+'!$JC:$JD</definedName>
    <definedName name="м67">'[4]2+'!$JC:$JD</definedName>
    <definedName name="м68" localSheetId="9">#REF!</definedName>
    <definedName name="м68" localSheetId="6">'[12]2+'!$JG:$JH</definedName>
    <definedName name="м68" localSheetId="13">'[12]2+'!$JG:$JH</definedName>
    <definedName name="м68" localSheetId="10">'[4]2+'!$JG:$JH</definedName>
    <definedName name="м68" localSheetId="12">'[12]2+'!$JG:$JH</definedName>
    <definedName name="м68" localSheetId="7">'[4]2+'!$JG:$JH</definedName>
    <definedName name="м68" localSheetId="11">'[12]2+'!$JG:$JH</definedName>
    <definedName name="м68" localSheetId="4">'[12]2+'!$JG:$JH</definedName>
    <definedName name="м68" localSheetId="8">'[12]2+'!$JG:$JH</definedName>
    <definedName name="м68" localSheetId="14">'[12]2+'!$JG:$JH</definedName>
    <definedName name="м68">'[4]2+'!$JG:$JH</definedName>
    <definedName name="м69" localSheetId="9">#REF!</definedName>
    <definedName name="м69" localSheetId="6">'[12]2+'!$JK:$JL</definedName>
    <definedName name="м69" localSheetId="13">'[12]2+'!$JK:$JL</definedName>
    <definedName name="м69" localSheetId="10">'[4]2+'!$JK:$JL</definedName>
    <definedName name="м69" localSheetId="12">'[12]2+'!$JK:$JL</definedName>
    <definedName name="м69" localSheetId="7">'[4]2+'!$JK:$JL</definedName>
    <definedName name="м69" localSheetId="11">'[12]2+'!$JK:$JL</definedName>
    <definedName name="м69" localSheetId="4">'[12]2+'!$JK:$JL</definedName>
    <definedName name="м69" localSheetId="8">'[12]2+'!$JK:$JL</definedName>
    <definedName name="м69" localSheetId="14">'[12]2+'!$JK:$JL</definedName>
    <definedName name="м69">'[4]2+'!$JK:$JL</definedName>
    <definedName name="м7" localSheetId="9">#REF!</definedName>
    <definedName name="м7" localSheetId="6">'[12]2+'!$W:$X</definedName>
    <definedName name="м7" localSheetId="13">'[12]2+'!$W:$X</definedName>
    <definedName name="м7" localSheetId="10">'[4]2+'!$W:$X</definedName>
    <definedName name="м7" localSheetId="12">'[12]2+'!$W:$X</definedName>
    <definedName name="м7" localSheetId="7">'[4]2+'!$W:$X</definedName>
    <definedName name="м7" localSheetId="11">'[12]2+'!$W:$X</definedName>
    <definedName name="м7" localSheetId="4">'[12]2+'!$W:$X</definedName>
    <definedName name="м7" localSheetId="8">'[12]2+'!$W:$X</definedName>
    <definedName name="м7" localSheetId="14">'[12]2+'!$W:$X</definedName>
    <definedName name="м7">'[4]2+'!$W:$X</definedName>
    <definedName name="м70" localSheetId="9">#REF!</definedName>
    <definedName name="м70" localSheetId="6">'[12]2+'!$JO:$JP</definedName>
    <definedName name="м70" localSheetId="13">'[12]2+'!$JO:$JP</definedName>
    <definedName name="м70" localSheetId="10">'[4]2+'!$JO:$JP</definedName>
    <definedName name="м70" localSheetId="12">'[12]2+'!$JO:$JP</definedName>
    <definedName name="м70" localSheetId="7">'[4]2+'!$JO:$JP</definedName>
    <definedName name="м70" localSheetId="11">'[12]2+'!$JO:$JP</definedName>
    <definedName name="м70" localSheetId="4">'[12]2+'!$JO:$JP</definedName>
    <definedName name="м70" localSheetId="8">'[12]2+'!$JO:$JP</definedName>
    <definedName name="м70" localSheetId="14">'[12]2+'!$JO:$JP</definedName>
    <definedName name="м70">'[4]2+'!$JO:$JP</definedName>
    <definedName name="м71" localSheetId="9">#REF!</definedName>
    <definedName name="м71" localSheetId="6">'[12]2+'!$JS:$JT</definedName>
    <definedName name="м71" localSheetId="13">'[12]2+'!$JS:$JT</definedName>
    <definedName name="м71" localSheetId="10">'[4]2+'!$JS:$JT</definedName>
    <definedName name="м71" localSheetId="12">'[12]2+'!$JS:$JT</definedName>
    <definedName name="м71" localSheetId="7">'[4]2+'!$JS:$JT</definedName>
    <definedName name="м71" localSheetId="11">'[12]2+'!$JS:$JT</definedName>
    <definedName name="м71" localSheetId="4">'[12]2+'!$JS:$JT</definedName>
    <definedName name="м71" localSheetId="8">'[12]2+'!$JS:$JT</definedName>
    <definedName name="м71" localSheetId="14">'[12]2+'!$JS:$JT</definedName>
    <definedName name="м71">'[4]2+'!$JS:$JT</definedName>
    <definedName name="м72" localSheetId="9">#REF!</definedName>
    <definedName name="м72" localSheetId="6">'[12]2+'!$JW:$JX</definedName>
    <definedName name="м72" localSheetId="13">'[12]2+'!$JW:$JX</definedName>
    <definedName name="м72" localSheetId="10">'[4]2+'!$JW:$JX</definedName>
    <definedName name="м72" localSheetId="12">'[12]2+'!$JW:$JX</definedName>
    <definedName name="м72" localSheetId="7">'[4]2+'!$JW:$JX</definedName>
    <definedName name="м72" localSheetId="11">'[12]2+'!$JW:$JX</definedName>
    <definedName name="м72" localSheetId="4">'[12]2+'!$JW:$JX</definedName>
    <definedName name="м72" localSheetId="8">'[12]2+'!$JW:$JX</definedName>
    <definedName name="м72" localSheetId="14">'[12]2+'!$JW:$JX</definedName>
    <definedName name="м72">'[4]2+'!$JW:$JX</definedName>
    <definedName name="м73" localSheetId="9">#REF!</definedName>
    <definedName name="м73" localSheetId="6">'[12]2+'!$KA:$KB</definedName>
    <definedName name="м73" localSheetId="13">'[12]2+'!$KA:$KB</definedName>
    <definedName name="м73" localSheetId="10">'[4]2+'!$KA:$KB</definedName>
    <definedName name="м73" localSheetId="12">'[12]2+'!$KA:$KB</definedName>
    <definedName name="м73" localSheetId="7">'[4]2+'!$KA:$KB</definedName>
    <definedName name="м73" localSheetId="11">'[12]2+'!$KA:$KB</definedName>
    <definedName name="м73" localSheetId="4">'[12]2+'!$KA:$KB</definedName>
    <definedName name="м73" localSheetId="8">'[12]2+'!$KA:$KB</definedName>
    <definedName name="м73" localSheetId="14">'[12]2+'!$KA:$KB</definedName>
    <definedName name="м73">'[4]2+'!$KA:$KB</definedName>
    <definedName name="м74" localSheetId="9">#REF!</definedName>
    <definedName name="м74" localSheetId="6">'[12]2+'!$KE:$KF</definedName>
    <definedName name="м74" localSheetId="13">'[12]2+'!$KE:$KF</definedName>
    <definedName name="м74" localSheetId="10">'[4]2+'!$KE:$KF</definedName>
    <definedName name="м74" localSheetId="12">'[12]2+'!$KE:$KF</definedName>
    <definedName name="м74" localSheetId="7">'[4]2+'!$KE:$KF</definedName>
    <definedName name="м74" localSheetId="11">'[12]2+'!$KE:$KF</definedName>
    <definedName name="м74" localSheetId="4">'[12]2+'!$KE:$KF</definedName>
    <definedName name="м74" localSheetId="8">'[12]2+'!$KE:$KF</definedName>
    <definedName name="м74" localSheetId="14">'[12]2+'!$KE:$KF</definedName>
    <definedName name="м74">'[4]2+'!$KE:$KF</definedName>
    <definedName name="м75" localSheetId="9">#REF!</definedName>
    <definedName name="м75" localSheetId="6">'[12]2+'!$KI:$KJ</definedName>
    <definedName name="м75" localSheetId="13">'[12]2+'!$KI:$KJ</definedName>
    <definedName name="м75" localSheetId="10">'[4]2+'!$KI:$KJ</definedName>
    <definedName name="м75" localSheetId="12">'[12]2+'!$KI:$KJ</definedName>
    <definedName name="м75" localSheetId="7">'[4]2+'!$KI:$KJ</definedName>
    <definedName name="м75" localSheetId="11">'[12]2+'!$KI:$KJ</definedName>
    <definedName name="м75" localSheetId="4">'[12]2+'!$KI:$KJ</definedName>
    <definedName name="м75" localSheetId="8">'[12]2+'!$KI:$KJ</definedName>
    <definedName name="м75" localSheetId="14">'[12]2+'!$KI:$KJ</definedName>
    <definedName name="м75">'[4]2+'!$KI:$KJ</definedName>
    <definedName name="м76" localSheetId="9">#REF!</definedName>
    <definedName name="м76" localSheetId="6">'[12]2+'!$KM:$KN</definedName>
    <definedName name="м76" localSheetId="13">'[12]2+'!$KM:$KN</definedName>
    <definedName name="м76" localSheetId="10">'[4]2+'!$KM:$KN</definedName>
    <definedName name="м76" localSheetId="12">'[12]2+'!$KM:$KN</definedName>
    <definedName name="м76" localSheetId="7">'[4]2+'!$KM:$KN</definedName>
    <definedName name="м76" localSheetId="11">'[12]2+'!$KM:$KN</definedName>
    <definedName name="м76" localSheetId="4">'[12]2+'!$KM:$KN</definedName>
    <definedName name="м76" localSheetId="8">'[12]2+'!$KM:$KN</definedName>
    <definedName name="м76" localSheetId="14">'[12]2+'!$KM:$KN</definedName>
    <definedName name="м76">'[4]2+'!$KM:$KN</definedName>
    <definedName name="м77" localSheetId="9">#REF!</definedName>
    <definedName name="м77" localSheetId="6">'[12]2+'!$KQ:$KR</definedName>
    <definedName name="м77" localSheetId="13">'[12]2+'!$KQ:$KR</definedName>
    <definedName name="м77" localSheetId="10">'[4]2+'!$KQ:$KR</definedName>
    <definedName name="м77" localSheetId="12">'[12]2+'!$KQ:$KR</definedName>
    <definedName name="м77" localSheetId="7">'[4]2+'!$KQ:$KR</definedName>
    <definedName name="м77" localSheetId="11">'[12]2+'!$KQ:$KR</definedName>
    <definedName name="м77" localSheetId="4">'[12]2+'!$KQ:$KR</definedName>
    <definedName name="м77" localSheetId="8">'[12]2+'!$KQ:$KR</definedName>
    <definedName name="м77" localSheetId="14">'[12]2+'!$KQ:$KR</definedName>
    <definedName name="м77">'[4]2+'!$KQ:$KR</definedName>
    <definedName name="м78" localSheetId="9">#REF!</definedName>
    <definedName name="м78" localSheetId="6">'[12]2+'!$KU:$KV</definedName>
    <definedName name="м78" localSheetId="13">'[12]2+'!$KU:$KV</definedName>
    <definedName name="м78" localSheetId="10">'[4]2+'!$KU:$KV</definedName>
    <definedName name="м78" localSheetId="12">'[12]2+'!$KU:$KV</definedName>
    <definedName name="м78" localSheetId="7">'[4]2+'!$KU:$KV</definedName>
    <definedName name="м78" localSheetId="11">'[12]2+'!$KU:$KV</definedName>
    <definedName name="м78" localSheetId="4">'[12]2+'!$KU:$KV</definedName>
    <definedName name="м78" localSheetId="8">'[12]2+'!$KU:$KV</definedName>
    <definedName name="м78" localSheetId="14">'[12]2+'!$KU:$KV</definedName>
    <definedName name="м78">'[4]2+'!$KU:$KV</definedName>
    <definedName name="м79" localSheetId="9">#REF!</definedName>
    <definedName name="м79" localSheetId="6">'[12]2+'!$KY:$KZ</definedName>
    <definedName name="м79" localSheetId="13">'[12]2+'!$KY:$KZ</definedName>
    <definedName name="м79" localSheetId="10">'[4]2+'!$KY:$KZ</definedName>
    <definedName name="м79" localSheetId="12">'[12]2+'!$KY:$KZ</definedName>
    <definedName name="м79" localSheetId="7">'[4]2+'!$KY:$KZ</definedName>
    <definedName name="м79" localSheetId="11">'[12]2+'!$KY:$KZ</definedName>
    <definedName name="м79" localSheetId="4">'[12]2+'!$KY:$KZ</definedName>
    <definedName name="м79" localSheetId="8">'[12]2+'!$KY:$KZ</definedName>
    <definedName name="м79" localSheetId="14">'[12]2+'!$KY:$KZ</definedName>
    <definedName name="м79">'[4]2+'!$KY:$KZ</definedName>
    <definedName name="м8" localSheetId="9">#REF!</definedName>
    <definedName name="м8" localSheetId="6">'[12]2+'!$AA:$AB</definedName>
    <definedName name="м8" localSheetId="13">'[12]2+'!$AA:$AB</definedName>
    <definedName name="м8" localSheetId="10">'[4]2+'!$AA:$AB</definedName>
    <definedName name="м8" localSheetId="12">'[12]2+'!$AA:$AB</definedName>
    <definedName name="м8" localSheetId="7">'[4]2+'!$AA:$AB</definedName>
    <definedName name="м8" localSheetId="11">'[12]2+'!$AA:$AB</definedName>
    <definedName name="м8" localSheetId="4">'[12]2+'!$AA:$AB</definedName>
    <definedName name="м8" localSheetId="8">'[12]2+'!$AA:$AB</definedName>
    <definedName name="м8" localSheetId="14">'[12]2+'!$AA:$AB</definedName>
    <definedName name="м8">'[4]2+'!$AA:$AB</definedName>
    <definedName name="м80" localSheetId="9">#REF!</definedName>
    <definedName name="м80" localSheetId="6">'[12]2+'!$LC:$LD</definedName>
    <definedName name="м80" localSheetId="13">'[12]2+'!$LC:$LD</definedName>
    <definedName name="м80" localSheetId="10">'[4]2+'!$LC:$LD</definedName>
    <definedName name="м80" localSheetId="12">'[12]2+'!$LC:$LD</definedName>
    <definedName name="м80" localSheetId="7">'[4]2+'!$LC:$LD</definedName>
    <definedName name="м80" localSheetId="11">'[12]2+'!$LC:$LD</definedName>
    <definedName name="м80" localSheetId="4">'[12]2+'!$LC:$LD</definedName>
    <definedName name="м80" localSheetId="8">'[12]2+'!$LC:$LD</definedName>
    <definedName name="м80" localSheetId="14">'[12]2+'!$LC:$LD</definedName>
    <definedName name="м80">'[4]2+'!$LC:$LD</definedName>
    <definedName name="м81" localSheetId="9">#REF!</definedName>
    <definedName name="м81" localSheetId="6">'[12]2+'!$LG:$LH</definedName>
    <definedName name="м81" localSheetId="13">'[12]2+'!$LG:$LH</definedName>
    <definedName name="м81" localSheetId="10">'[4]2+'!$LG:$LH</definedName>
    <definedName name="м81" localSheetId="12">'[12]2+'!$LG:$LH</definedName>
    <definedName name="м81" localSheetId="7">'[4]2+'!$LG:$LH</definedName>
    <definedName name="м81" localSheetId="11">'[12]2+'!$LG:$LH</definedName>
    <definedName name="м81" localSheetId="4">'[12]2+'!$LG:$LH</definedName>
    <definedName name="м81" localSheetId="8">'[12]2+'!$LG:$LH</definedName>
    <definedName name="м81" localSheetId="14">'[12]2+'!$LG:$LH</definedName>
    <definedName name="м81">'[4]2+'!$LG:$LH</definedName>
    <definedName name="м82" localSheetId="9">#REF!</definedName>
    <definedName name="м82" localSheetId="6">'[12]2+'!$LK:$LL</definedName>
    <definedName name="м82" localSheetId="13">'[12]2+'!$LK:$LL</definedName>
    <definedName name="м82" localSheetId="10">'[4]2+'!$LK:$LL</definedName>
    <definedName name="м82" localSheetId="12">'[12]2+'!$LK:$LL</definedName>
    <definedName name="м82" localSheetId="7">'[4]2+'!$LK:$LL</definedName>
    <definedName name="м82" localSheetId="11">'[12]2+'!$LK:$LL</definedName>
    <definedName name="м82" localSheetId="4">'[12]2+'!$LK:$LL</definedName>
    <definedName name="м82" localSheetId="8">'[12]2+'!$LK:$LL</definedName>
    <definedName name="м82" localSheetId="14">'[12]2+'!$LK:$LL</definedName>
    <definedName name="м82">'[4]2+'!$LK:$LL</definedName>
    <definedName name="м83" localSheetId="9">#REF!</definedName>
    <definedName name="м83" localSheetId="6">'[12]2+'!$LO:$LP</definedName>
    <definedName name="м83" localSheetId="13">'[12]2+'!$LO:$LP</definedName>
    <definedName name="м83" localSheetId="10">'[4]2+'!$LO:$LP</definedName>
    <definedName name="м83" localSheetId="12">'[12]2+'!$LO:$LP</definedName>
    <definedName name="м83" localSheetId="7">'[4]2+'!$LO:$LP</definedName>
    <definedName name="м83" localSheetId="11">'[12]2+'!$LO:$LP</definedName>
    <definedName name="м83" localSheetId="4">'[12]2+'!$LO:$LP</definedName>
    <definedName name="м83" localSheetId="8">'[12]2+'!$LO:$LP</definedName>
    <definedName name="м83" localSheetId="14">'[12]2+'!$LO:$LP</definedName>
    <definedName name="м83">'[4]2+'!$LO:$LP</definedName>
    <definedName name="м84" localSheetId="9">#REF!</definedName>
    <definedName name="м84" localSheetId="6">'[12]2+'!$LS:$LT</definedName>
    <definedName name="м84" localSheetId="13">'[12]2+'!$LS:$LT</definedName>
    <definedName name="м84" localSheetId="10">'[4]2+'!$LS:$LT</definedName>
    <definedName name="м84" localSheetId="12">'[12]2+'!$LS:$LT</definedName>
    <definedName name="м84" localSheetId="7">'[4]2+'!$LS:$LT</definedName>
    <definedName name="м84" localSheetId="11">'[12]2+'!$LS:$LT</definedName>
    <definedName name="м84" localSheetId="4">'[12]2+'!$LS:$LT</definedName>
    <definedName name="м84" localSheetId="8">'[12]2+'!$LS:$LT</definedName>
    <definedName name="м84" localSheetId="14">'[12]2+'!$LS:$LT</definedName>
    <definedName name="м84">'[4]2+'!$LS:$LT</definedName>
    <definedName name="м85" localSheetId="9">#REF!</definedName>
    <definedName name="м85" localSheetId="6">'[12]2+'!$LW:$LX</definedName>
    <definedName name="м85" localSheetId="13">'[12]2+'!$LW:$LX</definedName>
    <definedName name="м85" localSheetId="10">'[4]2+'!$LW:$LX</definedName>
    <definedName name="м85" localSheetId="12">'[12]2+'!$LW:$LX</definedName>
    <definedName name="м85" localSheetId="7">'[4]2+'!$LW:$LX</definedName>
    <definedName name="м85" localSheetId="11">'[12]2+'!$LW:$LX</definedName>
    <definedName name="м85" localSheetId="4">'[12]2+'!$LW:$LX</definedName>
    <definedName name="м85" localSheetId="8">'[12]2+'!$LW:$LX</definedName>
    <definedName name="м85" localSheetId="14">'[12]2+'!$LW:$LX</definedName>
    <definedName name="м85">'[4]2+'!$LW:$LX</definedName>
    <definedName name="м86" localSheetId="9">#REF!</definedName>
    <definedName name="м86" localSheetId="6">'[12]2+'!$MA:$MB</definedName>
    <definedName name="м86" localSheetId="13">'[12]2+'!$MA:$MB</definedName>
    <definedName name="м86" localSheetId="10">'[4]2+'!$MA:$MB</definedName>
    <definedName name="м86" localSheetId="12">'[12]2+'!$MA:$MB</definedName>
    <definedName name="м86" localSheetId="7">'[4]2+'!$MA:$MB</definedName>
    <definedName name="м86" localSheetId="11">'[12]2+'!$MA:$MB</definedName>
    <definedName name="м86" localSheetId="4">'[12]2+'!$MA:$MB</definedName>
    <definedName name="м86" localSheetId="8">'[12]2+'!$MA:$MB</definedName>
    <definedName name="м86" localSheetId="14">'[12]2+'!$MA:$MB</definedName>
    <definedName name="м86">'[4]2+'!$MA:$MB</definedName>
    <definedName name="м87" localSheetId="9">#REF!</definedName>
    <definedName name="м87" localSheetId="6">'[12]2+'!$ME:$MF</definedName>
    <definedName name="м87" localSheetId="13">'[12]2+'!$ME:$MF</definedName>
    <definedName name="м87" localSheetId="10">'[4]2+'!$ME:$MF</definedName>
    <definedName name="м87" localSheetId="12">'[12]2+'!$ME:$MF</definedName>
    <definedName name="м87" localSheetId="7">'[4]2+'!$ME:$MF</definedName>
    <definedName name="м87" localSheetId="11">'[12]2+'!$ME:$MF</definedName>
    <definedName name="м87" localSheetId="4">'[12]2+'!$ME:$MF</definedName>
    <definedName name="м87" localSheetId="8">'[12]2+'!$ME:$MF</definedName>
    <definedName name="м87" localSheetId="14">'[12]2+'!$ME:$MF</definedName>
    <definedName name="м87">'[4]2+'!$ME:$MF</definedName>
    <definedName name="м88" localSheetId="9">#REF!</definedName>
    <definedName name="м88" localSheetId="6">'[12]2+'!$MI:$MJ</definedName>
    <definedName name="м88" localSheetId="13">'[12]2+'!$MI:$MJ</definedName>
    <definedName name="м88" localSheetId="10">'[4]2+'!$MI:$MJ</definedName>
    <definedName name="м88" localSheetId="12">'[12]2+'!$MI:$MJ</definedName>
    <definedName name="м88" localSheetId="7">'[4]2+'!$MI:$MJ</definedName>
    <definedName name="м88" localSheetId="11">'[12]2+'!$MI:$MJ</definedName>
    <definedName name="м88" localSheetId="4">'[12]2+'!$MI:$MJ</definedName>
    <definedName name="м88" localSheetId="8">'[12]2+'!$MI:$MJ</definedName>
    <definedName name="м88" localSheetId="14">'[12]2+'!$MI:$MJ</definedName>
    <definedName name="м88">'[4]2+'!$MI:$MJ</definedName>
    <definedName name="м89" localSheetId="9">#REF!</definedName>
    <definedName name="м89" localSheetId="6">'[12]2+'!$MM:$MN</definedName>
    <definedName name="м89" localSheetId="13">'[12]2+'!$MM:$MN</definedName>
    <definedName name="м89" localSheetId="10">'[4]2+'!$MM:$MN</definedName>
    <definedName name="м89" localSheetId="12">'[12]2+'!$MM:$MN</definedName>
    <definedName name="м89" localSheetId="7">'[4]2+'!$MM:$MN</definedName>
    <definedName name="м89" localSheetId="11">'[12]2+'!$MM:$MN</definedName>
    <definedName name="м89" localSheetId="4">'[12]2+'!$MM:$MN</definedName>
    <definedName name="м89" localSheetId="8">'[12]2+'!$MM:$MN</definedName>
    <definedName name="м89" localSheetId="14">'[12]2+'!$MM:$MN</definedName>
    <definedName name="м89">'[4]2+'!$MM:$MN</definedName>
    <definedName name="м9" localSheetId="9">#REF!</definedName>
    <definedName name="м9" localSheetId="6">'[12]2+'!$AE:$AF</definedName>
    <definedName name="м9" localSheetId="13">'[12]2+'!$AE:$AF</definedName>
    <definedName name="м9" localSheetId="10">'[4]2+'!$AE:$AF</definedName>
    <definedName name="м9" localSheetId="12">'[12]2+'!$AE:$AF</definedName>
    <definedName name="м9" localSheetId="7">'[4]2+'!$AE:$AF</definedName>
    <definedName name="м9" localSheetId="11">'[12]2+'!$AE:$AF</definedName>
    <definedName name="м9" localSheetId="4">'[12]2+'!$AE:$AF</definedName>
    <definedName name="м9" localSheetId="8">'[12]2+'!$AE:$AF</definedName>
    <definedName name="м9" localSheetId="14">'[12]2+'!$AE:$AF</definedName>
    <definedName name="м9">'[4]2+'!$AE:$AF</definedName>
    <definedName name="м90" localSheetId="9">#REF!</definedName>
    <definedName name="м90" localSheetId="6">'[12]2+'!$MQ:$MR</definedName>
    <definedName name="м90" localSheetId="13">'[12]2+'!$MQ:$MR</definedName>
    <definedName name="м90" localSheetId="10">'[4]2+'!$MQ:$MR</definedName>
    <definedName name="м90" localSheetId="12">'[12]2+'!$MQ:$MR</definedName>
    <definedName name="м90" localSheetId="7">'[4]2+'!$MQ:$MR</definedName>
    <definedName name="м90" localSheetId="11">'[12]2+'!$MQ:$MR</definedName>
    <definedName name="м90" localSheetId="4">'[12]2+'!$MQ:$MR</definedName>
    <definedName name="м90" localSheetId="8">'[12]2+'!$MQ:$MR</definedName>
    <definedName name="м90" localSheetId="14">'[12]2+'!$MQ:$MR</definedName>
    <definedName name="м90">'[4]2+'!$MQ:$MR</definedName>
    <definedName name="м91" localSheetId="9">#REF!</definedName>
    <definedName name="м91" localSheetId="6">'[12]2+'!$MU:$MV</definedName>
    <definedName name="м91" localSheetId="13">'[12]2+'!$MU:$MV</definedName>
    <definedName name="м91" localSheetId="10">'[4]2+'!$MU:$MV</definedName>
    <definedName name="м91" localSheetId="12">'[12]2+'!$MU:$MV</definedName>
    <definedName name="м91" localSheetId="7">'[4]2+'!$MU:$MV</definedName>
    <definedName name="м91" localSheetId="11">'[12]2+'!$MU:$MV</definedName>
    <definedName name="м91" localSheetId="4">'[12]2+'!$MU:$MV</definedName>
    <definedName name="м91" localSheetId="8">'[12]2+'!$MU:$MV</definedName>
    <definedName name="м91" localSheetId="14">'[12]2+'!$MU:$MV</definedName>
    <definedName name="м91">'[4]2+'!$MU:$MV</definedName>
    <definedName name="м92" localSheetId="9">#REF!</definedName>
    <definedName name="м92" localSheetId="6">'[12]2+'!$MY:$MZ</definedName>
    <definedName name="м92" localSheetId="13">'[12]2+'!$MY:$MZ</definedName>
    <definedName name="м92" localSheetId="10">'[4]2+'!$MY:$MZ</definedName>
    <definedName name="м92" localSheetId="12">'[12]2+'!$MY:$MZ</definedName>
    <definedName name="м92" localSheetId="7">'[4]2+'!$MY:$MZ</definedName>
    <definedName name="м92" localSheetId="11">'[12]2+'!$MY:$MZ</definedName>
    <definedName name="м92" localSheetId="4">'[12]2+'!$MY:$MZ</definedName>
    <definedName name="м92" localSheetId="8">'[12]2+'!$MY:$MZ</definedName>
    <definedName name="м92" localSheetId="14">'[12]2+'!$MY:$MZ</definedName>
    <definedName name="м92">'[4]2+'!$MY:$MZ</definedName>
    <definedName name="м93" localSheetId="9">#REF!</definedName>
    <definedName name="м93" localSheetId="6">'[12]2+'!$NC:$ND</definedName>
    <definedName name="м93" localSheetId="13">'[12]2+'!$NC:$ND</definedName>
    <definedName name="м93" localSheetId="10">'[4]2+'!$NC:$ND</definedName>
    <definedName name="м93" localSheetId="12">'[12]2+'!$NC:$ND</definedName>
    <definedName name="м93" localSheetId="7">'[4]2+'!$NC:$ND</definedName>
    <definedName name="м93" localSheetId="11">'[12]2+'!$NC:$ND</definedName>
    <definedName name="м93" localSheetId="4">'[12]2+'!$NC:$ND</definedName>
    <definedName name="м93" localSheetId="8">'[12]2+'!$NC:$ND</definedName>
    <definedName name="м93" localSheetId="14">'[12]2+'!$NC:$ND</definedName>
    <definedName name="м93">'[4]2+'!$NC:$ND</definedName>
    <definedName name="м94" localSheetId="9">#REF!</definedName>
    <definedName name="м94" localSheetId="6">'[12]2+'!$NG:$NH</definedName>
    <definedName name="м94" localSheetId="13">'[12]2+'!$NG:$NH</definedName>
    <definedName name="м94" localSheetId="10">'[4]2+'!$NG:$NH</definedName>
    <definedName name="м94" localSheetId="12">'[12]2+'!$NG:$NH</definedName>
    <definedName name="м94" localSheetId="7">'[4]2+'!$NG:$NH</definedName>
    <definedName name="м94" localSheetId="11">'[12]2+'!$NG:$NH</definedName>
    <definedName name="м94" localSheetId="4">'[12]2+'!$NG:$NH</definedName>
    <definedName name="м94" localSheetId="8">'[12]2+'!$NG:$NH</definedName>
    <definedName name="м94" localSheetId="14">'[12]2+'!$NG:$NH</definedName>
    <definedName name="м94">'[4]2+'!$NG:$NH</definedName>
    <definedName name="м95" localSheetId="9">#REF!</definedName>
    <definedName name="м95" localSheetId="6">'[12]2+'!$NK:$NL</definedName>
    <definedName name="м95" localSheetId="13">'[12]2+'!$NK:$NL</definedName>
    <definedName name="м95" localSheetId="10">'[4]2+'!$NK:$NL</definedName>
    <definedName name="м95" localSheetId="12">'[12]2+'!$NK:$NL</definedName>
    <definedName name="м95" localSheetId="7">'[4]2+'!$NK:$NL</definedName>
    <definedName name="м95" localSheetId="11">'[12]2+'!$NK:$NL</definedName>
    <definedName name="м95" localSheetId="4">'[12]2+'!$NK:$NL</definedName>
    <definedName name="м95" localSheetId="8">'[12]2+'!$NK:$NL</definedName>
    <definedName name="м95" localSheetId="14">'[12]2+'!$NK:$NL</definedName>
    <definedName name="м95">'[4]2+'!$NK:$NL</definedName>
    <definedName name="м96" localSheetId="9">#REF!</definedName>
    <definedName name="м96" localSheetId="6">'[12]2+'!$NO:$NP</definedName>
    <definedName name="м96" localSheetId="13">'[12]2+'!$NO:$NP</definedName>
    <definedName name="м96" localSheetId="10">'[4]2+'!$NO:$NP</definedName>
    <definedName name="м96" localSheetId="12">'[12]2+'!$NO:$NP</definedName>
    <definedName name="м96" localSheetId="7">'[4]2+'!$NO:$NP</definedName>
    <definedName name="м96" localSheetId="11">'[12]2+'!$NO:$NP</definedName>
    <definedName name="м96" localSheetId="4">'[12]2+'!$NO:$NP</definedName>
    <definedName name="м96" localSheetId="8">'[12]2+'!$NO:$NP</definedName>
    <definedName name="м96" localSheetId="14">'[12]2+'!$NO:$NP</definedName>
    <definedName name="м96">'[4]2+'!$NO:$NP</definedName>
    <definedName name="м97" localSheetId="9">#REF!</definedName>
    <definedName name="м97" localSheetId="6">'[12]2+'!$NS:$NT</definedName>
    <definedName name="м97" localSheetId="13">'[12]2+'!$NS:$NT</definedName>
    <definedName name="м97" localSheetId="10">'[4]2+'!$NS:$NT</definedName>
    <definedName name="м97" localSheetId="12">'[12]2+'!$NS:$NT</definedName>
    <definedName name="м97" localSheetId="7">'[4]2+'!$NS:$NT</definedName>
    <definedName name="м97" localSheetId="11">'[12]2+'!$NS:$NT</definedName>
    <definedName name="м97" localSheetId="4">'[12]2+'!$NS:$NT</definedName>
    <definedName name="м97" localSheetId="8">'[12]2+'!$NS:$NT</definedName>
    <definedName name="м97" localSheetId="14">'[12]2+'!$NS:$NT</definedName>
    <definedName name="м97">'[4]2+'!$NS:$NT</definedName>
    <definedName name="м98" localSheetId="9">#REF!</definedName>
    <definedName name="м98" localSheetId="6">'[12]2+'!$NW:$NX</definedName>
    <definedName name="м98" localSheetId="13">'[12]2+'!$NW:$NX</definedName>
    <definedName name="м98" localSheetId="10">'[4]2+'!$NW:$NX</definedName>
    <definedName name="м98" localSheetId="12">'[12]2+'!$NW:$NX</definedName>
    <definedName name="м98" localSheetId="7">'[4]2+'!$NW:$NX</definedName>
    <definedName name="м98" localSheetId="11">'[12]2+'!$NW:$NX</definedName>
    <definedName name="м98" localSheetId="4">'[12]2+'!$NW:$NX</definedName>
    <definedName name="м98" localSheetId="8">'[12]2+'!$NW:$NX</definedName>
    <definedName name="м98" localSheetId="14">'[12]2+'!$NW:$NX</definedName>
    <definedName name="м98">'[4]2+'!$NW:$NX</definedName>
    <definedName name="м99" localSheetId="9">#REF!</definedName>
    <definedName name="м99" localSheetId="6">'[12]2+'!$OA:$OB</definedName>
    <definedName name="м99" localSheetId="13">'[12]2+'!$OA:$OB</definedName>
    <definedName name="м99" localSheetId="10">'[4]2+'!$OA:$OB</definedName>
    <definedName name="м99" localSheetId="12">'[12]2+'!$OA:$OB</definedName>
    <definedName name="м99" localSheetId="7">'[4]2+'!$OA:$OB</definedName>
    <definedName name="м99" localSheetId="11">'[12]2+'!$OA:$OB</definedName>
    <definedName name="м99" localSheetId="4">'[12]2+'!$OA:$OB</definedName>
    <definedName name="м99" localSheetId="8">'[12]2+'!$OA:$OB</definedName>
    <definedName name="м99" localSheetId="14">'[12]2+'!$OA:$OB</definedName>
    <definedName name="м99">'[4]2+'!$OA:$OB</definedName>
    <definedName name="материальные_запасы_основные_средства" localSheetId="16">#REF!</definedName>
    <definedName name="материальные_запасы_основные_средства" localSheetId="9">#REF!</definedName>
    <definedName name="материальные_запасы_основные_средства" localSheetId="3">#REF!</definedName>
    <definedName name="материальные_запасы_основные_средства" localSheetId="6">#REF!</definedName>
    <definedName name="материальные_запасы_основные_средства" localSheetId="20">#REF!</definedName>
    <definedName name="материальные_запасы_основные_средства" localSheetId="5">#REF!</definedName>
    <definedName name="материальные_запасы_основные_средства" localSheetId="13">#REF!</definedName>
    <definedName name="материальные_запасы_основные_средства" localSheetId="10">#REF!</definedName>
    <definedName name="материальные_запасы_основные_средства" localSheetId="12">#REF!</definedName>
    <definedName name="материальные_запасы_основные_средства" localSheetId="7">#REF!</definedName>
    <definedName name="материальные_запасы_основные_средства" localSheetId="11">#REF!</definedName>
    <definedName name="материальные_запасы_основные_средства" localSheetId="4">#REF!</definedName>
    <definedName name="материальные_запасы_основные_средства" localSheetId="8">#REF!</definedName>
    <definedName name="материальные_запасы_основные_средства" localSheetId="18">#REF!</definedName>
    <definedName name="материальные_запасы_основные_средства" localSheetId="14">#REF!</definedName>
    <definedName name="материальные_запасы_основные_средства" localSheetId="21">#REF!</definedName>
    <definedName name="материальные_запасы_основные_средства" localSheetId="19">#REF!</definedName>
    <definedName name="материальные_запасы_основные_средства">#REF!</definedName>
    <definedName name="мирир" localSheetId="2">#REF!</definedName>
    <definedName name="мирир" localSheetId="1">#REF!</definedName>
    <definedName name="мирир" localSheetId="16">#REF!</definedName>
    <definedName name="мирир" localSheetId="9">#REF!</definedName>
    <definedName name="мирир" localSheetId="3">#REF!</definedName>
    <definedName name="мирир" localSheetId="6">#REF!</definedName>
    <definedName name="мирир" localSheetId="20">#REF!</definedName>
    <definedName name="мирир" localSheetId="5">#REF!</definedName>
    <definedName name="мирир" localSheetId="13">#REF!</definedName>
    <definedName name="мирир" localSheetId="10">#REF!</definedName>
    <definedName name="мирир" localSheetId="12">#REF!</definedName>
    <definedName name="мирир" localSheetId="7">#REF!</definedName>
    <definedName name="мирир" localSheetId="11">#REF!</definedName>
    <definedName name="мирир" localSheetId="4">#REF!</definedName>
    <definedName name="мирир" localSheetId="8">#REF!</definedName>
    <definedName name="мирир" localSheetId="18">#REF!</definedName>
    <definedName name="мирир" localSheetId="14">#REF!</definedName>
    <definedName name="мирир" localSheetId="21">#REF!</definedName>
    <definedName name="мирир" localSheetId="19">#REF!</definedName>
    <definedName name="мирир">#REF!</definedName>
    <definedName name="мм0" localSheetId="9">#REF!</definedName>
    <definedName name="мм0" localSheetId="6">'[12]0-2'!$B:$C</definedName>
    <definedName name="мм0" localSheetId="13">'[12]0-2'!$B:$C</definedName>
    <definedName name="мм0" localSheetId="10">'[4]0-2'!$B:$C</definedName>
    <definedName name="мм0" localSheetId="12">'[12]0-2'!$B:$C</definedName>
    <definedName name="мм0" localSheetId="7">'[4]0-2'!$B:$C</definedName>
    <definedName name="мм0" localSheetId="11">'[12]0-2'!$B:$C</definedName>
    <definedName name="мм0" localSheetId="4">'[12]0-2'!$B:$C</definedName>
    <definedName name="мм0" localSheetId="8">'[12]0-2'!$B:$C</definedName>
    <definedName name="мм0" localSheetId="14">'[12]0-2'!$B:$C</definedName>
    <definedName name="мм0">'[4]0-2'!$B:$C</definedName>
    <definedName name="мм1" localSheetId="9">#REF!</definedName>
    <definedName name="мм1" localSheetId="6">'[12]0-2'!$F:$G</definedName>
    <definedName name="мм1" localSheetId="13">'[12]0-2'!$F:$G</definedName>
    <definedName name="мм1" localSheetId="10">'[4]0-2'!$F:$G</definedName>
    <definedName name="мм1" localSheetId="12">'[12]0-2'!$F:$G</definedName>
    <definedName name="мм1" localSheetId="7">'[4]0-2'!$F:$G</definedName>
    <definedName name="мм1" localSheetId="11">'[12]0-2'!$F:$G</definedName>
    <definedName name="мм1" localSheetId="4">'[12]0-2'!$F:$G</definedName>
    <definedName name="мм1" localSheetId="8">'[12]0-2'!$F:$G</definedName>
    <definedName name="мм1" localSheetId="14">'[12]0-2'!$F:$G</definedName>
    <definedName name="мм1">'[4]0-2'!$F:$G</definedName>
    <definedName name="мм10" localSheetId="9">#REF!</definedName>
    <definedName name="мм10" localSheetId="6">'[12]0-2'!$AP:$AQ</definedName>
    <definedName name="мм10" localSheetId="13">'[12]0-2'!$AP:$AQ</definedName>
    <definedName name="мм10" localSheetId="10">'[4]0-2'!$AP:$AQ</definedName>
    <definedName name="мм10" localSheetId="12">'[12]0-2'!$AP:$AQ</definedName>
    <definedName name="мм10" localSheetId="7">'[4]0-2'!$AP:$AQ</definedName>
    <definedName name="мм10" localSheetId="11">'[12]0-2'!$AP:$AQ</definedName>
    <definedName name="мм10" localSheetId="4">'[12]0-2'!$AP:$AQ</definedName>
    <definedName name="мм10" localSheetId="8">'[12]0-2'!$AP:$AQ</definedName>
    <definedName name="мм10" localSheetId="14">'[12]0-2'!$AP:$AQ</definedName>
    <definedName name="мм10">'[4]0-2'!$AP:$AQ</definedName>
    <definedName name="мм11" localSheetId="9">#REF!</definedName>
    <definedName name="мм11" localSheetId="6">'[12]0-2'!$AT:$AU</definedName>
    <definedName name="мм11" localSheetId="13">'[12]0-2'!$AT:$AU</definedName>
    <definedName name="мм11" localSheetId="10">'[4]0-2'!$AT:$AU</definedName>
    <definedName name="мм11" localSheetId="12">'[12]0-2'!$AT:$AU</definedName>
    <definedName name="мм11" localSheetId="7">'[4]0-2'!$AT:$AU</definedName>
    <definedName name="мм11" localSheetId="11">'[12]0-2'!$AT:$AU</definedName>
    <definedName name="мм11" localSheetId="4">'[12]0-2'!$AT:$AU</definedName>
    <definedName name="мм11" localSheetId="8">'[12]0-2'!$AT:$AU</definedName>
    <definedName name="мм11" localSheetId="14">'[12]0-2'!$AT:$AU</definedName>
    <definedName name="мм11">'[4]0-2'!$AT:$AU</definedName>
    <definedName name="мм12" localSheetId="9">#REF!</definedName>
    <definedName name="мм12" localSheetId="6">'[12]0-2'!$AX:$AY</definedName>
    <definedName name="мм12" localSheetId="13">'[12]0-2'!$AX:$AY</definedName>
    <definedName name="мм12" localSheetId="10">'[4]0-2'!$AX:$AY</definedName>
    <definedName name="мм12" localSheetId="12">'[12]0-2'!$AX:$AY</definedName>
    <definedName name="мм12" localSheetId="7">'[4]0-2'!$AX:$AY</definedName>
    <definedName name="мм12" localSheetId="11">'[12]0-2'!$AX:$AY</definedName>
    <definedName name="мм12" localSheetId="4">'[12]0-2'!$AX:$AY</definedName>
    <definedName name="мм12" localSheetId="8">'[12]0-2'!$AX:$AY</definedName>
    <definedName name="мм12" localSheetId="14">'[12]0-2'!$AX:$AY</definedName>
    <definedName name="мм12">'[4]0-2'!$AX:$AY</definedName>
    <definedName name="мм13" localSheetId="9">#REF!</definedName>
    <definedName name="мм13" localSheetId="6">'[12]0-2'!$BB:$BC</definedName>
    <definedName name="мм13" localSheetId="13">'[12]0-2'!$BB:$BC</definedName>
    <definedName name="мм13" localSheetId="10">'[4]0-2'!$BB:$BC</definedName>
    <definedName name="мм13" localSheetId="12">'[12]0-2'!$BB:$BC</definedName>
    <definedName name="мм13" localSheetId="7">'[4]0-2'!$BB:$BC</definedName>
    <definedName name="мм13" localSheetId="11">'[12]0-2'!$BB:$BC</definedName>
    <definedName name="мм13" localSheetId="4">'[12]0-2'!$BB:$BC</definedName>
    <definedName name="мм13" localSheetId="8">'[12]0-2'!$BB:$BC</definedName>
    <definedName name="мм13" localSheetId="14">'[12]0-2'!$BB:$BC</definedName>
    <definedName name="мм13">'[4]0-2'!$BB:$BC</definedName>
    <definedName name="мм14" localSheetId="9">#REF!</definedName>
    <definedName name="мм14" localSheetId="6">'[12]0-2'!$BF:$BG</definedName>
    <definedName name="мм14" localSheetId="13">'[12]0-2'!$BF:$BG</definedName>
    <definedName name="мм14" localSheetId="10">'[4]0-2'!$BF:$BG</definedName>
    <definedName name="мм14" localSheetId="12">'[12]0-2'!$BF:$BG</definedName>
    <definedName name="мм14" localSheetId="7">'[4]0-2'!$BF:$BG</definedName>
    <definedName name="мм14" localSheetId="11">'[12]0-2'!$BF:$BG</definedName>
    <definedName name="мм14" localSheetId="4">'[12]0-2'!$BF:$BG</definedName>
    <definedName name="мм14" localSheetId="8">'[12]0-2'!$BF:$BG</definedName>
    <definedName name="мм14" localSheetId="14">'[12]0-2'!$BF:$BG</definedName>
    <definedName name="мм14">'[4]0-2'!$BF:$BG</definedName>
    <definedName name="мм15" localSheetId="9">#REF!</definedName>
    <definedName name="мм15" localSheetId="6">'[12]0-2'!$BJ:$BK</definedName>
    <definedName name="мм15" localSheetId="13">'[12]0-2'!$BJ:$BK</definedName>
    <definedName name="мм15" localSheetId="10">'[4]0-2'!$BJ:$BK</definedName>
    <definedName name="мм15" localSheetId="12">'[12]0-2'!$BJ:$BK</definedName>
    <definedName name="мм15" localSheetId="7">'[4]0-2'!$BJ:$BK</definedName>
    <definedName name="мм15" localSheetId="11">'[12]0-2'!$BJ:$BK</definedName>
    <definedName name="мм15" localSheetId="4">'[12]0-2'!$BJ:$BK</definedName>
    <definedName name="мм15" localSheetId="8">'[12]0-2'!$BJ:$BK</definedName>
    <definedName name="мм15" localSheetId="14">'[12]0-2'!$BJ:$BK</definedName>
    <definedName name="мм15">'[4]0-2'!$BJ:$BK</definedName>
    <definedName name="мм16" localSheetId="9">#REF!</definedName>
    <definedName name="мм16" localSheetId="6">'[12]0-2'!$BN:$BO</definedName>
    <definedName name="мм16" localSheetId="13">'[12]0-2'!$BN:$BO</definedName>
    <definedName name="мм16" localSheetId="10">'[4]0-2'!$BN:$BO</definedName>
    <definedName name="мм16" localSheetId="12">'[12]0-2'!$BN:$BO</definedName>
    <definedName name="мм16" localSheetId="7">'[4]0-2'!$BN:$BO</definedName>
    <definedName name="мм16" localSheetId="11">'[12]0-2'!$BN:$BO</definedName>
    <definedName name="мм16" localSheetId="4">'[12]0-2'!$BN:$BO</definedName>
    <definedName name="мм16" localSheetId="8">'[12]0-2'!$BN:$BO</definedName>
    <definedName name="мм16" localSheetId="14">'[12]0-2'!$BN:$BO</definedName>
    <definedName name="мм16">'[4]0-2'!$BN:$BO</definedName>
    <definedName name="мм17" localSheetId="9">#REF!</definedName>
    <definedName name="мм17" localSheetId="6">'[12]0-2'!$BR:$BS</definedName>
    <definedName name="мм17" localSheetId="13">'[12]0-2'!$BR:$BS</definedName>
    <definedName name="мм17" localSheetId="10">'[4]0-2'!$BR:$BS</definedName>
    <definedName name="мм17" localSheetId="12">'[12]0-2'!$BR:$BS</definedName>
    <definedName name="мм17" localSheetId="7">'[4]0-2'!$BR:$BS</definedName>
    <definedName name="мм17" localSheetId="11">'[12]0-2'!$BR:$BS</definedName>
    <definedName name="мм17" localSheetId="4">'[12]0-2'!$BR:$BS</definedName>
    <definedName name="мм17" localSheetId="8">'[12]0-2'!$BR:$BS</definedName>
    <definedName name="мм17" localSheetId="14">'[12]0-2'!$BR:$BS</definedName>
    <definedName name="мм17">'[4]0-2'!$BR:$BS</definedName>
    <definedName name="мм18" localSheetId="9">#REF!</definedName>
    <definedName name="мм18" localSheetId="6">'[12]0-2'!$BV:$BW</definedName>
    <definedName name="мм18" localSheetId="13">'[12]0-2'!$BV:$BW</definedName>
    <definedName name="мм18" localSheetId="10">'[4]0-2'!$BV:$BW</definedName>
    <definedName name="мм18" localSheetId="12">'[12]0-2'!$BV:$BW</definedName>
    <definedName name="мм18" localSheetId="7">'[4]0-2'!$BV:$BW</definedName>
    <definedName name="мм18" localSheetId="11">'[12]0-2'!$BV:$BW</definedName>
    <definedName name="мм18" localSheetId="4">'[12]0-2'!$BV:$BW</definedName>
    <definedName name="мм18" localSheetId="8">'[12]0-2'!$BV:$BW</definedName>
    <definedName name="мм18" localSheetId="14">'[12]0-2'!$BV:$BW</definedName>
    <definedName name="мм18">'[4]0-2'!$BV:$BW</definedName>
    <definedName name="мм19" localSheetId="9">#REF!</definedName>
    <definedName name="мм19" localSheetId="6">'[12]0-2'!$BZ:$CA</definedName>
    <definedName name="мм19" localSheetId="13">'[12]0-2'!$BZ:$CA</definedName>
    <definedName name="мм19" localSheetId="10">'[4]0-2'!$BZ:$CA</definedName>
    <definedName name="мм19" localSheetId="12">'[12]0-2'!$BZ:$CA</definedName>
    <definedName name="мм19" localSheetId="7">'[4]0-2'!$BZ:$CA</definedName>
    <definedName name="мм19" localSheetId="11">'[12]0-2'!$BZ:$CA</definedName>
    <definedName name="мм19" localSheetId="4">'[12]0-2'!$BZ:$CA</definedName>
    <definedName name="мм19" localSheetId="8">'[12]0-2'!$BZ:$CA</definedName>
    <definedName name="мм19" localSheetId="14">'[12]0-2'!$BZ:$CA</definedName>
    <definedName name="мм19">'[4]0-2'!$BZ:$CA</definedName>
    <definedName name="мм2" localSheetId="9">#REF!</definedName>
    <definedName name="мм2" localSheetId="6">'[12]0-2'!$J:$K</definedName>
    <definedName name="мм2" localSheetId="13">'[12]0-2'!$J:$K</definedName>
    <definedName name="мм2" localSheetId="10">'[4]0-2'!$J:$K</definedName>
    <definedName name="мм2" localSheetId="12">'[12]0-2'!$J:$K</definedName>
    <definedName name="мм2" localSheetId="7">'[4]0-2'!$J:$K</definedName>
    <definedName name="мм2" localSheetId="11">'[12]0-2'!$J:$K</definedName>
    <definedName name="мм2" localSheetId="4">'[12]0-2'!$J:$K</definedName>
    <definedName name="мм2" localSheetId="8">'[12]0-2'!$J:$K</definedName>
    <definedName name="мм2" localSheetId="14">'[12]0-2'!$J:$K</definedName>
    <definedName name="мм2">'[4]0-2'!$J:$K</definedName>
    <definedName name="мм20" localSheetId="9">#REF!</definedName>
    <definedName name="мм20" localSheetId="6">'[12]0-2'!$CD:$CE</definedName>
    <definedName name="мм20" localSheetId="13">'[12]0-2'!$CD:$CE</definedName>
    <definedName name="мм20" localSheetId="10">'[4]0-2'!$CD:$CE</definedName>
    <definedName name="мм20" localSheetId="12">'[12]0-2'!$CD:$CE</definedName>
    <definedName name="мм20" localSheetId="7">'[4]0-2'!$CD:$CE</definedName>
    <definedName name="мм20" localSheetId="11">'[12]0-2'!$CD:$CE</definedName>
    <definedName name="мм20" localSheetId="4">'[12]0-2'!$CD:$CE</definedName>
    <definedName name="мм20" localSheetId="8">'[12]0-2'!$CD:$CE</definedName>
    <definedName name="мм20" localSheetId="14">'[12]0-2'!$CD:$CE</definedName>
    <definedName name="мм20">'[4]0-2'!$CD:$CE</definedName>
    <definedName name="мм21" localSheetId="9">#REF!</definedName>
    <definedName name="мм21" localSheetId="6">'[12]0-2'!$CH:$CI</definedName>
    <definedName name="мм21" localSheetId="13">'[12]0-2'!$CH:$CI</definedName>
    <definedName name="мм21" localSheetId="10">'[4]0-2'!$CH:$CI</definedName>
    <definedName name="мм21" localSheetId="12">'[12]0-2'!$CH:$CI</definedName>
    <definedName name="мм21" localSheetId="7">'[4]0-2'!$CH:$CI</definedName>
    <definedName name="мм21" localSheetId="11">'[12]0-2'!$CH:$CI</definedName>
    <definedName name="мм21" localSheetId="4">'[12]0-2'!$CH:$CI</definedName>
    <definedName name="мм21" localSheetId="8">'[12]0-2'!$CH:$CI</definedName>
    <definedName name="мм21" localSheetId="14">'[12]0-2'!$CH:$CI</definedName>
    <definedName name="мм21">'[4]0-2'!$CH:$CI</definedName>
    <definedName name="мм22" localSheetId="9">#REF!</definedName>
    <definedName name="мм22" localSheetId="6">'[12]0-2'!$CL:$CM</definedName>
    <definedName name="мм22" localSheetId="13">'[12]0-2'!$CL:$CM</definedName>
    <definedName name="мм22" localSheetId="10">'[4]0-2'!$CL:$CM</definedName>
    <definedName name="мм22" localSheetId="12">'[12]0-2'!$CL:$CM</definedName>
    <definedName name="мм22" localSheetId="7">'[4]0-2'!$CL:$CM</definedName>
    <definedName name="мм22" localSheetId="11">'[12]0-2'!$CL:$CM</definedName>
    <definedName name="мм22" localSheetId="4">'[12]0-2'!$CL:$CM</definedName>
    <definedName name="мм22" localSheetId="8">'[12]0-2'!$CL:$CM</definedName>
    <definedName name="мм22" localSheetId="14">'[12]0-2'!$CL:$CM</definedName>
    <definedName name="мм22">'[4]0-2'!$CL:$CM</definedName>
    <definedName name="мм23" localSheetId="9">#REF!</definedName>
    <definedName name="мм23" localSheetId="6">'[12]0-2'!$CP:$CQ</definedName>
    <definedName name="мм23" localSheetId="13">'[12]0-2'!$CP:$CQ</definedName>
    <definedName name="мм23" localSheetId="10">'[4]0-2'!$CP:$CQ</definedName>
    <definedName name="мм23" localSheetId="12">'[12]0-2'!$CP:$CQ</definedName>
    <definedName name="мм23" localSheetId="7">'[4]0-2'!$CP:$CQ</definedName>
    <definedName name="мм23" localSheetId="11">'[12]0-2'!$CP:$CQ</definedName>
    <definedName name="мм23" localSheetId="4">'[12]0-2'!$CP:$CQ</definedName>
    <definedName name="мм23" localSheetId="8">'[12]0-2'!$CP:$CQ</definedName>
    <definedName name="мм23" localSheetId="14">'[12]0-2'!$CP:$CQ</definedName>
    <definedName name="мм23">'[4]0-2'!$CP:$CQ</definedName>
    <definedName name="мм3" localSheetId="9">#REF!</definedName>
    <definedName name="мм3" localSheetId="6">'[12]0-2'!$N:$O</definedName>
    <definedName name="мм3" localSheetId="13">'[12]0-2'!$N:$O</definedName>
    <definedName name="мм3" localSheetId="10">'[4]0-2'!$N:$O</definedName>
    <definedName name="мм3" localSheetId="12">'[12]0-2'!$N:$O</definedName>
    <definedName name="мм3" localSheetId="7">'[4]0-2'!$N:$O</definedName>
    <definedName name="мм3" localSheetId="11">'[12]0-2'!$N:$O</definedName>
    <definedName name="мм3" localSheetId="4">'[12]0-2'!$N:$O</definedName>
    <definedName name="мм3" localSheetId="8">'[12]0-2'!$N:$O</definedName>
    <definedName name="мм3" localSheetId="14">'[12]0-2'!$N:$O</definedName>
    <definedName name="мм3">'[4]0-2'!$N:$O</definedName>
    <definedName name="мм4" localSheetId="9">#REF!</definedName>
    <definedName name="мм4" localSheetId="6">'[12]0-2'!$R:$S</definedName>
    <definedName name="мм4" localSheetId="13">'[12]0-2'!$R:$S</definedName>
    <definedName name="мм4" localSheetId="10">'[4]0-2'!$R:$S</definedName>
    <definedName name="мм4" localSheetId="12">'[12]0-2'!$R:$S</definedName>
    <definedName name="мм4" localSheetId="7">'[4]0-2'!$R:$S</definedName>
    <definedName name="мм4" localSheetId="11">'[12]0-2'!$R:$S</definedName>
    <definedName name="мм4" localSheetId="4">'[12]0-2'!$R:$S</definedName>
    <definedName name="мм4" localSheetId="8">'[12]0-2'!$R:$S</definedName>
    <definedName name="мм4" localSheetId="14">'[12]0-2'!$R:$S</definedName>
    <definedName name="мм4">'[4]0-2'!$R:$S</definedName>
    <definedName name="мм5" localSheetId="9">#REF!</definedName>
    <definedName name="мм5" localSheetId="6">'[12]0-2'!$V:$W</definedName>
    <definedName name="мм5" localSheetId="13">'[12]0-2'!$V:$W</definedName>
    <definedName name="мм5" localSheetId="10">'[4]0-2'!$V:$W</definedName>
    <definedName name="мм5" localSheetId="12">'[12]0-2'!$V:$W</definedName>
    <definedName name="мм5" localSheetId="7">'[4]0-2'!$V:$W</definedName>
    <definedName name="мм5" localSheetId="11">'[12]0-2'!$V:$W</definedName>
    <definedName name="мм5" localSheetId="4">'[12]0-2'!$V:$W</definedName>
    <definedName name="мм5" localSheetId="8">'[12]0-2'!$V:$W</definedName>
    <definedName name="мм5" localSheetId="14">'[12]0-2'!$V:$W</definedName>
    <definedName name="мм5">'[4]0-2'!$V:$W</definedName>
    <definedName name="мм6" localSheetId="9">#REF!</definedName>
    <definedName name="мм6" localSheetId="6">'[12]0-2'!$Z:$AA</definedName>
    <definedName name="мм6" localSheetId="13">'[12]0-2'!$Z:$AA</definedName>
    <definedName name="мм6" localSheetId="10">'[4]0-2'!$Z:$AA</definedName>
    <definedName name="мм6" localSheetId="12">'[12]0-2'!$Z:$AA</definedName>
    <definedName name="мм6" localSheetId="7">'[4]0-2'!$Z:$AA</definedName>
    <definedName name="мм6" localSheetId="11">'[12]0-2'!$Z:$AA</definedName>
    <definedName name="мм6" localSheetId="4">'[12]0-2'!$Z:$AA</definedName>
    <definedName name="мм6" localSheetId="8">'[12]0-2'!$Z:$AA</definedName>
    <definedName name="мм6" localSheetId="14">'[12]0-2'!$Z:$AA</definedName>
    <definedName name="мм6">'[4]0-2'!$Z:$AA</definedName>
    <definedName name="мм7" localSheetId="9">#REF!</definedName>
    <definedName name="мм7" localSheetId="6">'[12]0-2'!$AD:$AE</definedName>
    <definedName name="мм7" localSheetId="13">'[12]0-2'!$AD:$AE</definedName>
    <definedName name="мм7" localSheetId="10">'[4]0-2'!$AD:$AE</definedName>
    <definedName name="мм7" localSheetId="12">'[12]0-2'!$AD:$AE</definedName>
    <definedName name="мм7" localSheetId="7">'[4]0-2'!$AD:$AE</definedName>
    <definedName name="мм7" localSheetId="11">'[12]0-2'!$AD:$AE</definedName>
    <definedName name="мм7" localSheetId="4">'[12]0-2'!$AD:$AE</definedName>
    <definedName name="мм7" localSheetId="8">'[12]0-2'!$AD:$AE</definedName>
    <definedName name="мм7" localSheetId="14">'[12]0-2'!$AD:$AE</definedName>
    <definedName name="мм7">'[4]0-2'!$AD:$AE</definedName>
    <definedName name="мм8" localSheetId="9">#REF!</definedName>
    <definedName name="мм8" localSheetId="6">'[12]0-2'!$AH:$AI</definedName>
    <definedName name="мм8" localSheetId="13">'[12]0-2'!$AH:$AI</definedName>
    <definedName name="мм8" localSheetId="10">'[4]0-2'!$AH:$AI</definedName>
    <definedName name="мм8" localSheetId="12">'[12]0-2'!$AH:$AI</definedName>
    <definedName name="мм8" localSheetId="7">'[4]0-2'!$AH:$AI</definedName>
    <definedName name="мм8" localSheetId="11">'[12]0-2'!$AH:$AI</definedName>
    <definedName name="мм8" localSheetId="4">'[12]0-2'!$AH:$AI</definedName>
    <definedName name="мм8" localSheetId="8">'[12]0-2'!$AH:$AI</definedName>
    <definedName name="мм8" localSheetId="14">'[12]0-2'!$AH:$AI</definedName>
    <definedName name="мм8">'[4]0-2'!$AH:$AI</definedName>
    <definedName name="мм9" localSheetId="9">#REF!</definedName>
    <definedName name="мм9" localSheetId="6">'[12]0-2'!$AL:$AM</definedName>
    <definedName name="мм9" localSheetId="13">'[12]0-2'!$AL:$AM</definedName>
    <definedName name="мм9" localSheetId="10">'[4]0-2'!$AL:$AM</definedName>
    <definedName name="мм9" localSheetId="12">'[12]0-2'!$AL:$AM</definedName>
    <definedName name="мм9" localSheetId="7">'[4]0-2'!$AL:$AM</definedName>
    <definedName name="мм9" localSheetId="11">'[12]0-2'!$AL:$AM</definedName>
    <definedName name="мм9" localSheetId="4">'[12]0-2'!$AL:$AM</definedName>
    <definedName name="мм9" localSheetId="8">'[12]0-2'!$AL:$AM</definedName>
    <definedName name="мм9" localSheetId="14">'[12]0-2'!$AL:$AM</definedName>
    <definedName name="мм9">'[4]0-2'!$AL:$AM</definedName>
    <definedName name="МО" localSheetId="16">'[4]по годам'!#REF!</definedName>
    <definedName name="МО" localSheetId="9">'[13]по годам'!#REF!</definedName>
    <definedName name="МО" localSheetId="3">'[4]по годам'!#REF!</definedName>
    <definedName name="МО" localSheetId="6">'[12]по годам'!#REF!</definedName>
    <definedName name="МО" localSheetId="20">'[4]по годам'!#REF!</definedName>
    <definedName name="МО" localSheetId="5">'[4]по годам'!#REF!</definedName>
    <definedName name="МО" localSheetId="13">'[12]по годам'!#REF!</definedName>
    <definedName name="МО" localSheetId="10">'[4]по годам'!#REF!</definedName>
    <definedName name="МО" localSheetId="12">'[12]по годам'!#REF!</definedName>
    <definedName name="МО" localSheetId="7">'[4]по годам'!#REF!</definedName>
    <definedName name="МО" localSheetId="11">'[12]по годам'!#REF!</definedName>
    <definedName name="МО" localSheetId="4">'[12]по годам'!#REF!</definedName>
    <definedName name="МО" localSheetId="8">'[12]по годам'!#REF!</definedName>
    <definedName name="МО" localSheetId="18">'[4]по годам'!#REF!</definedName>
    <definedName name="МО" localSheetId="14">'[12]по годам'!#REF!</definedName>
    <definedName name="МО" localSheetId="21">'[4]по годам'!#REF!</definedName>
    <definedName name="МО" localSheetId="19">'[4]по годам'!#REF!</definedName>
    <definedName name="МО">'[4]по годам'!#REF!</definedName>
    <definedName name="Нефтекамск" localSheetId="1">'[14]СВОД КП ПРОЕКТА книж'!$A$4:$DS$109</definedName>
    <definedName name="Нефтекамск" localSheetId="9">'[15]СВОД КП ПРОЕКТА книж'!$A$4:$DS$109</definedName>
    <definedName name="Нефтекамск" localSheetId="6">'[14]СВОД КП ПРОЕКТА книж'!$A$4:$DS$109</definedName>
    <definedName name="Нефтекамск" localSheetId="5">'[14]СВОД КП ПРОЕКТА книж'!$A$4:$DS$109</definedName>
    <definedName name="Нефтекамск" localSheetId="13">'[16]СВОД КП ПРОЕКТА книж'!$A$4:$DS$109</definedName>
    <definedName name="Нефтекамск" localSheetId="10">'[14]СВОД КП ПРОЕКТА книж'!$A$4:$DS$109</definedName>
    <definedName name="Нефтекамск" localSheetId="12">'[14]СВОД КП ПРОЕКТА книж'!$A$4:$DS$109</definedName>
    <definedName name="Нефтекамск" localSheetId="7">'[14]СВОД КП ПРОЕКТА книж'!$A$4:$DS$109</definedName>
    <definedName name="Нефтекамск" localSheetId="11">'[16]СВОД КП ПРОЕКТА книж'!$A$4:$DS$109</definedName>
    <definedName name="Нефтекамск" localSheetId="8">'[14]СВОД КП ПРОЕКТА книж'!$A$4:$DS$109</definedName>
    <definedName name="Нефтекамск" localSheetId="14">'[14]СВОД КП ПРОЕКТА книж'!$A$4:$DS$109</definedName>
    <definedName name="Нефтекамск" localSheetId="21">'[14]СВОД КП ПРОЕКТА книж'!$A$4:$DS$109</definedName>
    <definedName name="Нефтекамск">'[14]СВОД КП ПРОЕКТА книж'!$A$4:$DS$109</definedName>
    <definedName name="оплата_труда" localSheetId="16">#REF!</definedName>
    <definedName name="оплата_труда" localSheetId="9">#REF!</definedName>
    <definedName name="оплата_труда" localSheetId="3">#REF!</definedName>
    <definedName name="оплата_труда" localSheetId="6">#REF!</definedName>
    <definedName name="оплата_труда" localSheetId="20">#REF!</definedName>
    <definedName name="оплата_труда" localSheetId="5">#REF!</definedName>
    <definedName name="оплата_труда" localSheetId="13">#REF!</definedName>
    <definedName name="оплата_труда" localSheetId="10">#REF!</definedName>
    <definedName name="оплата_труда" localSheetId="12">#REF!</definedName>
    <definedName name="оплата_труда" localSheetId="7">#REF!</definedName>
    <definedName name="оплата_труда" localSheetId="11">#REF!</definedName>
    <definedName name="оплата_труда" localSheetId="4">#REF!</definedName>
    <definedName name="оплата_труда" localSheetId="8">#REF!</definedName>
    <definedName name="оплата_труда" localSheetId="18">#REF!</definedName>
    <definedName name="оплата_труда" localSheetId="14">#REF!</definedName>
    <definedName name="оплата_труда" localSheetId="21">#REF!</definedName>
    <definedName name="оплата_труда" localSheetId="19">#REF!</definedName>
    <definedName name="оплата_труда">#REF!</definedName>
    <definedName name="П" localSheetId="16">#REF!</definedName>
    <definedName name="П" localSheetId="9">#REF!</definedName>
    <definedName name="П" localSheetId="3">#REF!</definedName>
    <definedName name="П" localSheetId="20">#REF!</definedName>
    <definedName name="П" localSheetId="5">#REF!</definedName>
    <definedName name="П" localSheetId="13">#REF!</definedName>
    <definedName name="П" localSheetId="10">#REF!</definedName>
    <definedName name="П" localSheetId="12">#REF!</definedName>
    <definedName name="П" localSheetId="7">#REF!</definedName>
    <definedName name="П" localSheetId="11">#REF!</definedName>
    <definedName name="П" localSheetId="8">#REF!</definedName>
    <definedName name="П" localSheetId="18">#REF!</definedName>
    <definedName name="П" localSheetId="14">#REF!</definedName>
    <definedName name="П" localSheetId="19">#REF!</definedName>
    <definedName name="П">#REF!</definedName>
    <definedName name="ппорь" localSheetId="22">#REF!</definedName>
    <definedName name="ппорь" localSheetId="2">#REF!</definedName>
    <definedName name="ппорь" localSheetId="1">#REF!</definedName>
    <definedName name="ппорь" localSheetId="16">#REF!</definedName>
    <definedName name="ппорь" localSheetId="9">#REF!</definedName>
    <definedName name="ппорь" localSheetId="3">#REF!</definedName>
    <definedName name="ппорь" localSheetId="17">#REF!</definedName>
    <definedName name="ппорь" localSheetId="6">#REF!</definedName>
    <definedName name="ппорь" localSheetId="20">#REF!</definedName>
    <definedName name="ппорь" localSheetId="5">#REF!</definedName>
    <definedName name="ппорь" localSheetId="13">#REF!</definedName>
    <definedName name="ппорь" localSheetId="10">#REF!</definedName>
    <definedName name="ппорь" localSheetId="12">#REF!</definedName>
    <definedName name="ппорь" localSheetId="7">#REF!</definedName>
    <definedName name="ппорь" localSheetId="11">#REF!</definedName>
    <definedName name="ппорь" localSheetId="4">#REF!</definedName>
    <definedName name="ппорь" localSheetId="8">#REF!</definedName>
    <definedName name="ппорь" localSheetId="18">#REF!</definedName>
    <definedName name="ппорь" localSheetId="14">#REF!</definedName>
    <definedName name="ппорь" localSheetId="21">#REF!</definedName>
    <definedName name="ппорь" localSheetId="19">#REF!</definedName>
    <definedName name="ппорь">#REF!</definedName>
    <definedName name="Пр.2" localSheetId="16">#REF!</definedName>
    <definedName name="Пр.2" localSheetId="9">#REF!</definedName>
    <definedName name="Пр.2" localSheetId="3">#REF!</definedName>
    <definedName name="Пр.2" localSheetId="6">#REF!</definedName>
    <definedName name="Пр.2" localSheetId="20">#REF!</definedName>
    <definedName name="Пр.2" localSheetId="5">#REF!</definedName>
    <definedName name="Пр.2" localSheetId="13">#REF!</definedName>
    <definedName name="Пр.2" localSheetId="10">#REF!</definedName>
    <definedName name="Пр.2" localSheetId="12">#REF!</definedName>
    <definedName name="Пр.2" localSheetId="7">#REF!</definedName>
    <definedName name="Пр.2" localSheetId="11">#REF!</definedName>
    <definedName name="Пр.2" localSheetId="4">#REF!</definedName>
    <definedName name="Пр.2" localSheetId="8">#REF!</definedName>
    <definedName name="Пр.2" localSheetId="18">#REF!</definedName>
    <definedName name="Пр.2" localSheetId="14">#REF!</definedName>
    <definedName name="Пр.2" localSheetId="21">#REF!</definedName>
    <definedName name="Пр.2" localSheetId="19">#REF!</definedName>
    <definedName name="Пр.2">#REF!</definedName>
    <definedName name="пра" localSheetId="16">#REF!</definedName>
    <definedName name="пра" localSheetId="9">#REF!</definedName>
    <definedName name="пра" localSheetId="3">#REF!</definedName>
    <definedName name="пра" localSheetId="6">#REF!</definedName>
    <definedName name="пра" localSheetId="20">#REF!</definedName>
    <definedName name="пра" localSheetId="5">#REF!</definedName>
    <definedName name="пра" localSheetId="13">#REF!</definedName>
    <definedName name="пра" localSheetId="10">#REF!</definedName>
    <definedName name="пра" localSheetId="12">#REF!</definedName>
    <definedName name="пра" localSheetId="7">#REF!</definedName>
    <definedName name="пра" localSheetId="11">#REF!</definedName>
    <definedName name="пра" localSheetId="4">#REF!</definedName>
    <definedName name="пра" localSheetId="8">#REF!</definedName>
    <definedName name="пра" localSheetId="18">#REF!</definedName>
    <definedName name="пра" localSheetId="14">#REF!</definedName>
    <definedName name="пра" localSheetId="21">#REF!</definedName>
    <definedName name="пра" localSheetId="19">#REF!</definedName>
    <definedName name="пра">#REF!</definedName>
    <definedName name="пэт" localSheetId="2">#REF!</definedName>
    <definedName name="пэт" localSheetId="1">#REF!</definedName>
    <definedName name="пэт" localSheetId="16">#REF!</definedName>
    <definedName name="пэт" localSheetId="9">#REF!</definedName>
    <definedName name="пэт" localSheetId="3">#REF!</definedName>
    <definedName name="пэт" localSheetId="6">#REF!</definedName>
    <definedName name="пэт" localSheetId="20">#REF!</definedName>
    <definedName name="пэт" localSheetId="5">#REF!</definedName>
    <definedName name="пэт" localSheetId="13">#REF!</definedName>
    <definedName name="пэт" localSheetId="10">#REF!</definedName>
    <definedName name="пэт" localSheetId="12">#REF!</definedName>
    <definedName name="пэт" localSheetId="7">#REF!</definedName>
    <definedName name="пэт" localSheetId="11">#REF!</definedName>
    <definedName name="пэт" localSheetId="4">#REF!</definedName>
    <definedName name="пэт" localSheetId="8">#REF!</definedName>
    <definedName name="пэт" localSheetId="18">#REF!</definedName>
    <definedName name="пэт" localSheetId="14">#REF!</definedName>
    <definedName name="пэт" localSheetId="21">#REF!</definedName>
    <definedName name="пэт" localSheetId="19">#REF!</definedName>
    <definedName name="пэт">#REF!</definedName>
    <definedName name="рд" localSheetId="16">#REF!</definedName>
    <definedName name="рд" localSheetId="9">#REF!</definedName>
    <definedName name="рд" localSheetId="3">#REF!</definedName>
    <definedName name="рд" localSheetId="6">#REF!</definedName>
    <definedName name="рд" localSheetId="20">#REF!</definedName>
    <definedName name="рд" localSheetId="5">#REF!</definedName>
    <definedName name="рд" localSheetId="13">#REF!</definedName>
    <definedName name="рд" localSheetId="10">#REF!</definedName>
    <definedName name="рд" localSheetId="12">#REF!</definedName>
    <definedName name="рд" localSheetId="7">#REF!</definedName>
    <definedName name="рд" localSheetId="11">#REF!</definedName>
    <definedName name="рд" localSheetId="4">#REF!</definedName>
    <definedName name="рд" localSheetId="8">#REF!</definedName>
    <definedName name="рд" localSheetId="18">#REF!</definedName>
    <definedName name="рд" localSheetId="14">#REF!</definedName>
    <definedName name="рд" localSheetId="21">#REF!</definedName>
    <definedName name="рд" localSheetId="19">#REF!</definedName>
    <definedName name="рд">#REF!</definedName>
    <definedName name="РОБЬ" localSheetId="16">#REF!</definedName>
    <definedName name="РОБЬ" localSheetId="9">#REF!</definedName>
    <definedName name="РОБЬ" localSheetId="3">#REF!</definedName>
    <definedName name="РОБЬ" localSheetId="6">#REF!</definedName>
    <definedName name="РОБЬ" localSheetId="20">#REF!</definedName>
    <definedName name="РОБЬ" localSheetId="5">#REF!</definedName>
    <definedName name="РОБЬ" localSheetId="13">#REF!</definedName>
    <definedName name="РОБЬ" localSheetId="10">#REF!</definedName>
    <definedName name="РОБЬ" localSheetId="12">#REF!</definedName>
    <definedName name="РОБЬ" localSheetId="7">#REF!</definedName>
    <definedName name="РОБЬ" localSheetId="11">#REF!</definedName>
    <definedName name="РОБЬ" localSheetId="4">#REF!</definedName>
    <definedName name="РОБЬ" localSheetId="8">#REF!</definedName>
    <definedName name="РОБЬ" localSheetId="18">#REF!</definedName>
    <definedName name="РОБЬ" localSheetId="14">#REF!</definedName>
    <definedName name="РОБЬ" localSheetId="21">#REF!</definedName>
    <definedName name="РОБЬ" localSheetId="19">#REF!</definedName>
    <definedName name="РОБЬ">#REF!</definedName>
    <definedName name="смп" localSheetId="22">#REF!</definedName>
    <definedName name="смп" localSheetId="2">#REF!</definedName>
    <definedName name="смп" localSheetId="1">#REF!</definedName>
    <definedName name="смп" localSheetId="16">#REF!</definedName>
    <definedName name="смп" localSheetId="9">#REF!</definedName>
    <definedName name="смп" localSheetId="3">#REF!</definedName>
    <definedName name="смп" localSheetId="17">#REF!</definedName>
    <definedName name="смп" localSheetId="6">#REF!</definedName>
    <definedName name="смп" localSheetId="20">#REF!</definedName>
    <definedName name="смп" localSheetId="5">#REF!</definedName>
    <definedName name="смп" localSheetId="13">#REF!</definedName>
    <definedName name="смп" localSheetId="10">#REF!</definedName>
    <definedName name="смп" localSheetId="12">#REF!</definedName>
    <definedName name="смп" localSheetId="7">#REF!</definedName>
    <definedName name="смп" localSheetId="11">#REF!</definedName>
    <definedName name="смп" localSheetId="4">#REF!</definedName>
    <definedName name="смп" localSheetId="8">#REF!</definedName>
    <definedName name="смп" localSheetId="18">#REF!</definedName>
    <definedName name="смп" localSheetId="14">#REF!</definedName>
    <definedName name="смп" localSheetId="21">#REF!</definedName>
    <definedName name="смп" localSheetId="19">#REF!</definedName>
    <definedName name="смп">#REF!</definedName>
    <definedName name="Список" localSheetId="16">#REF!</definedName>
    <definedName name="Список" localSheetId="9">#REF!</definedName>
    <definedName name="Список" localSheetId="3">#REF!</definedName>
    <definedName name="Список" localSheetId="6">#REF!</definedName>
    <definedName name="Список" localSheetId="20">#REF!</definedName>
    <definedName name="Список" localSheetId="5">#REF!</definedName>
    <definedName name="Список" localSheetId="13">#REF!</definedName>
    <definedName name="Список" localSheetId="10">#REF!</definedName>
    <definedName name="Список" localSheetId="12">#REF!</definedName>
    <definedName name="Список" localSheetId="7">#REF!</definedName>
    <definedName name="Список" localSheetId="11">#REF!</definedName>
    <definedName name="Список" localSheetId="4">#REF!</definedName>
    <definedName name="Список" localSheetId="8">#REF!</definedName>
    <definedName name="Список" localSheetId="18">#REF!</definedName>
    <definedName name="Список" localSheetId="14">#REF!</definedName>
    <definedName name="Список" localSheetId="21">#REF!</definedName>
    <definedName name="Список" localSheetId="19">#REF!</definedName>
    <definedName name="Список">#REF!</definedName>
    <definedName name="стер" localSheetId="1">#REF!</definedName>
    <definedName name="стер" localSheetId="16">#REF!</definedName>
    <definedName name="стер" localSheetId="9">#REF!</definedName>
    <definedName name="стер" localSheetId="3">#REF!</definedName>
    <definedName name="стер" localSheetId="6">#REF!</definedName>
    <definedName name="стер" localSheetId="20">#REF!</definedName>
    <definedName name="стер" localSheetId="5">#REF!</definedName>
    <definedName name="стер" localSheetId="13">#REF!</definedName>
    <definedName name="стер" localSheetId="10">#REF!</definedName>
    <definedName name="стер" localSheetId="12">#REF!</definedName>
    <definedName name="стер" localSheetId="7">#REF!</definedName>
    <definedName name="стер" localSheetId="11">#REF!</definedName>
    <definedName name="стер" localSheetId="4">#REF!</definedName>
    <definedName name="стер" localSheetId="8">#REF!</definedName>
    <definedName name="стер" localSheetId="18">#REF!</definedName>
    <definedName name="стер" localSheetId="14">#REF!</definedName>
    <definedName name="стер" localSheetId="21">#REF!</definedName>
    <definedName name="стер" localSheetId="19">#REF!</definedName>
    <definedName name="стер">#REF!</definedName>
    <definedName name="ттттт" localSheetId="2">#REF!</definedName>
    <definedName name="ттттт" localSheetId="1">#REF!</definedName>
    <definedName name="ттттт" localSheetId="16">#REF!</definedName>
    <definedName name="ттттт" localSheetId="9">#REF!</definedName>
    <definedName name="ттттт" localSheetId="3">#REF!</definedName>
    <definedName name="ттттт" localSheetId="6">#REF!</definedName>
    <definedName name="ттттт" localSheetId="20">#REF!</definedName>
    <definedName name="ттттт" localSheetId="5">#REF!</definedName>
    <definedName name="ттттт" localSheetId="13">#REF!</definedName>
    <definedName name="ттттт" localSheetId="10">#REF!</definedName>
    <definedName name="ттттт" localSheetId="12">#REF!</definedName>
    <definedName name="ттттт" localSheetId="7">#REF!</definedName>
    <definedName name="ттттт" localSheetId="11">#REF!</definedName>
    <definedName name="ттттт" localSheetId="4">#REF!</definedName>
    <definedName name="ттттт" localSheetId="8">#REF!</definedName>
    <definedName name="ттттт" localSheetId="18">#REF!</definedName>
    <definedName name="ттттт" localSheetId="14">#REF!</definedName>
    <definedName name="ттттт" localSheetId="21">#REF!</definedName>
    <definedName name="ттттт" localSheetId="19">#REF!</definedName>
    <definedName name="ттттт">#REF!</definedName>
    <definedName name="ф" localSheetId="16">#REF!</definedName>
    <definedName name="ф" localSheetId="9">#REF!</definedName>
    <definedName name="ф" localSheetId="3">#REF!</definedName>
    <definedName name="ф" localSheetId="20">#REF!</definedName>
    <definedName name="ф" localSheetId="5">#REF!</definedName>
    <definedName name="ф" localSheetId="13">#REF!</definedName>
    <definedName name="ф" localSheetId="10">#REF!</definedName>
    <definedName name="ф" localSheetId="12">#REF!</definedName>
    <definedName name="ф" localSheetId="7">#REF!</definedName>
    <definedName name="ф" localSheetId="11">#REF!</definedName>
    <definedName name="ф" localSheetId="8">#REF!</definedName>
    <definedName name="ф" localSheetId="18">#REF!</definedName>
    <definedName name="ф" localSheetId="14">#REF!</definedName>
    <definedName name="ф" localSheetId="19">#REF!</definedName>
    <definedName name="ф">#REF!</definedName>
    <definedName name="ФЗ" localSheetId="2">[5]Данные!$DC$3:$EF$3</definedName>
    <definedName name="ФЗ" localSheetId="1">[5]Данные!$DC$3:$EF$3</definedName>
    <definedName name="ФЗ" localSheetId="0">[5]Данные!$DC$3:$EF$3</definedName>
    <definedName name="ФЗ" localSheetId="13">[6]Данные!$DC$3:$EF$3</definedName>
    <definedName name="ФЗ" localSheetId="10">[5]Данные!$DC$3:$EF$3</definedName>
    <definedName name="ФЗ" localSheetId="12">[5]Данные!$DC$3:$EF$3</definedName>
    <definedName name="ФЗ" localSheetId="7">[6]Данные!$DC$3:$EF$3</definedName>
    <definedName name="ФЗ" localSheetId="11">[7]Данные!$DC$3:$EF$3</definedName>
    <definedName name="ФЗ" localSheetId="4">[5]Данные!$DC$3:$EF$3</definedName>
    <definedName name="ФЗ" localSheetId="8">[5]Данные!$DC$3:$EF$3</definedName>
    <definedName name="ФЗ" localSheetId="14">[5]Данные!$DC$3:$EF$3</definedName>
    <definedName name="ФЗ">[8]Данные!$DC$3:$EF$3</definedName>
    <definedName name="Шт" localSheetId="2">[5]Данные!$AU$3:$BX$3</definedName>
    <definedName name="Шт" localSheetId="1">[5]Данные!$AU$3:$BX$3</definedName>
    <definedName name="Шт" localSheetId="0">[5]Данные!$AU$3:$BX$3</definedName>
    <definedName name="Шт" localSheetId="13">[6]Данные!$AU$3:$BX$3</definedName>
    <definedName name="Шт" localSheetId="10">[5]Данные!$AU$3:$BX$3</definedName>
    <definedName name="Шт" localSheetId="12">[5]Данные!$AU$3:$BX$3</definedName>
    <definedName name="Шт" localSheetId="7">[6]Данные!$AU$3:$BX$3</definedName>
    <definedName name="Шт" localSheetId="11">[7]Данные!$AU$3:$BX$3</definedName>
    <definedName name="Шт" localSheetId="4">[5]Данные!$AU$3:$BX$3</definedName>
    <definedName name="Шт" localSheetId="8">[5]Данные!$AU$3:$BX$3</definedName>
    <definedName name="Шт" localSheetId="14">[5]Данные!$AU$3:$BX$3</definedName>
    <definedName name="Шт">[8]Данные!$AU$3:$BX$3</definedName>
    <definedName name="ы" localSheetId="1">#REF!</definedName>
    <definedName name="ы" localSheetId="16">#REF!</definedName>
    <definedName name="ы" localSheetId="9">#REF!</definedName>
    <definedName name="ы" localSheetId="3">#REF!</definedName>
    <definedName name="ы" localSheetId="20">#REF!</definedName>
    <definedName name="ы" localSheetId="5">#REF!</definedName>
    <definedName name="ы" localSheetId="13">#REF!</definedName>
    <definedName name="ы" localSheetId="10">#REF!</definedName>
    <definedName name="ы" localSheetId="12">#REF!</definedName>
    <definedName name="ы" localSheetId="7">#REF!</definedName>
    <definedName name="ы" localSheetId="11">#REF!</definedName>
    <definedName name="ы" localSheetId="8">#REF!</definedName>
    <definedName name="ы" localSheetId="18">#REF!</definedName>
    <definedName name="ы" localSheetId="14">#REF!</definedName>
    <definedName name="ы" localSheetId="19">#REF!</definedName>
    <definedName name="ы">#REF!</definedName>
    <definedName name="ЭКО" localSheetId="22">#REF!</definedName>
    <definedName name="ЭКО" localSheetId="2">#REF!</definedName>
    <definedName name="ЭКО" localSheetId="1">#REF!</definedName>
    <definedName name="ЭКО" localSheetId="16">#REF!</definedName>
    <definedName name="ЭКО" localSheetId="9">#REF!</definedName>
    <definedName name="ЭКО" localSheetId="3">#REF!</definedName>
    <definedName name="ЭКО" localSheetId="17">#REF!</definedName>
    <definedName name="ЭКО" localSheetId="6">#REF!</definedName>
    <definedName name="ЭКО" localSheetId="20">#REF!</definedName>
    <definedName name="ЭКО" localSheetId="5">#REF!</definedName>
    <definedName name="ЭКО" localSheetId="13">#REF!</definedName>
    <definedName name="ЭКО" localSheetId="10">#REF!</definedName>
    <definedName name="ЭКО" localSheetId="12">#REF!</definedName>
    <definedName name="ЭКО" localSheetId="7">#REF!</definedName>
    <definedName name="ЭКО" localSheetId="11">#REF!</definedName>
    <definedName name="ЭКО" localSheetId="4">#REF!</definedName>
    <definedName name="ЭКО" localSheetId="8">#REF!</definedName>
    <definedName name="ЭКО" localSheetId="18">#REF!</definedName>
    <definedName name="ЭКО" localSheetId="14">#REF!</definedName>
    <definedName name="ЭКО" localSheetId="21">#REF!</definedName>
    <definedName name="ЭКО" localSheetId="19">#REF!</definedName>
    <definedName name="ЭКО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3" i="25" l="1"/>
  <c r="H86" i="25"/>
  <c r="O84" i="74" l="1"/>
  <c r="E84" i="74"/>
  <c r="E74" i="74"/>
  <c r="L147" i="76"/>
  <c r="D147" i="76" s="1"/>
  <c r="L146" i="76"/>
  <c r="D146" i="76" s="1"/>
  <c r="L145" i="76"/>
  <c r="E145" i="76"/>
  <c r="L144" i="76"/>
  <c r="E144" i="76"/>
  <c r="L143" i="76"/>
  <c r="E143" i="76"/>
  <c r="D143" i="76" s="1"/>
  <c r="L142" i="76"/>
  <c r="E142" i="76"/>
  <c r="L141" i="76"/>
  <c r="E141" i="76"/>
  <c r="L140" i="76"/>
  <c r="E140" i="76"/>
  <c r="L139" i="76"/>
  <c r="H139" i="76"/>
  <c r="E139" i="76"/>
  <c r="L138" i="76"/>
  <c r="H138" i="76"/>
  <c r="E138" i="76"/>
  <c r="L137" i="76"/>
  <c r="H137" i="76"/>
  <c r="E137" i="76"/>
  <c r="L136" i="76"/>
  <c r="H136" i="76"/>
  <c r="E136" i="76"/>
  <c r="L135" i="76"/>
  <c r="H135" i="76"/>
  <c r="E135" i="76"/>
  <c r="L134" i="76"/>
  <c r="H134" i="76"/>
  <c r="E134" i="76"/>
  <c r="L133" i="76"/>
  <c r="H133" i="76"/>
  <c r="E133" i="76"/>
  <c r="D133" i="76" s="1"/>
  <c r="L132" i="76"/>
  <c r="H132" i="76"/>
  <c r="E132" i="76"/>
  <c r="L131" i="76"/>
  <c r="H131" i="76"/>
  <c r="E131" i="76"/>
  <c r="D131" i="76" s="1"/>
  <c r="L130" i="76"/>
  <c r="H130" i="76"/>
  <c r="E130" i="76"/>
  <c r="L129" i="76"/>
  <c r="H129" i="76"/>
  <c r="E129" i="76"/>
  <c r="L128" i="76"/>
  <c r="H128" i="76"/>
  <c r="E128" i="76"/>
  <c r="L127" i="76"/>
  <c r="H127" i="76"/>
  <c r="E127" i="76"/>
  <c r="L126" i="76"/>
  <c r="H126" i="76"/>
  <c r="E126" i="76"/>
  <c r="L125" i="76"/>
  <c r="H125" i="76"/>
  <c r="E125" i="76"/>
  <c r="D125" i="76" s="1"/>
  <c r="L124" i="76"/>
  <c r="E124" i="76"/>
  <c r="L123" i="76"/>
  <c r="E123" i="76"/>
  <c r="L122" i="76"/>
  <c r="E122" i="76"/>
  <c r="D122" i="76" s="1"/>
  <c r="L121" i="76"/>
  <c r="E121" i="76"/>
  <c r="D121" i="76" s="1"/>
  <c r="L120" i="76"/>
  <c r="E120" i="76"/>
  <c r="L119" i="76"/>
  <c r="E119" i="76"/>
  <c r="L118" i="76"/>
  <c r="E118" i="76"/>
  <c r="D118" i="76" s="1"/>
  <c r="L117" i="76"/>
  <c r="E117" i="76"/>
  <c r="D117" i="76" s="1"/>
  <c r="L116" i="76"/>
  <c r="E116" i="76"/>
  <c r="L115" i="76"/>
  <c r="H115" i="76"/>
  <c r="E115" i="76"/>
  <c r="L114" i="76"/>
  <c r="E114" i="76"/>
  <c r="L113" i="76"/>
  <c r="E113" i="76"/>
  <c r="L112" i="76"/>
  <c r="E112" i="76"/>
  <c r="L111" i="76"/>
  <c r="E111" i="76"/>
  <c r="D111" i="76" s="1"/>
  <c r="L110" i="76"/>
  <c r="E110" i="76"/>
  <c r="L109" i="76"/>
  <c r="H109" i="76"/>
  <c r="E109" i="76"/>
  <c r="L108" i="76"/>
  <c r="H108" i="76"/>
  <c r="E108" i="76"/>
  <c r="L107" i="76"/>
  <c r="H107" i="76"/>
  <c r="E107" i="76"/>
  <c r="D107" i="76" s="1"/>
  <c r="L106" i="76"/>
  <c r="H106" i="76"/>
  <c r="E106" i="76"/>
  <c r="L105" i="76"/>
  <c r="H105" i="76"/>
  <c r="E105" i="76"/>
  <c r="L104" i="76"/>
  <c r="H104" i="76"/>
  <c r="E104" i="76"/>
  <c r="L103" i="76"/>
  <c r="H103" i="76"/>
  <c r="E103" i="76"/>
  <c r="L102" i="76"/>
  <c r="H102" i="76"/>
  <c r="E102" i="76"/>
  <c r="L101" i="76"/>
  <c r="H101" i="76"/>
  <c r="E101" i="76"/>
  <c r="L100" i="76"/>
  <c r="H100" i="76"/>
  <c r="E100" i="76"/>
  <c r="L99" i="76"/>
  <c r="H99" i="76"/>
  <c r="E99" i="76"/>
  <c r="D99" i="76" s="1"/>
  <c r="L98" i="76"/>
  <c r="H98" i="76"/>
  <c r="E98" i="76"/>
  <c r="L97" i="76"/>
  <c r="H97" i="76"/>
  <c r="E97" i="76"/>
  <c r="L96" i="76"/>
  <c r="H96" i="76"/>
  <c r="E96" i="76"/>
  <c r="L95" i="76"/>
  <c r="H95" i="76"/>
  <c r="E95" i="76"/>
  <c r="L94" i="76"/>
  <c r="H94" i="76"/>
  <c r="E94" i="76"/>
  <c r="L93" i="76"/>
  <c r="E93" i="76"/>
  <c r="L92" i="76"/>
  <c r="H92" i="76"/>
  <c r="E92" i="76"/>
  <c r="L91" i="76"/>
  <c r="H91" i="76"/>
  <c r="E91" i="76"/>
  <c r="L90" i="76"/>
  <c r="H90" i="76"/>
  <c r="E90" i="76"/>
  <c r="L89" i="76"/>
  <c r="H89" i="76"/>
  <c r="E89" i="76"/>
  <c r="L88" i="76"/>
  <c r="H88" i="76"/>
  <c r="E88" i="76"/>
  <c r="D88" i="76" s="1"/>
  <c r="L87" i="76"/>
  <c r="H87" i="76"/>
  <c r="E87" i="76"/>
  <c r="L86" i="76"/>
  <c r="H86" i="76"/>
  <c r="L85" i="76"/>
  <c r="H85" i="76"/>
  <c r="E85" i="76"/>
  <c r="D85" i="76" s="1"/>
  <c r="L84" i="76"/>
  <c r="H84" i="76"/>
  <c r="E84" i="76"/>
  <c r="L83" i="76"/>
  <c r="H83" i="76"/>
  <c r="E83" i="76"/>
  <c r="L82" i="76"/>
  <c r="H82" i="76"/>
  <c r="E82" i="76"/>
  <c r="L81" i="76"/>
  <c r="H81" i="76"/>
  <c r="E81" i="76"/>
  <c r="L80" i="76"/>
  <c r="H80" i="76"/>
  <c r="E80" i="76"/>
  <c r="L79" i="76"/>
  <c r="H79" i="76"/>
  <c r="E79" i="76"/>
  <c r="L78" i="76"/>
  <c r="H78" i="76"/>
  <c r="E78" i="76"/>
  <c r="L77" i="76"/>
  <c r="H77" i="76"/>
  <c r="E77" i="76"/>
  <c r="D77" i="76" s="1"/>
  <c r="H76" i="76"/>
  <c r="D76" i="76" s="1"/>
  <c r="L75" i="76"/>
  <c r="H75" i="76"/>
  <c r="E75" i="76"/>
  <c r="L74" i="76"/>
  <c r="H74" i="76"/>
  <c r="E74" i="76"/>
  <c r="L73" i="76"/>
  <c r="H73" i="76"/>
  <c r="E73" i="76"/>
  <c r="D73" i="76" s="1"/>
  <c r="L72" i="76"/>
  <c r="H72" i="76"/>
  <c r="E72" i="76"/>
  <c r="L71" i="76"/>
  <c r="H71" i="76"/>
  <c r="E71" i="76"/>
  <c r="L70" i="76"/>
  <c r="H70" i="76"/>
  <c r="E70" i="76"/>
  <c r="L69" i="76"/>
  <c r="H69" i="76"/>
  <c r="E69" i="76"/>
  <c r="L68" i="76"/>
  <c r="H68" i="76"/>
  <c r="E68" i="76"/>
  <c r="L67" i="76"/>
  <c r="H67" i="76"/>
  <c r="E67" i="76"/>
  <c r="L66" i="76"/>
  <c r="H66" i="76"/>
  <c r="E66" i="76"/>
  <c r="L65" i="76"/>
  <c r="H65" i="76"/>
  <c r="E65" i="76"/>
  <c r="D65" i="76" s="1"/>
  <c r="L64" i="76"/>
  <c r="H64" i="76"/>
  <c r="E64" i="76"/>
  <c r="L63" i="76"/>
  <c r="E63" i="76"/>
  <c r="L62" i="76"/>
  <c r="E62" i="76"/>
  <c r="L61" i="76"/>
  <c r="H61" i="76"/>
  <c r="E61" i="76"/>
  <c r="L60" i="76"/>
  <c r="H60" i="76"/>
  <c r="E60" i="76"/>
  <c r="L59" i="76"/>
  <c r="H59" i="76"/>
  <c r="E59" i="76"/>
  <c r="D59" i="76" s="1"/>
  <c r="L58" i="76"/>
  <c r="H58" i="76"/>
  <c r="E58" i="76"/>
  <c r="L57" i="76"/>
  <c r="H57" i="76"/>
  <c r="E57" i="76"/>
  <c r="L56" i="76"/>
  <c r="H56" i="76"/>
  <c r="E56" i="76"/>
  <c r="L55" i="76"/>
  <c r="H55" i="76"/>
  <c r="E55" i="76"/>
  <c r="L54" i="76"/>
  <c r="H54" i="76"/>
  <c r="E54" i="76"/>
  <c r="L53" i="76"/>
  <c r="H53" i="76"/>
  <c r="E53" i="76"/>
  <c r="L52" i="76"/>
  <c r="H52" i="76"/>
  <c r="E52" i="76"/>
  <c r="L51" i="76"/>
  <c r="H51" i="76"/>
  <c r="E51" i="76"/>
  <c r="D51" i="76" s="1"/>
  <c r="L50" i="76"/>
  <c r="H50" i="76"/>
  <c r="E50" i="76"/>
  <c r="L49" i="76"/>
  <c r="H49" i="76"/>
  <c r="E49" i="76"/>
  <c r="L48" i="76"/>
  <c r="H48" i="76"/>
  <c r="E48" i="76"/>
  <c r="L47" i="76"/>
  <c r="H47" i="76"/>
  <c r="E47" i="76"/>
  <c r="L46" i="76"/>
  <c r="H46" i="76"/>
  <c r="E46" i="76"/>
  <c r="L45" i="76"/>
  <c r="H45" i="76"/>
  <c r="E45" i="76"/>
  <c r="L44" i="76"/>
  <c r="H44" i="76"/>
  <c r="E44" i="76"/>
  <c r="L43" i="76"/>
  <c r="H43" i="76"/>
  <c r="E43" i="76"/>
  <c r="D43" i="76" s="1"/>
  <c r="L42" i="76"/>
  <c r="H42" i="76"/>
  <c r="E42" i="76"/>
  <c r="D42" i="76" s="1"/>
  <c r="L41" i="76"/>
  <c r="H41" i="76"/>
  <c r="E41" i="76"/>
  <c r="L40" i="76"/>
  <c r="H40" i="76"/>
  <c r="E40" i="76"/>
  <c r="L39" i="76"/>
  <c r="H39" i="76"/>
  <c r="E39" i="76"/>
  <c r="L38" i="76"/>
  <c r="H38" i="76"/>
  <c r="E38" i="76"/>
  <c r="L37" i="76"/>
  <c r="H37" i="76"/>
  <c r="E37" i="76"/>
  <c r="L36" i="76"/>
  <c r="H36" i="76"/>
  <c r="E36" i="76"/>
  <c r="L35" i="76"/>
  <c r="H35" i="76"/>
  <c r="E35" i="76"/>
  <c r="D35" i="76" s="1"/>
  <c r="L34" i="76"/>
  <c r="H34" i="76"/>
  <c r="E34" i="76"/>
  <c r="D34" i="76" s="1"/>
  <c r="L33" i="76"/>
  <c r="E33" i="76"/>
  <c r="L32" i="76"/>
  <c r="E32" i="76"/>
  <c r="L31" i="76"/>
  <c r="H31" i="76"/>
  <c r="E31" i="76"/>
  <c r="L30" i="76"/>
  <c r="H30" i="76"/>
  <c r="E30" i="76"/>
  <c r="L29" i="76"/>
  <c r="H29" i="76"/>
  <c r="E29" i="76"/>
  <c r="D29" i="76" s="1"/>
  <c r="L28" i="76"/>
  <c r="H28" i="76"/>
  <c r="E28" i="76"/>
  <c r="L27" i="76"/>
  <c r="H27" i="76"/>
  <c r="E27" i="76"/>
  <c r="L26" i="76"/>
  <c r="H26" i="76"/>
  <c r="E26" i="76"/>
  <c r="L25" i="76"/>
  <c r="H25" i="76"/>
  <c r="E25" i="76"/>
  <c r="L24" i="76"/>
  <c r="H24" i="76"/>
  <c r="E24" i="76"/>
  <c r="L23" i="76"/>
  <c r="H23" i="76"/>
  <c r="E23" i="76"/>
  <c r="L22" i="76"/>
  <c r="H22" i="76"/>
  <c r="E22" i="76"/>
  <c r="L21" i="76"/>
  <c r="H21" i="76"/>
  <c r="E21" i="76"/>
  <c r="D21" i="76" s="1"/>
  <c r="L20" i="76"/>
  <c r="H20" i="76"/>
  <c r="E20" i="76"/>
  <c r="L19" i="76"/>
  <c r="H19" i="76"/>
  <c r="E19" i="76"/>
  <c r="L18" i="76"/>
  <c r="H18" i="76"/>
  <c r="E18" i="76"/>
  <c r="L17" i="76"/>
  <c r="H17" i="76"/>
  <c r="E17" i="76"/>
  <c r="D17" i="76" s="1"/>
  <c r="L16" i="76"/>
  <c r="H16" i="76"/>
  <c r="E16" i="76"/>
  <c r="L15" i="76"/>
  <c r="H15" i="76"/>
  <c r="E15" i="76"/>
  <c r="L14" i="76"/>
  <c r="H14" i="76"/>
  <c r="E14" i="76"/>
  <c r="L13" i="76"/>
  <c r="H13" i="76"/>
  <c r="E13" i="76"/>
  <c r="D13" i="76" s="1"/>
  <c r="L12" i="76"/>
  <c r="H12" i="76"/>
  <c r="E12" i="76"/>
  <c r="L11" i="76"/>
  <c r="H11" i="76"/>
  <c r="E11" i="76"/>
  <c r="L10" i="76"/>
  <c r="H10" i="76"/>
  <c r="G9" i="76"/>
  <c r="E10" i="76"/>
  <c r="N9" i="76"/>
  <c r="M9" i="76"/>
  <c r="K9" i="76"/>
  <c r="J9" i="76"/>
  <c r="J7" i="76" s="1"/>
  <c r="I9" i="76"/>
  <c r="N8" i="76"/>
  <c r="M8" i="76"/>
  <c r="L8" i="76"/>
  <c r="K8" i="76"/>
  <c r="J8" i="76"/>
  <c r="I8" i="76"/>
  <c r="G8" i="76"/>
  <c r="F8" i="76"/>
  <c r="D146" i="75"/>
  <c r="D145" i="75"/>
  <c r="D144" i="75"/>
  <c r="D143" i="75"/>
  <c r="D142" i="75"/>
  <c r="D141" i="75"/>
  <c r="D140" i="75"/>
  <c r="D139" i="75"/>
  <c r="D138" i="75"/>
  <c r="D137" i="75"/>
  <c r="D136" i="75"/>
  <c r="D135" i="75"/>
  <c r="D134" i="75"/>
  <c r="D133" i="75"/>
  <c r="D132" i="75"/>
  <c r="D131" i="75"/>
  <c r="D130" i="75"/>
  <c r="D129" i="75"/>
  <c r="D128" i="75"/>
  <c r="D127" i="75"/>
  <c r="D126" i="75"/>
  <c r="D125" i="75"/>
  <c r="D124" i="75"/>
  <c r="D123" i="75"/>
  <c r="D122" i="75"/>
  <c r="D121" i="75"/>
  <c r="D120" i="75"/>
  <c r="D119" i="75"/>
  <c r="D118" i="75"/>
  <c r="D117" i="75"/>
  <c r="D116" i="75"/>
  <c r="D115" i="75"/>
  <c r="D114" i="75"/>
  <c r="D113" i="75"/>
  <c r="D112" i="75"/>
  <c r="D111" i="75"/>
  <c r="D110" i="75"/>
  <c r="D109" i="75"/>
  <c r="D108" i="75"/>
  <c r="D107" i="75"/>
  <c r="D106" i="75"/>
  <c r="D105" i="75"/>
  <c r="D104" i="75"/>
  <c r="D103" i="75"/>
  <c r="D102" i="75"/>
  <c r="D101" i="75"/>
  <c r="D100" i="75"/>
  <c r="D99" i="75"/>
  <c r="F98" i="75"/>
  <c r="F9" i="75" s="1"/>
  <c r="D97" i="75"/>
  <c r="D96" i="75"/>
  <c r="D95" i="75"/>
  <c r="D94" i="75"/>
  <c r="D93" i="75"/>
  <c r="D92" i="75"/>
  <c r="D91" i="75"/>
  <c r="D90" i="75"/>
  <c r="D89" i="75"/>
  <c r="D88" i="75"/>
  <c r="D87" i="75"/>
  <c r="D86" i="75"/>
  <c r="D85" i="75"/>
  <c r="D84" i="75"/>
  <c r="D83" i="75"/>
  <c r="D82" i="75"/>
  <c r="D81" i="75"/>
  <c r="D80" i="75"/>
  <c r="D79" i="75"/>
  <c r="D78" i="75"/>
  <c r="D77" i="75"/>
  <c r="D76" i="75"/>
  <c r="D75" i="75"/>
  <c r="D74" i="75"/>
  <c r="D73" i="75"/>
  <c r="D72" i="75"/>
  <c r="D71" i="75"/>
  <c r="D70" i="75"/>
  <c r="D69" i="75"/>
  <c r="D68" i="75"/>
  <c r="D67" i="75"/>
  <c r="D66" i="75"/>
  <c r="D65" i="75"/>
  <c r="D64" i="75"/>
  <c r="D63" i="75"/>
  <c r="D62" i="75"/>
  <c r="D61" i="75"/>
  <c r="D60" i="75"/>
  <c r="D59" i="75"/>
  <c r="D58" i="75"/>
  <c r="D57" i="75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43" i="75"/>
  <c r="D42" i="75"/>
  <c r="D41" i="75"/>
  <c r="D40" i="75"/>
  <c r="D39" i="75"/>
  <c r="D38" i="75"/>
  <c r="D37" i="75"/>
  <c r="D36" i="75"/>
  <c r="D35" i="75"/>
  <c r="D34" i="75"/>
  <c r="D33" i="75"/>
  <c r="D32" i="75"/>
  <c r="D31" i="75"/>
  <c r="D30" i="75"/>
  <c r="D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G9" i="75"/>
  <c r="G8" i="75"/>
  <c r="F8" i="75"/>
  <c r="E8" i="75"/>
  <c r="S148" i="74"/>
  <c r="H148" i="74"/>
  <c r="S147" i="74"/>
  <c r="H147" i="74"/>
  <c r="E147" i="74"/>
  <c r="S146" i="74"/>
  <c r="H146" i="74"/>
  <c r="S145" i="74"/>
  <c r="H145" i="74"/>
  <c r="E145" i="74"/>
  <c r="S144" i="74"/>
  <c r="H144" i="74"/>
  <c r="S143" i="74"/>
  <c r="H143" i="74"/>
  <c r="E143" i="74"/>
  <c r="S142" i="74"/>
  <c r="H142" i="74"/>
  <c r="S141" i="74"/>
  <c r="H141" i="74"/>
  <c r="E141" i="74"/>
  <c r="S140" i="74"/>
  <c r="O140" i="74"/>
  <c r="H140" i="74"/>
  <c r="E140" i="74"/>
  <c r="S139" i="74"/>
  <c r="O139" i="74"/>
  <c r="H139" i="74"/>
  <c r="S138" i="74"/>
  <c r="O138" i="74"/>
  <c r="H138" i="74"/>
  <c r="E138" i="74"/>
  <c r="D138" i="74" s="1"/>
  <c r="S137" i="74"/>
  <c r="O137" i="74"/>
  <c r="H137" i="74"/>
  <c r="S136" i="74"/>
  <c r="O136" i="74"/>
  <c r="H136" i="74"/>
  <c r="S135" i="74"/>
  <c r="O135" i="74"/>
  <c r="H135" i="74"/>
  <c r="E135" i="74"/>
  <c r="S134" i="74"/>
  <c r="O134" i="74"/>
  <c r="H134" i="74"/>
  <c r="E134" i="74"/>
  <c r="S133" i="74"/>
  <c r="O133" i="74"/>
  <c r="H133" i="74"/>
  <c r="S132" i="74"/>
  <c r="O132" i="74"/>
  <c r="H132" i="74"/>
  <c r="E132" i="74"/>
  <c r="S131" i="74"/>
  <c r="O131" i="74"/>
  <c r="H131" i="74"/>
  <c r="E131" i="74"/>
  <c r="S130" i="74"/>
  <c r="Q130" i="74"/>
  <c r="O130" i="74" s="1"/>
  <c r="H130" i="74"/>
  <c r="S129" i="74"/>
  <c r="O129" i="74"/>
  <c r="H129" i="74"/>
  <c r="S128" i="74"/>
  <c r="O128" i="74"/>
  <c r="H128" i="74"/>
  <c r="S127" i="74"/>
  <c r="H127" i="74"/>
  <c r="S126" i="74"/>
  <c r="O126" i="74"/>
  <c r="H126" i="74"/>
  <c r="E126" i="74"/>
  <c r="S125" i="74"/>
  <c r="O125" i="74"/>
  <c r="H125" i="74"/>
  <c r="S124" i="74"/>
  <c r="O124" i="74"/>
  <c r="H124" i="74"/>
  <c r="E124" i="74"/>
  <c r="S123" i="74"/>
  <c r="O123" i="74"/>
  <c r="H123" i="74"/>
  <c r="E123" i="74"/>
  <c r="S122" i="74"/>
  <c r="O122" i="74"/>
  <c r="H122" i="74"/>
  <c r="E122" i="74"/>
  <c r="S121" i="74"/>
  <c r="O121" i="74"/>
  <c r="H121" i="74"/>
  <c r="S120" i="74"/>
  <c r="O120" i="74"/>
  <c r="H120" i="74"/>
  <c r="E120" i="74"/>
  <c r="S119" i="74"/>
  <c r="O119" i="74"/>
  <c r="H119" i="74"/>
  <c r="E119" i="74"/>
  <c r="S118" i="74"/>
  <c r="O118" i="74"/>
  <c r="H118" i="74"/>
  <c r="S117" i="74"/>
  <c r="O117" i="74"/>
  <c r="H117" i="74"/>
  <c r="S116" i="74"/>
  <c r="O116" i="74"/>
  <c r="H116" i="74"/>
  <c r="E116" i="74"/>
  <c r="S115" i="74"/>
  <c r="O115" i="74"/>
  <c r="H115" i="74"/>
  <c r="E115" i="74"/>
  <c r="S114" i="74"/>
  <c r="O114" i="74"/>
  <c r="H114" i="74"/>
  <c r="E114" i="74"/>
  <c r="S113" i="74"/>
  <c r="O113" i="74"/>
  <c r="H113" i="74"/>
  <c r="E113" i="74"/>
  <c r="S112" i="74"/>
  <c r="O112" i="74"/>
  <c r="H112" i="74"/>
  <c r="S111" i="74"/>
  <c r="O111" i="74"/>
  <c r="H111" i="74"/>
  <c r="E111" i="74"/>
  <c r="S110" i="74"/>
  <c r="O110" i="74"/>
  <c r="H110" i="74"/>
  <c r="E110" i="74"/>
  <c r="S109" i="74"/>
  <c r="O109" i="74"/>
  <c r="H109" i="74"/>
  <c r="E109" i="74"/>
  <c r="S108" i="74"/>
  <c r="O108" i="74"/>
  <c r="H108" i="74"/>
  <c r="E108" i="74"/>
  <c r="S107" i="74"/>
  <c r="O107" i="74"/>
  <c r="H107" i="74"/>
  <c r="S106" i="74"/>
  <c r="O106" i="74"/>
  <c r="H106" i="74"/>
  <c r="S105" i="74"/>
  <c r="O105" i="74"/>
  <c r="H105" i="74"/>
  <c r="E105" i="74"/>
  <c r="S104" i="74"/>
  <c r="O104" i="74"/>
  <c r="H104" i="74"/>
  <c r="E104" i="74"/>
  <c r="S103" i="74"/>
  <c r="O103" i="74"/>
  <c r="H103" i="74"/>
  <c r="S102" i="74"/>
  <c r="O102" i="74"/>
  <c r="H102" i="74"/>
  <c r="E102" i="74"/>
  <c r="S101" i="74"/>
  <c r="O101" i="74"/>
  <c r="H101" i="74"/>
  <c r="E101" i="74"/>
  <c r="S100" i="74"/>
  <c r="O100" i="74"/>
  <c r="H100" i="74"/>
  <c r="S99" i="74"/>
  <c r="O99" i="74"/>
  <c r="K99" i="74"/>
  <c r="H99" i="74" s="1"/>
  <c r="E99" i="74"/>
  <c r="S98" i="74"/>
  <c r="O98" i="74"/>
  <c r="H98" i="74"/>
  <c r="S97" i="74"/>
  <c r="O97" i="74"/>
  <c r="H97" i="74"/>
  <c r="E97" i="74"/>
  <c r="S96" i="74"/>
  <c r="O96" i="74"/>
  <c r="H96" i="74"/>
  <c r="E96" i="74"/>
  <c r="S95" i="74"/>
  <c r="O95" i="74"/>
  <c r="H95" i="74"/>
  <c r="S94" i="74"/>
  <c r="O94" i="74"/>
  <c r="H94" i="74"/>
  <c r="E94" i="74"/>
  <c r="S93" i="74"/>
  <c r="O93" i="74"/>
  <c r="H93" i="74"/>
  <c r="S92" i="74"/>
  <c r="O92" i="74"/>
  <c r="H92" i="74"/>
  <c r="S91" i="74"/>
  <c r="O91" i="74"/>
  <c r="H91" i="74"/>
  <c r="S90" i="74"/>
  <c r="H90" i="74"/>
  <c r="E90" i="74"/>
  <c r="S89" i="74"/>
  <c r="O89" i="74"/>
  <c r="H89" i="74"/>
  <c r="E89" i="74"/>
  <c r="S88" i="74"/>
  <c r="O88" i="74"/>
  <c r="H88" i="74"/>
  <c r="H87" i="74"/>
  <c r="D87" i="74" s="1"/>
  <c r="S86" i="74"/>
  <c r="O86" i="74"/>
  <c r="H86" i="74"/>
  <c r="E86" i="74"/>
  <c r="S85" i="74"/>
  <c r="O85" i="74"/>
  <c r="H85" i="74"/>
  <c r="E85" i="74"/>
  <c r="H84" i="74"/>
  <c r="S83" i="74"/>
  <c r="O83" i="74"/>
  <c r="H83" i="74"/>
  <c r="E83" i="74"/>
  <c r="S82" i="74"/>
  <c r="O82" i="74"/>
  <c r="H82" i="74"/>
  <c r="E82" i="74"/>
  <c r="S81" i="74"/>
  <c r="O81" i="74"/>
  <c r="H81" i="74"/>
  <c r="E81" i="74"/>
  <c r="S80" i="74"/>
  <c r="O80" i="74"/>
  <c r="H80" i="74"/>
  <c r="E80" i="74"/>
  <c r="S79" i="74"/>
  <c r="O79" i="74"/>
  <c r="H79" i="74"/>
  <c r="E79" i="74"/>
  <c r="S78" i="74"/>
  <c r="O78" i="74"/>
  <c r="H78" i="74"/>
  <c r="S77" i="74"/>
  <c r="O77" i="74"/>
  <c r="H77" i="74"/>
  <c r="E77" i="74"/>
  <c r="S76" i="74"/>
  <c r="O76" i="74"/>
  <c r="H76" i="74"/>
  <c r="E76" i="74"/>
  <c r="S75" i="74"/>
  <c r="O75" i="74"/>
  <c r="H75" i="74"/>
  <c r="H74" i="74"/>
  <c r="D74" i="74" s="1"/>
  <c r="S73" i="74"/>
  <c r="O73" i="74"/>
  <c r="H73" i="74"/>
  <c r="E73" i="74"/>
  <c r="S72" i="74"/>
  <c r="O72" i="74"/>
  <c r="H72" i="74"/>
  <c r="E72" i="74"/>
  <c r="S71" i="74"/>
  <c r="O71" i="74"/>
  <c r="H71" i="74"/>
  <c r="S70" i="74"/>
  <c r="O70" i="74"/>
  <c r="H70" i="74"/>
  <c r="S69" i="74"/>
  <c r="O69" i="74"/>
  <c r="H69" i="74"/>
  <c r="E69" i="74"/>
  <c r="S68" i="74"/>
  <c r="O68" i="74"/>
  <c r="H68" i="74"/>
  <c r="E68" i="74"/>
  <c r="S67" i="74"/>
  <c r="O67" i="74"/>
  <c r="H67" i="74"/>
  <c r="S66" i="74"/>
  <c r="O66" i="74"/>
  <c r="H66" i="74"/>
  <c r="E66" i="74"/>
  <c r="S65" i="74"/>
  <c r="O65" i="74"/>
  <c r="H65" i="74"/>
  <c r="E65" i="74"/>
  <c r="S64" i="74"/>
  <c r="H64" i="74"/>
  <c r="S63" i="74"/>
  <c r="H63" i="74"/>
  <c r="S62" i="74"/>
  <c r="O62" i="74"/>
  <c r="H62" i="74"/>
  <c r="E62" i="74"/>
  <c r="S61" i="74"/>
  <c r="O61" i="74"/>
  <c r="H61" i="74"/>
  <c r="E61" i="74"/>
  <c r="S60" i="74"/>
  <c r="O60" i="74"/>
  <c r="H60" i="74"/>
  <c r="S59" i="74"/>
  <c r="O59" i="74"/>
  <c r="H59" i="74"/>
  <c r="E59" i="74"/>
  <c r="S58" i="74"/>
  <c r="O58" i="74"/>
  <c r="H58" i="74"/>
  <c r="E58" i="74"/>
  <c r="S57" i="74"/>
  <c r="O57" i="74"/>
  <c r="H57" i="74"/>
  <c r="E57" i="74"/>
  <c r="S56" i="74"/>
  <c r="O56" i="74"/>
  <c r="H56" i="74"/>
  <c r="S55" i="74"/>
  <c r="O55" i="74"/>
  <c r="H55" i="74"/>
  <c r="S54" i="74"/>
  <c r="O54" i="74"/>
  <c r="H54" i="74"/>
  <c r="E54" i="74"/>
  <c r="S53" i="74"/>
  <c r="O53" i="74"/>
  <c r="H53" i="74"/>
  <c r="S52" i="74"/>
  <c r="O52" i="74"/>
  <c r="H52" i="74"/>
  <c r="S51" i="74"/>
  <c r="O51" i="74"/>
  <c r="H51" i="74"/>
  <c r="E51" i="74"/>
  <c r="S50" i="74"/>
  <c r="O50" i="74"/>
  <c r="H50" i="74"/>
  <c r="E50" i="74"/>
  <c r="S49" i="74"/>
  <c r="O49" i="74"/>
  <c r="H49" i="74"/>
  <c r="S48" i="74"/>
  <c r="O48" i="74"/>
  <c r="H48" i="74"/>
  <c r="E48" i="74"/>
  <c r="S47" i="74"/>
  <c r="O47" i="74"/>
  <c r="H47" i="74"/>
  <c r="S46" i="74"/>
  <c r="O46" i="74"/>
  <c r="H46" i="74"/>
  <c r="S45" i="74"/>
  <c r="O45" i="74"/>
  <c r="H45" i="74"/>
  <c r="S44" i="74"/>
  <c r="O44" i="74"/>
  <c r="H44" i="74"/>
  <c r="E44" i="74"/>
  <c r="S43" i="74"/>
  <c r="O43" i="74"/>
  <c r="H43" i="74"/>
  <c r="S42" i="74"/>
  <c r="O42" i="74"/>
  <c r="H42" i="74"/>
  <c r="S41" i="74"/>
  <c r="O41" i="74"/>
  <c r="H41" i="74"/>
  <c r="S40" i="74"/>
  <c r="O40" i="74"/>
  <c r="H40" i="74"/>
  <c r="S39" i="74"/>
  <c r="O39" i="74"/>
  <c r="H39" i="74"/>
  <c r="E39" i="74"/>
  <c r="S38" i="74"/>
  <c r="O38" i="74"/>
  <c r="H38" i="74"/>
  <c r="S37" i="74"/>
  <c r="O37" i="74"/>
  <c r="H37" i="74"/>
  <c r="S36" i="74"/>
  <c r="O36" i="74"/>
  <c r="H36" i="74"/>
  <c r="E36" i="74"/>
  <c r="S35" i="74"/>
  <c r="O35" i="74"/>
  <c r="H35" i="74"/>
  <c r="S34" i="74"/>
  <c r="H34" i="74"/>
  <c r="E34" i="74"/>
  <c r="S33" i="74"/>
  <c r="H33" i="74"/>
  <c r="E33" i="74"/>
  <c r="S32" i="74"/>
  <c r="O32" i="74"/>
  <c r="H32" i="74"/>
  <c r="S31" i="74"/>
  <c r="O31" i="74"/>
  <c r="H31" i="74"/>
  <c r="E31" i="74"/>
  <c r="S30" i="74"/>
  <c r="O30" i="74"/>
  <c r="H30" i="74"/>
  <c r="S29" i="74"/>
  <c r="O29" i="74"/>
  <c r="H29" i="74"/>
  <c r="S28" i="74"/>
  <c r="O28" i="74"/>
  <c r="H28" i="74"/>
  <c r="E28" i="74"/>
  <c r="S27" i="74"/>
  <c r="O27" i="74"/>
  <c r="H27" i="74"/>
  <c r="E27" i="74"/>
  <c r="S26" i="74"/>
  <c r="O26" i="74"/>
  <c r="H26" i="74"/>
  <c r="E26" i="74"/>
  <c r="S25" i="74"/>
  <c r="O25" i="74"/>
  <c r="H25" i="74"/>
  <c r="E25" i="74"/>
  <c r="S24" i="74"/>
  <c r="O24" i="74"/>
  <c r="H24" i="74"/>
  <c r="S23" i="74"/>
  <c r="O23" i="74"/>
  <c r="H23" i="74"/>
  <c r="E23" i="74"/>
  <c r="S22" i="74"/>
  <c r="O22" i="74"/>
  <c r="H22" i="74"/>
  <c r="E22" i="74"/>
  <c r="S21" i="74"/>
  <c r="O21" i="74"/>
  <c r="H21" i="74"/>
  <c r="E21" i="74"/>
  <c r="S20" i="74"/>
  <c r="O20" i="74"/>
  <c r="H20" i="74"/>
  <c r="S19" i="74"/>
  <c r="O19" i="74"/>
  <c r="H19" i="74"/>
  <c r="E19" i="74"/>
  <c r="S18" i="74"/>
  <c r="O18" i="74"/>
  <c r="H18" i="74"/>
  <c r="E18" i="74"/>
  <c r="S17" i="74"/>
  <c r="O17" i="74"/>
  <c r="H17" i="74"/>
  <c r="E17" i="74"/>
  <c r="S16" i="74"/>
  <c r="O16" i="74"/>
  <c r="H16" i="74"/>
  <c r="S15" i="74"/>
  <c r="O15" i="74"/>
  <c r="H15" i="74"/>
  <c r="E15" i="74"/>
  <c r="S14" i="74"/>
  <c r="O14" i="74"/>
  <c r="H14" i="74"/>
  <c r="E14" i="74"/>
  <c r="S13" i="74"/>
  <c r="O13" i="74"/>
  <c r="H13" i="74"/>
  <c r="S12" i="74"/>
  <c r="O12" i="74"/>
  <c r="H12" i="74"/>
  <c r="S11" i="74"/>
  <c r="O11" i="74"/>
  <c r="H11" i="74"/>
  <c r="E11" i="74"/>
  <c r="P10" i="74"/>
  <c r="L10" i="74"/>
  <c r="K10" i="74"/>
  <c r="J10" i="74"/>
  <c r="I10" i="74"/>
  <c r="S9" i="74"/>
  <c r="R9" i="74"/>
  <c r="P9" i="74"/>
  <c r="L9" i="74"/>
  <c r="K9" i="74"/>
  <c r="J9" i="74"/>
  <c r="I9" i="74"/>
  <c r="H9" i="74"/>
  <c r="E9" i="74"/>
  <c r="D150" i="73"/>
  <c r="D149" i="73"/>
  <c r="D148" i="73"/>
  <c r="D147" i="73"/>
  <c r="D146" i="73"/>
  <c r="D145" i="73"/>
  <c r="D144" i="73"/>
  <c r="D143" i="73"/>
  <c r="H142" i="73"/>
  <c r="F142" i="73" s="1"/>
  <c r="D142" i="73" s="1"/>
  <c r="H141" i="73"/>
  <c r="F141" i="73"/>
  <c r="D141" i="73" s="1"/>
  <c r="H140" i="73"/>
  <c r="F140" i="73" s="1"/>
  <c r="D140" i="73" s="1"/>
  <c r="H139" i="73"/>
  <c r="F139" i="73" s="1"/>
  <c r="D139" i="73" s="1"/>
  <c r="H138" i="73"/>
  <c r="F138" i="73" s="1"/>
  <c r="D138" i="73" s="1"/>
  <c r="H137" i="73"/>
  <c r="F137" i="73" s="1"/>
  <c r="D137" i="73" s="1"/>
  <c r="H136" i="73"/>
  <c r="F136" i="73" s="1"/>
  <c r="D136" i="73" s="1"/>
  <c r="H135" i="73"/>
  <c r="F135" i="73" s="1"/>
  <c r="D135" i="73" s="1"/>
  <c r="H134" i="73"/>
  <c r="F134" i="73" s="1"/>
  <c r="D134" i="73" s="1"/>
  <c r="H133" i="73"/>
  <c r="F133" i="73" s="1"/>
  <c r="D133" i="73" s="1"/>
  <c r="H132" i="73"/>
  <c r="F132" i="73" s="1"/>
  <c r="D132" i="73" s="1"/>
  <c r="H131" i="73"/>
  <c r="F131" i="73" s="1"/>
  <c r="D131" i="73" s="1"/>
  <c r="H130" i="73"/>
  <c r="F130" i="73" s="1"/>
  <c r="D130" i="73" s="1"/>
  <c r="D129" i="73"/>
  <c r="H128" i="73"/>
  <c r="F128" i="73" s="1"/>
  <c r="D128" i="73" s="1"/>
  <c r="D127" i="73"/>
  <c r="D126" i="73"/>
  <c r="D125" i="73"/>
  <c r="D124" i="73"/>
  <c r="D123" i="73"/>
  <c r="D122" i="73"/>
  <c r="D121" i="73"/>
  <c r="D120" i="73"/>
  <c r="D119" i="73"/>
  <c r="H118" i="73"/>
  <c r="F118" i="73" s="1"/>
  <c r="D118" i="73" s="1"/>
  <c r="D117" i="73"/>
  <c r="D116" i="73"/>
  <c r="D115" i="73"/>
  <c r="D114" i="73"/>
  <c r="D113" i="73"/>
  <c r="H112" i="73"/>
  <c r="F112" i="73" s="1"/>
  <c r="D112" i="73" s="1"/>
  <c r="H111" i="73"/>
  <c r="F111" i="73" s="1"/>
  <c r="D111" i="73" s="1"/>
  <c r="H110" i="73"/>
  <c r="F110" i="73" s="1"/>
  <c r="D110" i="73" s="1"/>
  <c r="H109" i="73"/>
  <c r="F109" i="73" s="1"/>
  <c r="D109" i="73" s="1"/>
  <c r="H108" i="73"/>
  <c r="F108" i="73" s="1"/>
  <c r="D108" i="73" s="1"/>
  <c r="H107" i="73"/>
  <c r="F107" i="73" s="1"/>
  <c r="D107" i="73" s="1"/>
  <c r="H106" i="73"/>
  <c r="F106" i="73" s="1"/>
  <c r="D106" i="73" s="1"/>
  <c r="H105" i="73"/>
  <c r="F105" i="73" s="1"/>
  <c r="D105" i="73" s="1"/>
  <c r="H104" i="73"/>
  <c r="F104" i="73" s="1"/>
  <c r="D104" i="73" s="1"/>
  <c r="H103" i="73"/>
  <c r="F103" i="73" s="1"/>
  <c r="D103" i="73" s="1"/>
  <c r="H102" i="73"/>
  <c r="F102" i="73" s="1"/>
  <c r="D102" i="73" s="1"/>
  <c r="H101" i="73"/>
  <c r="F101" i="73" s="1"/>
  <c r="D101" i="73" s="1"/>
  <c r="H100" i="73"/>
  <c r="F100" i="73" s="1"/>
  <c r="D100" i="73" s="1"/>
  <c r="H99" i="73"/>
  <c r="F99" i="73" s="1"/>
  <c r="D99" i="73" s="1"/>
  <c r="H98" i="73"/>
  <c r="F98" i="73" s="1"/>
  <c r="D98" i="73" s="1"/>
  <c r="H97" i="73"/>
  <c r="F97" i="73" s="1"/>
  <c r="D97" i="73" s="1"/>
  <c r="D96" i="73"/>
  <c r="H95" i="73"/>
  <c r="F95" i="73" s="1"/>
  <c r="D95" i="73" s="1"/>
  <c r="H94" i="73"/>
  <c r="F94" i="73" s="1"/>
  <c r="D94" i="73" s="1"/>
  <c r="H93" i="73"/>
  <c r="F93" i="73" s="1"/>
  <c r="D93" i="73" s="1"/>
  <c r="D92" i="73"/>
  <c r="H91" i="73"/>
  <c r="F91" i="73" s="1"/>
  <c r="D91" i="73" s="1"/>
  <c r="H90" i="73"/>
  <c r="F90" i="73" s="1"/>
  <c r="D90" i="73" s="1"/>
  <c r="H89" i="73"/>
  <c r="F89" i="73" s="1"/>
  <c r="D89" i="73" s="1"/>
  <c r="H88" i="73"/>
  <c r="F88" i="73" s="1"/>
  <c r="D88" i="73" s="1"/>
  <c r="H87" i="73"/>
  <c r="F87" i="73" s="1"/>
  <c r="D87" i="73" s="1"/>
  <c r="H86" i="73"/>
  <c r="F86" i="73" s="1"/>
  <c r="D86" i="73" s="1"/>
  <c r="H85" i="73"/>
  <c r="F85" i="73" s="1"/>
  <c r="D85" i="73" s="1"/>
  <c r="H84" i="73"/>
  <c r="F84" i="73" s="1"/>
  <c r="D84" i="73" s="1"/>
  <c r="H83" i="73"/>
  <c r="F83" i="73" s="1"/>
  <c r="D83" i="73" s="1"/>
  <c r="H82" i="73"/>
  <c r="F82" i="73" s="1"/>
  <c r="D82" i="73" s="1"/>
  <c r="H81" i="73"/>
  <c r="F81" i="73" s="1"/>
  <c r="D81" i="73" s="1"/>
  <c r="H80" i="73"/>
  <c r="F80" i="73" s="1"/>
  <c r="D80" i="73" s="1"/>
  <c r="H79" i="73"/>
  <c r="F79" i="73"/>
  <c r="D79" i="73" s="1"/>
  <c r="H78" i="73"/>
  <c r="F78" i="73" s="1"/>
  <c r="D78" i="73" s="1"/>
  <c r="H77" i="73"/>
  <c r="F77" i="73" s="1"/>
  <c r="D77" i="73" s="1"/>
  <c r="H76" i="73"/>
  <c r="F76" i="73" s="1"/>
  <c r="D76" i="73" s="1"/>
  <c r="H75" i="73"/>
  <c r="F75" i="73" s="1"/>
  <c r="D75" i="73" s="1"/>
  <c r="H74" i="73"/>
  <c r="F74" i="73" s="1"/>
  <c r="D74" i="73" s="1"/>
  <c r="H73" i="73"/>
  <c r="F73" i="73" s="1"/>
  <c r="D73" i="73" s="1"/>
  <c r="H72" i="73"/>
  <c r="F72" i="73" s="1"/>
  <c r="D72" i="73" s="1"/>
  <c r="H71" i="73"/>
  <c r="F71" i="73" s="1"/>
  <c r="D71" i="73" s="1"/>
  <c r="H70" i="73"/>
  <c r="F70" i="73" s="1"/>
  <c r="D70" i="73" s="1"/>
  <c r="H69" i="73"/>
  <c r="F69" i="73" s="1"/>
  <c r="D69" i="73" s="1"/>
  <c r="H68" i="73"/>
  <c r="F68" i="73" s="1"/>
  <c r="D68" i="73" s="1"/>
  <c r="H67" i="73"/>
  <c r="F67" i="73" s="1"/>
  <c r="D67" i="73" s="1"/>
  <c r="D66" i="73"/>
  <c r="D65" i="73"/>
  <c r="H64" i="73"/>
  <c r="F64" i="73"/>
  <c r="D64" i="73" s="1"/>
  <c r="H63" i="73"/>
  <c r="F63" i="73" s="1"/>
  <c r="D63" i="73" s="1"/>
  <c r="H62" i="73"/>
  <c r="F62" i="73" s="1"/>
  <c r="D62" i="73" s="1"/>
  <c r="H61" i="73"/>
  <c r="F61" i="73" s="1"/>
  <c r="D61" i="73" s="1"/>
  <c r="H60" i="73"/>
  <c r="F60" i="73" s="1"/>
  <c r="D60" i="73" s="1"/>
  <c r="H59" i="73"/>
  <c r="F59" i="73" s="1"/>
  <c r="D59" i="73" s="1"/>
  <c r="H58" i="73"/>
  <c r="F58" i="73" s="1"/>
  <c r="D58" i="73" s="1"/>
  <c r="H57" i="73"/>
  <c r="F57" i="73" s="1"/>
  <c r="D57" i="73" s="1"/>
  <c r="H56" i="73"/>
  <c r="F56" i="73" s="1"/>
  <c r="D56" i="73" s="1"/>
  <c r="H55" i="73"/>
  <c r="F55" i="73" s="1"/>
  <c r="D55" i="73" s="1"/>
  <c r="H54" i="73"/>
  <c r="F54" i="73" s="1"/>
  <c r="D54" i="73" s="1"/>
  <c r="H53" i="73"/>
  <c r="F53" i="73" s="1"/>
  <c r="D53" i="73" s="1"/>
  <c r="H52" i="73"/>
  <c r="F52" i="73" s="1"/>
  <c r="D52" i="73" s="1"/>
  <c r="H51" i="73"/>
  <c r="F51" i="73" s="1"/>
  <c r="D51" i="73" s="1"/>
  <c r="H50" i="73"/>
  <c r="F50" i="73"/>
  <c r="D50" i="73" s="1"/>
  <c r="H49" i="73"/>
  <c r="F49" i="73" s="1"/>
  <c r="D49" i="73" s="1"/>
  <c r="H48" i="73"/>
  <c r="F48" i="73" s="1"/>
  <c r="D48" i="73" s="1"/>
  <c r="H47" i="73"/>
  <c r="F47" i="73" s="1"/>
  <c r="D47" i="73" s="1"/>
  <c r="H46" i="73"/>
  <c r="F46" i="73" s="1"/>
  <c r="D46" i="73" s="1"/>
  <c r="H45" i="73"/>
  <c r="F45" i="73" s="1"/>
  <c r="D45" i="73" s="1"/>
  <c r="H44" i="73"/>
  <c r="F44" i="73" s="1"/>
  <c r="D44" i="73" s="1"/>
  <c r="H43" i="73"/>
  <c r="F43" i="73" s="1"/>
  <c r="D43" i="73" s="1"/>
  <c r="H42" i="73"/>
  <c r="F42" i="73" s="1"/>
  <c r="D42" i="73" s="1"/>
  <c r="H41" i="73"/>
  <c r="F41" i="73" s="1"/>
  <c r="D41" i="73" s="1"/>
  <c r="H40" i="73"/>
  <c r="F40" i="73"/>
  <c r="D40" i="73" s="1"/>
  <c r="H39" i="73"/>
  <c r="F39" i="73" s="1"/>
  <c r="D39" i="73" s="1"/>
  <c r="H38" i="73"/>
  <c r="H37" i="73"/>
  <c r="F37" i="73"/>
  <c r="D37" i="73" s="1"/>
  <c r="F36" i="73"/>
  <c r="D36" i="73" s="1"/>
  <c r="F35" i="73"/>
  <c r="D35" i="73" s="1"/>
  <c r="H34" i="73"/>
  <c r="F34" i="73" s="1"/>
  <c r="D34" i="73" s="1"/>
  <c r="H33" i="73"/>
  <c r="F33" i="73" s="1"/>
  <c r="D33" i="73" s="1"/>
  <c r="H32" i="73"/>
  <c r="F32" i="73" s="1"/>
  <c r="D32" i="73" s="1"/>
  <c r="H31" i="73"/>
  <c r="F31" i="73" s="1"/>
  <c r="D31" i="73" s="1"/>
  <c r="H30" i="73"/>
  <c r="F30" i="73" s="1"/>
  <c r="D30" i="73" s="1"/>
  <c r="H29" i="73"/>
  <c r="F29" i="73" s="1"/>
  <c r="D29" i="73" s="1"/>
  <c r="H28" i="73"/>
  <c r="F28" i="73" s="1"/>
  <c r="D28" i="73" s="1"/>
  <c r="H27" i="73"/>
  <c r="F27" i="73" s="1"/>
  <c r="D27" i="73" s="1"/>
  <c r="H26" i="73"/>
  <c r="F26" i="73" s="1"/>
  <c r="D26" i="73" s="1"/>
  <c r="H25" i="73"/>
  <c r="F25" i="73" s="1"/>
  <c r="D25" i="73" s="1"/>
  <c r="H24" i="73"/>
  <c r="F24" i="73" s="1"/>
  <c r="D24" i="73" s="1"/>
  <c r="H23" i="73"/>
  <c r="F23" i="73" s="1"/>
  <c r="D23" i="73" s="1"/>
  <c r="H22" i="73"/>
  <c r="F22" i="73" s="1"/>
  <c r="D22" i="73" s="1"/>
  <c r="H21" i="73"/>
  <c r="F21" i="73" s="1"/>
  <c r="D21" i="73" s="1"/>
  <c r="H20" i="73"/>
  <c r="F20" i="73" s="1"/>
  <c r="D20" i="73" s="1"/>
  <c r="H19" i="73"/>
  <c r="F19" i="73" s="1"/>
  <c r="D19" i="73" s="1"/>
  <c r="H18" i="73"/>
  <c r="F18" i="73" s="1"/>
  <c r="D18" i="73" s="1"/>
  <c r="H17" i="73"/>
  <c r="F17" i="73" s="1"/>
  <c r="D17" i="73" s="1"/>
  <c r="H16" i="73"/>
  <c r="F16" i="73" s="1"/>
  <c r="D16" i="73" s="1"/>
  <c r="H15" i="73"/>
  <c r="F15" i="73" s="1"/>
  <c r="D15" i="73" s="1"/>
  <c r="H14" i="73"/>
  <c r="F14" i="73" s="1"/>
  <c r="D14" i="73" s="1"/>
  <c r="H13" i="73"/>
  <c r="F13" i="73"/>
  <c r="D13" i="73" s="1"/>
  <c r="J12" i="73"/>
  <c r="J10" i="73" s="1"/>
  <c r="I12" i="73"/>
  <c r="I10" i="73" s="1"/>
  <c r="G12" i="73"/>
  <c r="G10" i="73" s="1"/>
  <c r="E12" i="73"/>
  <c r="E10" i="73" s="1"/>
  <c r="D11" i="73"/>
  <c r="S149" i="72"/>
  <c r="P149" i="72"/>
  <c r="M149" i="72"/>
  <c r="I149" i="72" s="1"/>
  <c r="E149" i="72"/>
  <c r="S148" i="72"/>
  <c r="P148" i="72"/>
  <c r="M148" i="72"/>
  <c r="I148" i="72" s="1"/>
  <c r="E148" i="72"/>
  <c r="S147" i="72"/>
  <c r="P147" i="72"/>
  <c r="M147" i="72"/>
  <c r="I147" i="72" s="1"/>
  <c r="E147" i="72"/>
  <c r="S146" i="72"/>
  <c r="P146" i="72"/>
  <c r="M146" i="72"/>
  <c r="I146" i="72" s="1"/>
  <c r="E146" i="72"/>
  <c r="S145" i="72"/>
  <c r="P145" i="72"/>
  <c r="M145" i="72"/>
  <c r="I145" i="72" s="1"/>
  <c r="E145" i="72"/>
  <c r="S144" i="72"/>
  <c r="P144" i="72"/>
  <c r="M144" i="72"/>
  <c r="I144" i="72" s="1"/>
  <c r="E144" i="72"/>
  <c r="S143" i="72"/>
  <c r="P143" i="72"/>
  <c r="M143" i="72"/>
  <c r="I143" i="72" s="1"/>
  <c r="E143" i="72"/>
  <c r="S142" i="72"/>
  <c r="P142" i="72"/>
  <c r="M142" i="72"/>
  <c r="I142" i="72" s="1"/>
  <c r="E142" i="72"/>
  <c r="S141" i="72"/>
  <c r="P141" i="72"/>
  <c r="M141" i="72"/>
  <c r="I141" i="72" s="1"/>
  <c r="E141" i="72"/>
  <c r="S140" i="72"/>
  <c r="P140" i="72"/>
  <c r="M140" i="72"/>
  <c r="I140" i="72" s="1"/>
  <c r="E140" i="72"/>
  <c r="S139" i="72"/>
  <c r="P139" i="72"/>
  <c r="M139" i="72"/>
  <c r="I139" i="72" s="1"/>
  <c r="E139" i="72"/>
  <c r="S138" i="72"/>
  <c r="P138" i="72"/>
  <c r="M138" i="72"/>
  <c r="I138" i="72" s="1"/>
  <c r="E138" i="72"/>
  <c r="S137" i="72"/>
  <c r="P137" i="72"/>
  <c r="M137" i="72"/>
  <c r="I137" i="72" s="1"/>
  <c r="E137" i="72"/>
  <c r="S136" i="72"/>
  <c r="P136" i="72"/>
  <c r="M136" i="72"/>
  <c r="I136" i="72" s="1"/>
  <c r="E136" i="72"/>
  <c r="S135" i="72"/>
  <c r="P135" i="72"/>
  <c r="M135" i="72"/>
  <c r="I135" i="72" s="1"/>
  <c r="E135" i="72"/>
  <c r="S134" i="72"/>
  <c r="P134" i="72"/>
  <c r="M134" i="72"/>
  <c r="I134" i="72" s="1"/>
  <c r="E134" i="72"/>
  <c r="S133" i="72"/>
  <c r="P133" i="72"/>
  <c r="M133" i="72"/>
  <c r="I133" i="72" s="1"/>
  <c r="E133" i="72"/>
  <c r="S132" i="72"/>
  <c r="P132" i="72"/>
  <c r="M132" i="72"/>
  <c r="I132" i="72" s="1"/>
  <c r="E132" i="72"/>
  <c r="S131" i="72"/>
  <c r="P131" i="72"/>
  <c r="M131" i="72"/>
  <c r="I131" i="72" s="1"/>
  <c r="E131" i="72"/>
  <c r="S130" i="72"/>
  <c r="P130" i="72"/>
  <c r="M130" i="72"/>
  <c r="I130" i="72" s="1"/>
  <c r="E130" i="72"/>
  <c r="S129" i="72"/>
  <c r="P129" i="72"/>
  <c r="M129" i="72"/>
  <c r="I129" i="72" s="1"/>
  <c r="E129" i="72"/>
  <c r="S128" i="72"/>
  <c r="P128" i="72"/>
  <c r="M128" i="72"/>
  <c r="I128" i="72" s="1"/>
  <c r="E128" i="72"/>
  <c r="S127" i="72"/>
  <c r="P127" i="72"/>
  <c r="M127" i="72"/>
  <c r="I127" i="72" s="1"/>
  <c r="E127" i="72"/>
  <c r="S126" i="72"/>
  <c r="P126" i="72"/>
  <c r="M126" i="72"/>
  <c r="I126" i="72" s="1"/>
  <c r="E126" i="72"/>
  <c r="S125" i="72"/>
  <c r="P125" i="72"/>
  <c r="M125" i="72"/>
  <c r="I125" i="72" s="1"/>
  <c r="E125" i="72"/>
  <c r="S124" i="72"/>
  <c r="P124" i="72"/>
  <c r="M124" i="72"/>
  <c r="I124" i="72" s="1"/>
  <c r="E124" i="72"/>
  <c r="S123" i="72"/>
  <c r="P123" i="72"/>
  <c r="M123" i="72"/>
  <c r="I123" i="72" s="1"/>
  <c r="E123" i="72"/>
  <c r="S122" i="72"/>
  <c r="P122" i="72"/>
  <c r="M122" i="72"/>
  <c r="I122" i="72" s="1"/>
  <c r="E122" i="72"/>
  <c r="S121" i="72"/>
  <c r="P121" i="72"/>
  <c r="M121" i="72"/>
  <c r="I121" i="72" s="1"/>
  <c r="E121" i="72"/>
  <c r="S120" i="72"/>
  <c r="P120" i="72"/>
  <c r="M120" i="72"/>
  <c r="I120" i="72" s="1"/>
  <c r="E120" i="72"/>
  <c r="S119" i="72"/>
  <c r="P119" i="72"/>
  <c r="M119" i="72"/>
  <c r="I119" i="72" s="1"/>
  <c r="E119" i="72"/>
  <c r="S118" i="72"/>
  <c r="P118" i="72"/>
  <c r="M118" i="72"/>
  <c r="I118" i="72" s="1"/>
  <c r="E118" i="72"/>
  <c r="S117" i="72"/>
  <c r="P117" i="72"/>
  <c r="M117" i="72"/>
  <c r="I117" i="72" s="1"/>
  <c r="E117" i="72"/>
  <c r="S116" i="72"/>
  <c r="P116" i="72"/>
  <c r="M116" i="72"/>
  <c r="I116" i="72" s="1"/>
  <c r="E116" i="72"/>
  <c r="S115" i="72"/>
  <c r="P115" i="72"/>
  <c r="M115" i="72"/>
  <c r="I115" i="72" s="1"/>
  <c r="E115" i="72"/>
  <c r="S114" i="72"/>
  <c r="P114" i="72"/>
  <c r="M114" i="72"/>
  <c r="I114" i="72" s="1"/>
  <c r="E114" i="72"/>
  <c r="S113" i="72"/>
  <c r="P113" i="72"/>
  <c r="M113" i="72"/>
  <c r="I113" i="72" s="1"/>
  <c r="E113" i="72"/>
  <c r="S112" i="72"/>
  <c r="P112" i="72"/>
  <c r="M112" i="72"/>
  <c r="I112" i="72" s="1"/>
  <c r="E112" i="72"/>
  <c r="S111" i="72"/>
  <c r="P111" i="72"/>
  <c r="M111" i="72"/>
  <c r="I111" i="72" s="1"/>
  <c r="E111" i="72"/>
  <c r="S110" i="72"/>
  <c r="P110" i="72"/>
  <c r="M110" i="72"/>
  <c r="I110" i="72" s="1"/>
  <c r="E110" i="72"/>
  <c r="S109" i="72"/>
  <c r="P109" i="72"/>
  <c r="M109" i="72"/>
  <c r="I109" i="72" s="1"/>
  <c r="E109" i="72"/>
  <c r="S108" i="72"/>
  <c r="P108" i="72"/>
  <c r="M108" i="72"/>
  <c r="I108" i="72" s="1"/>
  <c r="E108" i="72"/>
  <c r="S107" i="72"/>
  <c r="P107" i="72"/>
  <c r="M107" i="72"/>
  <c r="I107" i="72" s="1"/>
  <c r="E107" i="72"/>
  <c r="S106" i="72"/>
  <c r="P106" i="72"/>
  <c r="M106" i="72"/>
  <c r="I106" i="72" s="1"/>
  <c r="D106" i="72" s="1"/>
  <c r="E106" i="72"/>
  <c r="S105" i="72"/>
  <c r="P105" i="72"/>
  <c r="M105" i="72"/>
  <c r="I105" i="72" s="1"/>
  <c r="E105" i="72"/>
  <c r="S104" i="72"/>
  <c r="P104" i="72"/>
  <c r="M104" i="72"/>
  <c r="I104" i="72" s="1"/>
  <c r="E104" i="72"/>
  <c r="S103" i="72"/>
  <c r="P103" i="72"/>
  <c r="M103" i="72"/>
  <c r="I103" i="72" s="1"/>
  <c r="E103" i="72"/>
  <c r="S102" i="72"/>
  <c r="P102" i="72"/>
  <c r="M102" i="72"/>
  <c r="I102" i="72" s="1"/>
  <c r="E102" i="72"/>
  <c r="S101" i="72"/>
  <c r="P101" i="72"/>
  <c r="M101" i="72"/>
  <c r="I101" i="72" s="1"/>
  <c r="E101" i="72"/>
  <c r="S100" i="72"/>
  <c r="P100" i="72"/>
  <c r="M100" i="72"/>
  <c r="I100" i="72" s="1"/>
  <c r="E100" i="72"/>
  <c r="S99" i="72"/>
  <c r="P99" i="72"/>
  <c r="M99" i="72"/>
  <c r="I99" i="72" s="1"/>
  <c r="E99" i="72"/>
  <c r="S98" i="72"/>
  <c r="P98" i="72"/>
  <c r="M98" i="72"/>
  <c r="I98" i="72" s="1"/>
  <c r="E98" i="72"/>
  <c r="S97" i="72"/>
  <c r="P97" i="72"/>
  <c r="M97" i="72"/>
  <c r="I97" i="72" s="1"/>
  <c r="E97" i="72"/>
  <c r="S96" i="72"/>
  <c r="P96" i="72"/>
  <c r="M96" i="72"/>
  <c r="I96" i="72" s="1"/>
  <c r="E96" i="72"/>
  <c r="S95" i="72"/>
  <c r="P95" i="72"/>
  <c r="M95" i="72"/>
  <c r="I95" i="72" s="1"/>
  <c r="E95" i="72"/>
  <c r="S94" i="72"/>
  <c r="P94" i="72"/>
  <c r="M94" i="72"/>
  <c r="I94" i="72" s="1"/>
  <c r="E94" i="72"/>
  <c r="S93" i="72"/>
  <c r="P93" i="72"/>
  <c r="M93" i="72"/>
  <c r="I93" i="72" s="1"/>
  <c r="E93" i="72"/>
  <c r="S92" i="72"/>
  <c r="P92" i="72"/>
  <c r="M92" i="72"/>
  <c r="I92" i="72" s="1"/>
  <c r="E92" i="72"/>
  <c r="S91" i="72"/>
  <c r="P91" i="72"/>
  <c r="M91" i="72"/>
  <c r="I91" i="72" s="1"/>
  <c r="E91" i="72"/>
  <c r="S90" i="72"/>
  <c r="P90" i="72"/>
  <c r="M90" i="72"/>
  <c r="I90" i="72" s="1"/>
  <c r="E90" i="72"/>
  <c r="S89" i="72"/>
  <c r="P89" i="72"/>
  <c r="M89" i="72"/>
  <c r="I89" i="72" s="1"/>
  <c r="E89" i="72"/>
  <c r="S88" i="72"/>
  <c r="P88" i="72"/>
  <c r="M88" i="72"/>
  <c r="I88" i="72" s="1"/>
  <c r="E88" i="72"/>
  <c r="S87" i="72"/>
  <c r="P87" i="72"/>
  <c r="M87" i="72"/>
  <c r="I87" i="72" s="1"/>
  <c r="E87" i="72"/>
  <c r="S86" i="72"/>
  <c r="P86" i="72"/>
  <c r="M86" i="72"/>
  <c r="I86" i="72" s="1"/>
  <c r="E86" i="72"/>
  <c r="S85" i="72"/>
  <c r="P85" i="72"/>
  <c r="M85" i="72"/>
  <c r="E85" i="72"/>
  <c r="S84" i="72"/>
  <c r="P84" i="72"/>
  <c r="M84" i="72"/>
  <c r="I84" i="72" s="1"/>
  <c r="E84" i="72"/>
  <c r="S83" i="72"/>
  <c r="P83" i="72"/>
  <c r="M83" i="72"/>
  <c r="I83" i="72" s="1"/>
  <c r="E83" i="72"/>
  <c r="S82" i="72"/>
  <c r="P82" i="72"/>
  <c r="M82" i="72"/>
  <c r="I82" i="72" s="1"/>
  <c r="E82" i="72"/>
  <c r="S81" i="72"/>
  <c r="P81" i="72"/>
  <c r="M81" i="72"/>
  <c r="I81" i="72" s="1"/>
  <c r="E81" i="72"/>
  <c r="S80" i="72"/>
  <c r="P80" i="72"/>
  <c r="M80" i="72"/>
  <c r="I80" i="72" s="1"/>
  <c r="E80" i="72"/>
  <c r="S79" i="72"/>
  <c r="P79" i="72"/>
  <c r="M79" i="72"/>
  <c r="I79" i="72" s="1"/>
  <c r="E79" i="72"/>
  <c r="S78" i="72"/>
  <c r="P78" i="72"/>
  <c r="M78" i="72"/>
  <c r="I78" i="72" s="1"/>
  <c r="E78" i="72"/>
  <c r="S77" i="72"/>
  <c r="P77" i="72"/>
  <c r="M77" i="72"/>
  <c r="I77" i="72" s="1"/>
  <c r="E77" i="72"/>
  <c r="S76" i="72"/>
  <c r="P76" i="72"/>
  <c r="M76" i="72"/>
  <c r="I76" i="72" s="1"/>
  <c r="E76" i="72"/>
  <c r="S75" i="72"/>
  <c r="P75" i="72"/>
  <c r="I75" i="72"/>
  <c r="E75" i="72"/>
  <c r="S74" i="72"/>
  <c r="P74" i="72"/>
  <c r="M74" i="72"/>
  <c r="I74" i="72" s="1"/>
  <c r="E74" i="72"/>
  <c r="S73" i="72"/>
  <c r="P73" i="72"/>
  <c r="M73" i="72"/>
  <c r="I73" i="72" s="1"/>
  <c r="E73" i="72"/>
  <c r="S72" i="72"/>
  <c r="P72" i="72"/>
  <c r="M72" i="72"/>
  <c r="I72" i="72" s="1"/>
  <c r="E72" i="72"/>
  <c r="S71" i="72"/>
  <c r="P71" i="72"/>
  <c r="M71" i="72"/>
  <c r="I71" i="72" s="1"/>
  <c r="E71" i="72"/>
  <c r="S70" i="72"/>
  <c r="P70" i="72"/>
  <c r="M70" i="72"/>
  <c r="I70" i="72" s="1"/>
  <c r="E70" i="72"/>
  <c r="S69" i="72"/>
  <c r="P69" i="72"/>
  <c r="M69" i="72"/>
  <c r="I69" i="72" s="1"/>
  <c r="E69" i="72"/>
  <c r="S68" i="72"/>
  <c r="P68" i="72"/>
  <c r="M68" i="72"/>
  <c r="I68" i="72" s="1"/>
  <c r="E68" i="72"/>
  <c r="S67" i="72"/>
  <c r="P67" i="72"/>
  <c r="M67" i="72"/>
  <c r="I67" i="72" s="1"/>
  <c r="E67" i="72"/>
  <c r="S66" i="72"/>
  <c r="P66" i="72"/>
  <c r="M66" i="72"/>
  <c r="I66" i="72" s="1"/>
  <c r="E66" i="72"/>
  <c r="S65" i="72"/>
  <c r="P65" i="72"/>
  <c r="M65" i="72"/>
  <c r="I65" i="72" s="1"/>
  <c r="E65" i="72"/>
  <c r="S64" i="72"/>
  <c r="P64" i="72"/>
  <c r="M64" i="72"/>
  <c r="I64" i="72" s="1"/>
  <c r="E64" i="72"/>
  <c r="S63" i="72"/>
  <c r="P63" i="72"/>
  <c r="M63" i="72"/>
  <c r="I63" i="72" s="1"/>
  <c r="E63" i="72"/>
  <c r="S62" i="72"/>
  <c r="P62" i="72"/>
  <c r="M62" i="72"/>
  <c r="I62" i="72" s="1"/>
  <c r="E62" i="72"/>
  <c r="S61" i="72"/>
  <c r="P61" i="72"/>
  <c r="M61" i="72"/>
  <c r="I61" i="72" s="1"/>
  <c r="E61" i="72"/>
  <c r="S60" i="72"/>
  <c r="P60" i="72"/>
  <c r="M60" i="72"/>
  <c r="I60" i="72" s="1"/>
  <c r="E60" i="72"/>
  <c r="S59" i="72"/>
  <c r="P59" i="72"/>
  <c r="M59" i="72"/>
  <c r="I59" i="72" s="1"/>
  <c r="E59" i="72"/>
  <c r="S58" i="72"/>
  <c r="P58" i="72"/>
  <c r="M58" i="72"/>
  <c r="I58" i="72" s="1"/>
  <c r="E58" i="72"/>
  <c r="S57" i="72"/>
  <c r="P57" i="72"/>
  <c r="M57" i="72"/>
  <c r="I57" i="72" s="1"/>
  <c r="E57" i="72"/>
  <c r="S56" i="72"/>
  <c r="P56" i="72"/>
  <c r="M56" i="72"/>
  <c r="I56" i="72" s="1"/>
  <c r="E56" i="72"/>
  <c r="S55" i="72"/>
  <c r="P55" i="72"/>
  <c r="M55" i="72"/>
  <c r="I55" i="72" s="1"/>
  <c r="E55" i="72"/>
  <c r="S54" i="72"/>
  <c r="P54" i="72"/>
  <c r="M54" i="72"/>
  <c r="I54" i="72" s="1"/>
  <c r="E54" i="72"/>
  <c r="S53" i="72"/>
  <c r="P53" i="72"/>
  <c r="M53" i="72"/>
  <c r="I53" i="72" s="1"/>
  <c r="E53" i="72"/>
  <c r="S52" i="72"/>
  <c r="P52" i="72"/>
  <c r="M52" i="72"/>
  <c r="I52" i="72" s="1"/>
  <c r="E52" i="72"/>
  <c r="S51" i="72"/>
  <c r="P51" i="72"/>
  <c r="M51" i="72"/>
  <c r="I51" i="72" s="1"/>
  <c r="E51" i="72"/>
  <c r="S50" i="72"/>
  <c r="P50" i="72"/>
  <c r="M50" i="72"/>
  <c r="I50" i="72" s="1"/>
  <c r="E50" i="72"/>
  <c r="S49" i="72"/>
  <c r="P49" i="72"/>
  <c r="M49" i="72"/>
  <c r="I49" i="72" s="1"/>
  <c r="E49" i="72"/>
  <c r="S48" i="72"/>
  <c r="P48" i="72"/>
  <c r="M48" i="72"/>
  <c r="I48" i="72" s="1"/>
  <c r="E48" i="72"/>
  <c r="S47" i="72"/>
  <c r="P47" i="72"/>
  <c r="M47" i="72"/>
  <c r="I47" i="72" s="1"/>
  <c r="E47" i="72"/>
  <c r="S46" i="72"/>
  <c r="P46" i="72"/>
  <c r="M46" i="72"/>
  <c r="I46" i="72" s="1"/>
  <c r="E46" i="72"/>
  <c r="S45" i="72"/>
  <c r="P45" i="72"/>
  <c r="M45" i="72"/>
  <c r="I45" i="72" s="1"/>
  <c r="E45" i="72"/>
  <c r="S44" i="72"/>
  <c r="P44" i="72"/>
  <c r="M44" i="72"/>
  <c r="I44" i="72" s="1"/>
  <c r="E44" i="72"/>
  <c r="S43" i="72"/>
  <c r="P43" i="72"/>
  <c r="M43" i="72"/>
  <c r="I43" i="72" s="1"/>
  <c r="E43" i="72"/>
  <c r="S42" i="72"/>
  <c r="P42" i="72"/>
  <c r="M42" i="72"/>
  <c r="I42" i="72" s="1"/>
  <c r="E42" i="72"/>
  <c r="S41" i="72"/>
  <c r="P41" i="72"/>
  <c r="M41" i="72"/>
  <c r="I41" i="72" s="1"/>
  <c r="E41" i="72"/>
  <c r="S40" i="72"/>
  <c r="P40" i="72"/>
  <c r="M40" i="72"/>
  <c r="I40" i="72" s="1"/>
  <c r="E40" i="72"/>
  <c r="S39" i="72"/>
  <c r="P39" i="72"/>
  <c r="M39" i="72"/>
  <c r="I39" i="72" s="1"/>
  <c r="E39" i="72"/>
  <c r="S38" i="72"/>
  <c r="P38" i="72"/>
  <c r="M38" i="72"/>
  <c r="I38" i="72" s="1"/>
  <c r="E38" i="72"/>
  <c r="S37" i="72"/>
  <c r="P37" i="72"/>
  <c r="M37" i="72"/>
  <c r="I37" i="72" s="1"/>
  <c r="E37" i="72"/>
  <c r="S36" i="72"/>
  <c r="P36" i="72"/>
  <c r="M36" i="72"/>
  <c r="I36" i="72" s="1"/>
  <c r="E36" i="72"/>
  <c r="S35" i="72"/>
  <c r="P35" i="72"/>
  <c r="M35" i="72"/>
  <c r="I35" i="72" s="1"/>
  <c r="E35" i="72"/>
  <c r="S34" i="72"/>
  <c r="P34" i="72"/>
  <c r="M34" i="72"/>
  <c r="I34" i="72" s="1"/>
  <c r="E34" i="72"/>
  <c r="S33" i="72"/>
  <c r="P33" i="72"/>
  <c r="M33" i="72"/>
  <c r="I33" i="72" s="1"/>
  <c r="E33" i="72"/>
  <c r="S32" i="72"/>
  <c r="P32" i="72"/>
  <c r="M32" i="72"/>
  <c r="I32" i="72" s="1"/>
  <c r="E32" i="72"/>
  <c r="S31" i="72"/>
  <c r="P31" i="72"/>
  <c r="M31" i="72"/>
  <c r="I31" i="72" s="1"/>
  <c r="E31" i="72"/>
  <c r="S30" i="72"/>
  <c r="P30" i="72"/>
  <c r="M30" i="72"/>
  <c r="I30" i="72" s="1"/>
  <c r="E30" i="72"/>
  <c r="S29" i="72"/>
  <c r="P29" i="72"/>
  <c r="M29" i="72"/>
  <c r="I29" i="72" s="1"/>
  <c r="E29" i="72"/>
  <c r="S28" i="72"/>
  <c r="P28" i="72"/>
  <c r="M28" i="72"/>
  <c r="I28" i="72" s="1"/>
  <c r="E28" i="72"/>
  <c r="S27" i="72"/>
  <c r="P27" i="72"/>
  <c r="M27" i="72"/>
  <c r="I27" i="72" s="1"/>
  <c r="E27" i="72"/>
  <c r="S26" i="72"/>
  <c r="P26" i="72"/>
  <c r="M26" i="72"/>
  <c r="I26" i="72" s="1"/>
  <c r="E26" i="72"/>
  <c r="S25" i="72"/>
  <c r="P25" i="72"/>
  <c r="M25" i="72"/>
  <c r="I25" i="72" s="1"/>
  <c r="E25" i="72"/>
  <c r="S24" i="72"/>
  <c r="P24" i="72"/>
  <c r="M24" i="72"/>
  <c r="I24" i="72" s="1"/>
  <c r="E24" i="72"/>
  <c r="S23" i="72"/>
  <c r="P23" i="72"/>
  <c r="M23" i="72"/>
  <c r="I23" i="72" s="1"/>
  <c r="E23" i="72"/>
  <c r="S22" i="72"/>
  <c r="P22" i="72"/>
  <c r="M22" i="72"/>
  <c r="I22" i="72" s="1"/>
  <c r="E22" i="72"/>
  <c r="S21" i="72"/>
  <c r="P21" i="72"/>
  <c r="M21" i="72"/>
  <c r="I21" i="72" s="1"/>
  <c r="E21" i="72"/>
  <c r="S20" i="72"/>
  <c r="P20" i="72"/>
  <c r="M20" i="72"/>
  <c r="I20" i="72" s="1"/>
  <c r="E20" i="72"/>
  <c r="S19" i="72"/>
  <c r="P19" i="72"/>
  <c r="M19" i="72"/>
  <c r="I19" i="72" s="1"/>
  <c r="E19" i="72"/>
  <c r="S18" i="72"/>
  <c r="P18" i="72"/>
  <c r="M18" i="72"/>
  <c r="I18" i="72" s="1"/>
  <c r="E18" i="72"/>
  <c r="S17" i="72"/>
  <c r="P17" i="72"/>
  <c r="M17" i="72"/>
  <c r="I17" i="72" s="1"/>
  <c r="E17" i="72"/>
  <c r="S16" i="72"/>
  <c r="P16" i="72"/>
  <c r="M16" i="72"/>
  <c r="I16" i="72" s="1"/>
  <c r="E16" i="72"/>
  <c r="S15" i="72"/>
  <c r="P15" i="72"/>
  <c r="M15" i="72"/>
  <c r="I15" i="72" s="1"/>
  <c r="E15" i="72"/>
  <c r="S14" i="72"/>
  <c r="P14" i="72"/>
  <c r="M14" i="72"/>
  <c r="I14" i="72" s="1"/>
  <c r="E14" i="72"/>
  <c r="S13" i="72"/>
  <c r="P13" i="72"/>
  <c r="M13" i="72"/>
  <c r="I13" i="72" s="1"/>
  <c r="E13" i="72"/>
  <c r="S12" i="72"/>
  <c r="P12" i="72"/>
  <c r="M12" i="72"/>
  <c r="I12" i="72" s="1"/>
  <c r="E12" i="72"/>
  <c r="W11" i="72"/>
  <c r="W9" i="72" s="1"/>
  <c r="V11" i="72"/>
  <c r="V9" i="72" s="1"/>
  <c r="U11" i="72"/>
  <c r="U9" i="72" s="1"/>
  <c r="T11" i="72"/>
  <c r="T9" i="72" s="1"/>
  <c r="R11" i="72"/>
  <c r="R9" i="72" s="1"/>
  <c r="Q11" i="72"/>
  <c r="Q9" i="72" s="1"/>
  <c r="O11" i="72"/>
  <c r="O9" i="72" s="1"/>
  <c r="N11" i="72"/>
  <c r="N9" i="72" s="1"/>
  <c r="L11" i="72"/>
  <c r="L9" i="72" s="1"/>
  <c r="K11" i="72"/>
  <c r="K9" i="72" s="1"/>
  <c r="J11" i="72"/>
  <c r="J9" i="72" s="1"/>
  <c r="H11" i="72"/>
  <c r="H9" i="72" s="1"/>
  <c r="G11" i="72"/>
  <c r="G9" i="72" s="1"/>
  <c r="F11" i="72"/>
  <c r="S10" i="72"/>
  <c r="I10" i="72"/>
  <c r="E10" i="72"/>
  <c r="Q10" i="74" l="1"/>
  <c r="Q8" i="74" s="1"/>
  <c r="K7" i="76"/>
  <c r="D14" i="76"/>
  <c r="D22" i="76"/>
  <c r="D30" i="76"/>
  <c r="D33" i="76"/>
  <c r="D36" i="76"/>
  <c r="D44" i="76"/>
  <c r="D52" i="76"/>
  <c r="D60" i="76"/>
  <c r="D63" i="76"/>
  <c r="D66" i="76"/>
  <c r="D74" i="76"/>
  <c r="D80" i="76"/>
  <c r="D91" i="76"/>
  <c r="D94" i="76"/>
  <c r="D102" i="76"/>
  <c r="D110" i="76"/>
  <c r="D114" i="76"/>
  <c r="D128" i="76"/>
  <c r="D136" i="76"/>
  <c r="D142" i="76"/>
  <c r="D13" i="72"/>
  <c r="D69" i="74"/>
  <c r="D122" i="74"/>
  <c r="D83" i="74"/>
  <c r="E8" i="76"/>
  <c r="D34" i="74"/>
  <c r="D84" i="76"/>
  <c r="D87" i="76"/>
  <c r="D98" i="76"/>
  <c r="D106" i="76"/>
  <c r="D112" i="76"/>
  <c r="D132" i="76"/>
  <c r="D140" i="76"/>
  <c r="D144" i="76"/>
  <c r="H8" i="76"/>
  <c r="D8" i="76" s="1"/>
  <c r="M7" i="76"/>
  <c r="D25" i="76"/>
  <c r="D39" i="76"/>
  <c r="D47" i="76"/>
  <c r="D55" i="76"/>
  <c r="D69" i="76"/>
  <c r="J8" i="74"/>
  <c r="D25" i="74"/>
  <c r="D27" i="74"/>
  <c r="D51" i="74"/>
  <c r="D58" i="74"/>
  <c r="D86" i="74"/>
  <c r="D134" i="74"/>
  <c r="D12" i="76"/>
  <c r="D20" i="76"/>
  <c r="D28" i="76"/>
  <c r="D50" i="76"/>
  <c r="D58" i="76"/>
  <c r="D64" i="76"/>
  <c r="D72" i="76"/>
  <c r="D83" i="76"/>
  <c r="D97" i="76"/>
  <c r="D105" i="76"/>
  <c r="D139" i="76"/>
  <c r="D21" i="74"/>
  <c r="D132" i="74"/>
  <c r="D141" i="74"/>
  <c r="D10" i="76"/>
  <c r="D15" i="76"/>
  <c r="D23" i="76"/>
  <c r="D31" i="76"/>
  <c r="D37" i="76"/>
  <c r="D45" i="76"/>
  <c r="D53" i="76"/>
  <c r="D61" i="76"/>
  <c r="D67" i="76"/>
  <c r="D75" i="76"/>
  <c r="D78" i="76"/>
  <c r="D86" i="76"/>
  <c r="D89" i="76"/>
  <c r="D100" i="76"/>
  <c r="D108" i="76"/>
  <c r="D115" i="76"/>
  <c r="D126" i="76"/>
  <c r="D134" i="76"/>
  <c r="D19" i="74"/>
  <c r="D110" i="74"/>
  <c r="G7" i="76"/>
  <c r="D18" i="76"/>
  <c r="D26" i="76"/>
  <c r="L9" i="76"/>
  <c r="L7" i="76" s="1"/>
  <c r="D40" i="76"/>
  <c r="D48" i="76"/>
  <c r="D56" i="76"/>
  <c r="D70" i="76"/>
  <c r="D81" i="76"/>
  <c r="D92" i="76"/>
  <c r="D95" i="76"/>
  <c r="D103" i="76"/>
  <c r="D119" i="76"/>
  <c r="D123" i="76"/>
  <c r="D129" i="76"/>
  <c r="D137" i="76"/>
  <c r="D15" i="74"/>
  <c r="D61" i="74"/>
  <c r="D66" i="74"/>
  <c r="D82" i="74"/>
  <c r="D97" i="74"/>
  <c r="D77" i="72"/>
  <c r="D113" i="72"/>
  <c r="D76" i="74"/>
  <c r="D104" i="74"/>
  <c r="D135" i="74"/>
  <c r="I7" i="76"/>
  <c r="H7" i="76" s="1"/>
  <c r="D16" i="76"/>
  <c r="D24" i="76"/>
  <c r="D32" i="76"/>
  <c r="D38" i="76"/>
  <c r="D46" i="76"/>
  <c r="D54" i="76"/>
  <c r="D62" i="76"/>
  <c r="D68" i="76"/>
  <c r="D79" i="76"/>
  <c r="D101" i="76"/>
  <c r="D109" i="76"/>
  <c r="D116" i="76"/>
  <c r="D120" i="76"/>
  <c r="D124" i="76"/>
  <c r="D127" i="76"/>
  <c r="D135" i="76"/>
  <c r="D97" i="72"/>
  <c r="D109" i="72"/>
  <c r="D33" i="74"/>
  <c r="D48" i="74"/>
  <c r="D126" i="74"/>
  <c r="D11" i="76"/>
  <c r="D19" i="76"/>
  <c r="D27" i="76"/>
  <c r="D41" i="76"/>
  <c r="D49" i="76"/>
  <c r="D57" i="76"/>
  <c r="D71" i="76"/>
  <c r="D82" i="76"/>
  <c r="D93" i="76"/>
  <c r="D96" i="76"/>
  <c r="D104" i="76"/>
  <c r="D113" i="76"/>
  <c r="D130" i="76"/>
  <c r="D138" i="76"/>
  <c r="D141" i="76"/>
  <c r="D145" i="76"/>
  <c r="N7" i="76"/>
  <c r="H9" i="76"/>
  <c r="D84" i="74"/>
  <c r="I8" i="74"/>
  <c r="D37" i="72"/>
  <c r="D72" i="72"/>
  <c r="D75" i="72"/>
  <c r="D78" i="72"/>
  <c r="D119" i="72"/>
  <c r="D108" i="72"/>
  <c r="D126" i="72"/>
  <c r="D70" i="72"/>
  <c r="D15" i="72"/>
  <c r="D56" i="72"/>
  <c r="D142" i="72"/>
  <c r="D148" i="72"/>
  <c r="D36" i="72"/>
  <c r="D24" i="72"/>
  <c r="D27" i="72"/>
  <c r="D58" i="72"/>
  <c r="D145" i="72"/>
  <c r="D41" i="72"/>
  <c r="D61" i="72"/>
  <c r="D125" i="72"/>
  <c r="D137" i="72"/>
  <c r="D25" i="72"/>
  <c r="D39" i="72"/>
  <c r="D42" i="72"/>
  <c r="D82" i="72"/>
  <c r="D34" i="72"/>
  <c r="D94" i="72"/>
  <c r="D100" i="72"/>
  <c r="D51" i="72"/>
  <c r="D89" i="72"/>
  <c r="D29" i="72"/>
  <c r="D40" i="72"/>
  <c r="D63" i="72"/>
  <c r="D101" i="72"/>
  <c r="D38" i="72"/>
  <c r="D46" i="72"/>
  <c r="D110" i="72"/>
  <c r="D130" i="72"/>
  <c r="E9" i="76"/>
  <c r="D90" i="76"/>
  <c r="D9" i="76" s="1"/>
  <c r="F9" i="76"/>
  <c r="F7" i="76" s="1"/>
  <c r="E7" i="76" s="1"/>
  <c r="D98" i="75"/>
  <c r="D9" i="75" s="1"/>
  <c r="D7" i="75" s="1"/>
  <c r="D8" i="75"/>
  <c r="F7" i="75"/>
  <c r="G7" i="75"/>
  <c r="E9" i="75"/>
  <c r="E7" i="75" s="1"/>
  <c r="E13" i="74"/>
  <c r="D13" i="74" s="1"/>
  <c r="E144" i="74"/>
  <c r="D144" i="74" s="1"/>
  <c r="D94" i="74"/>
  <c r="E30" i="74"/>
  <c r="E88" i="74"/>
  <c r="D88" i="74" s="1"/>
  <c r="D115" i="74"/>
  <c r="D143" i="74"/>
  <c r="E106" i="74"/>
  <c r="D106" i="74" s="1"/>
  <c r="E112" i="74"/>
  <c r="D112" i="74" s="1"/>
  <c r="D44" i="74"/>
  <c r="D81" i="74"/>
  <c r="D96" i="74"/>
  <c r="D102" i="74"/>
  <c r="D140" i="74"/>
  <c r="D11" i="74"/>
  <c r="D14" i="74"/>
  <c r="D23" i="74"/>
  <c r="D26" i="74"/>
  <c r="E75" i="74"/>
  <c r="D75" i="74" s="1"/>
  <c r="D90" i="74"/>
  <c r="E127" i="74"/>
  <c r="K8" i="74"/>
  <c r="D108" i="74"/>
  <c r="D111" i="74"/>
  <c r="D114" i="74"/>
  <c r="D73" i="74"/>
  <c r="D120" i="74"/>
  <c r="D147" i="74"/>
  <c r="P8" i="74"/>
  <c r="M10" i="74"/>
  <c r="M8" i="74" s="1"/>
  <c r="E40" i="74"/>
  <c r="D40" i="74" s="1"/>
  <c r="E43" i="74"/>
  <c r="D43" i="74" s="1"/>
  <c r="E46" i="74"/>
  <c r="D46" i="74" s="1"/>
  <c r="E52" i="74"/>
  <c r="D52" i="74" s="1"/>
  <c r="E55" i="74"/>
  <c r="D55" i="74" s="1"/>
  <c r="E64" i="74"/>
  <c r="D64" i="74" s="1"/>
  <c r="E92" i="74"/>
  <c r="D92" i="74" s="1"/>
  <c r="E95" i="74"/>
  <c r="D95" i="74" s="1"/>
  <c r="E98" i="74"/>
  <c r="D98" i="74" s="1"/>
  <c r="E117" i="74"/>
  <c r="D117" i="74" s="1"/>
  <c r="E139" i="74"/>
  <c r="D139" i="74" s="1"/>
  <c r="E24" i="74"/>
  <c r="D24" i="74" s="1"/>
  <c r="E49" i="74"/>
  <c r="D49" i="74" s="1"/>
  <c r="E67" i="74"/>
  <c r="D67" i="74" s="1"/>
  <c r="D101" i="74"/>
  <c r="D119" i="74"/>
  <c r="E129" i="74"/>
  <c r="D129" i="74" s="1"/>
  <c r="L8" i="74"/>
  <c r="D17" i="74"/>
  <c r="D30" i="74"/>
  <c r="D36" i="74"/>
  <c r="D39" i="74"/>
  <c r="E70" i="74"/>
  <c r="D70" i="74" s="1"/>
  <c r="E78" i="74"/>
  <c r="D78" i="74" s="1"/>
  <c r="E91" i="74"/>
  <c r="D91" i="74" s="1"/>
  <c r="E136" i="74"/>
  <c r="D136" i="74" s="1"/>
  <c r="E20" i="74"/>
  <c r="D20" i="74" s="1"/>
  <c r="E42" i="74"/>
  <c r="D42" i="74" s="1"/>
  <c r="E45" i="74"/>
  <c r="D45" i="74" s="1"/>
  <c r="H10" i="74"/>
  <c r="H8" i="74" s="1"/>
  <c r="D145" i="74"/>
  <c r="N10" i="74"/>
  <c r="N8" i="74" s="1"/>
  <c r="D85" i="74"/>
  <c r="E100" i="74"/>
  <c r="D100" i="74" s="1"/>
  <c r="E107" i="74"/>
  <c r="D107" i="74" s="1"/>
  <c r="E118" i="74"/>
  <c r="D118" i="74" s="1"/>
  <c r="E125" i="74"/>
  <c r="D125" i="74" s="1"/>
  <c r="E128" i="74"/>
  <c r="D128" i="74" s="1"/>
  <c r="E142" i="74"/>
  <c r="D142" i="74" s="1"/>
  <c r="E148" i="74"/>
  <c r="D148" i="74" s="1"/>
  <c r="D54" i="74"/>
  <c r="D57" i="74"/>
  <c r="D72" i="74"/>
  <c r="O10" i="74"/>
  <c r="E93" i="74"/>
  <c r="D93" i="74" s="1"/>
  <c r="E103" i="74"/>
  <c r="D103" i="74" s="1"/>
  <c r="E121" i="74"/>
  <c r="D121" i="74" s="1"/>
  <c r="E16" i="74"/>
  <c r="D16" i="74" s="1"/>
  <c r="E29" i="74"/>
  <c r="D29" i="74" s="1"/>
  <c r="E32" i="74"/>
  <c r="D32" i="74" s="1"/>
  <c r="E35" i="74"/>
  <c r="D35" i="74" s="1"/>
  <c r="E38" i="74"/>
  <c r="D38" i="74" s="1"/>
  <c r="E60" i="74"/>
  <c r="D60" i="74" s="1"/>
  <c r="E63" i="74"/>
  <c r="D63" i="74" s="1"/>
  <c r="D77" i="74"/>
  <c r="D80" i="74"/>
  <c r="D99" i="74"/>
  <c r="D131" i="74"/>
  <c r="D22" i="74"/>
  <c r="E41" i="74"/>
  <c r="D41" i="74" s="1"/>
  <c r="D50" i="74"/>
  <c r="D65" i="74"/>
  <c r="D68" i="74"/>
  <c r="D89" i="74"/>
  <c r="D113" i="74"/>
  <c r="D124" i="74"/>
  <c r="E130" i="74"/>
  <c r="D130" i="74" s="1"/>
  <c r="E12" i="74"/>
  <c r="D12" i="74" s="1"/>
  <c r="S10" i="74"/>
  <c r="S8" i="74" s="1"/>
  <c r="E47" i="74"/>
  <c r="D47" i="74" s="1"/>
  <c r="E53" i="74"/>
  <c r="D53" i="74" s="1"/>
  <c r="E56" i="74"/>
  <c r="D56" i="74" s="1"/>
  <c r="E71" i="74"/>
  <c r="D71" i="74" s="1"/>
  <c r="D109" i="74"/>
  <c r="D116" i="74"/>
  <c r="D127" i="74"/>
  <c r="F10" i="74"/>
  <c r="F8" i="74" s="1"/>
  <c r="D18" i="74"/>
  <c r="D28" i="74"/>
  <c r="D31" i="74"/>
  <c r="E37" i="74"/>
  <c r="D37" i="74" s="1"/>
  <c r="D59" i="74"/>
  <c r="D62" i="74"/>
  <c r="D79" i="74"/>
  <c r="D105" i="74"/>
  <c r="D123" i="74"/>
  <c r="E137" i="74"/>
  <c r="D137" i="74" s="1"/>
  <c r="R10" i="74"/>
  <c r="R8" i="74" s="1"/>
  <c r="E133" i="74"/>
  <c r="D133" i="74" s="1"/>
  <c r="E146" i="74"/>
  <c r="D146" i="74" s="1"/>
  <c r="O9" i="74"/>
  <c r="G10" i="74"/>
  <c r="G8" i="74" s="1"/>
  <c r="H12" i="73"/>
  <c r="H10" i="73" s="1"/>
  <c r="F38" i="73"/>
  <c r="D118" i="72"/>
  <c r="D22" i="72"/>
  <c r="D83" i="72"/>
  <c r="D131" i="72"/>
  <c r="D19" i="72"/>
  <c r="D49" i="72"/>
  <c r="D57" i="72"/>
  <c r="D79" i="72"/>
  <c r="D87" i="72"/>
  <c r="D92" i="72"/>
  <c r="D127" i="72"/>
  <c r="D135" i="72"/>
  <c r="D140" i="72"/>
  <c r="D59" i="72"/>
  <c r="D117" i="72"/>
  <c r="E11" i="72"/>
  <c r="D14" i="72"/>
  <c r="D16" i="72"/>
  <c r="D32" i="72"/>
  <c r="D62" i="72"/>
  <c r="D84" i="72"/>
  <c r="D132" i="72"/>
  <c r="D105" i="72"/>
  <c r="D45" i="72"/>
  <c r="D55" i="72"/>
  <c r="D80" i="72"/>
  <c r="D115" i="72"/>
  <c r="D123" i="72"/>
  <c r="D128" i="72"/>
  <c r="D47" i="72"/>
  <c r="D12" i="72"/>
  <c r="D20" i="72"/>
  <c r="D50" i="72"/>
  <c r="D52" i="72"/>
  <c r="D64" i="72"/>
  <c r="D90" i="72"/>
  <c r="D120" i="72"/>
  <c r="D138" i="72"/>
  <c r="D17" i="72"/>
  <c r="D30" i="72"/>
  <c r="D35" i="72"/>
  <c r="D60" i="72"/>
  <c r="D68" i="72"/>
  <c r="D73" i="72"/>
  <c r="M11" i="72"/>
  <c r="M9" i="72" s="1"/>
  <c r="D88" i="72"/>
  <c r="D93" i="72"/>
  <c r="D98" i="72"/>
  <c r="D107" i="72"/>
  <c r="D133" i="72"/>
  <c r="D136" i="72"/>
  <c r="D141" i="72"/>
  <c r="D146" i="72"/>
  <c r="D65" i="72"/>
  <c r="D103" i="72"/>
  <c r="D111" i="72"/>
  <c r="D116" i="72"/>
  <c r="D23" i="72"/>
  <c r="D48" i="72"/>
  <c r="D53" i="72"/>
  <c r="D81" i="72"/>
  <c r="D95" i="72"/>
  <c r="D121" i="72"/>
  <c r="D129" i="72"/>
  <c r="D143" i="72"/>
  <c r="D10" i="72"/>
  <c r="P11" i="72"/>
  <c r="P9" i="72" s="1"/>
  <c r="D91" i="72"/>
  <c r="D99" i="72"/>
  <c r="D104" i="72"/>
  <c r="D139" i="72"/>
  <c r="D147" i="72"/>
  <c r="D26" i="72"/>
  <c r="D28" i="72"/>
  <c r="D44" i="72"/>
  <c r="D66" i="72"/>
  <c r="D69" i="72"/>
  <c r="D74" i="72"/>
  <c r="S11" i="72"/>
  <c r="D96" i="72"/>
  <c r="D114" i="72"/>
  <c r="D144" i="72"/>
  <c r="D149" i="72"/>
  <c r="D67" i="72"/>
  <c r="D102" i="72"/>
  <c r="D33" i="72"/>
  <c r="D43" i="72"/>
  <c r="S9" i="72"/>
  <c r="D18" i="72"/>
  <c r="D76" i="72"/>
  <c r="D86" i="72"/>
  <c r="D124" i="72"/>
  <c r="D134" i="72"/>
  <c r="D21" i="72"/>
  <c r="D31" i="72"/>
  <c r="D71" i="72"/>
  <c r="D54" i="72"/>
  <c r="D112" i="72"/>
  <c r="D122" i="72"/>
  <c r="F9" i="72"/>
  <c r="I85" i="72"/>
  <c r="D85" i="72" s="1"/>
  <c r="D90" i="23"/>
  <c r="F90" i="23"/>
  <c r="I11" i="72" l="1"/>
  <c r="I9" i="72" s="1"/>
  <c r="D7" i="76"/>
  <c r="D10" i="74"/>
  <c r="E10" i="74"/>
  <c r="E8" i="74" s="1"/>
  <c r="O8" i="74"/>
  <c r="D9" i="74"/>
  <c r="F10" i="73"/>
  <c r="D10" i="73"/>
  <c r="F12" i="73"/>
  <c r="D12" i="73" s="1"/>
  <c r="D38" i="73"/>
  <c r="E9" i="72"/>
  <c r="K74" i="26"/>
  <c r="K75" i="26"/>
  <c r="K79" i="26"/>
  <c r="K87" i="26"/>
  <c r="K84" i="26"/>
  <c r="D11" i="72" l="1"/>
  <c r="D9" i="72" s="1"/>
  <c r="D8" i="74"/>
  <c r="E143" i="52"/>
  <c r="F143" i="52"/>
  <c r="G143" i="52"/>
  <c r="H143" i="52"/>
  <c r="I143" i="52"/>
  <c r="J143" i="52"/>
  <c r="E23" i="6" l="1"/>
  <c r="H23" i="6"/>
  <c r="G23" i="6"/>
  <c r="X96" i="29" l="1"/>
  <c r="F78" i="66" l="1"/>
  <c r="D78" i="66" s="1"/>
  <c r="F88" i="66"/>
  <c r="D88" i="66" s="1"/>
  <c r="F85" i="66"/>
  <c r="D85" i="66" s="1"/>
  <c r="E9" i="23" l="1"/>
  <c r="M11" i="55"/>
  <c r="F11" i="55"/>
  <c r="G11" i="55"/>
  <c r="H11" i="55"/>
  <c r="I11" i="55"/>
  <c r="L11" i="55"/>
  <c r="J88" i="55"/>
  <c r="J85" i="55"/>
  <c r="E88" i="55"/>
  <c r="E85" i="55"/>
  <c r="D85" i="55" s="1"/>
  <c r="J74" i="55"/>
  <c r="J75" i="55"/>
  <c r="J76" i="55"/>
  <c r="J77" i="55"/>
  <c r="J78" i="55"/>
  <c r="J79" i="55"/>
  <c r="J80" i="55"/>
  <c r="E74" i="55"/>
  <c r="E75" i="55"/>
  <c r="E76" i="55"/>
  <c r="E77" i="55"/>
  <c r="E78" i="55"/>
  <c r="E79" i="55"/>
  <c r="E80" i="55"/>
  <c r="E9" i="27"/>
  <c r="G9" i="27"/>
  <c r="H9" i="27"/>
  <c r="D9" i="27"/>
  <c r="L10" i="26"/>
  <c r="M10" i="26"/>
  <c r="N10" i="26"/>
  <c r="O10" i="26"/>
  <c r="P10" i="26"/>
  <c r="R10" i="26"/>
  <c r="S10" i="26"/>
  <c r="T10" i="26"/>
  <c r="U10" i="26"/>
  <c r="V10" i="26"/>
  <c r="W10" i="26"/>
  <c r="X10" i="26"/>
  <c r="Y10" i="26"/>
  <c r="Q33" i="26"/>
  <c r="Q34" i="26"/>
  <c r="Q35" i="26"/>
  <c r="Q36" i="26"/>
  <c r="Q32" i="26"/>
  <c r="G33" i="26"/>
  <c r="G34" i="26"/>
  <c r="K34" i="26" s="1"/>
  <c r="G35" i="26"/>
  <c r="K35" i="26" s="1"/>
  <c r="G36" i="26"/>
  <c r="Z34" i="26"/>
  <c r="D10" i="26"/>
  <c r="E10" i="26"/>
  <c r="F10" i="26"/>
  <c r="H10" i="26"/>
  <c r="I10" i="26"/>
  <c r="J10" i="26"/>
  <c r="E9" i="25"/>
  <c r="F9" i="25"/>
  <c r="G9" i="25"/>
  <c r="D9" i="25"/>
  <c r="D9" i="24"/>
  <c r="E9" i="24"/>
  <c r="F9" i="24"/>
  <c r="G9" i="24"/>
  <c r="I9" i="24"/>
  <c r="J9" i="24"/>
  <c r="K9" i="24"/>
  <c r="M9" i="24"/>
  <c r="N9" i="24"/>
  <c r="O9" i="24"/>
  <c r="D77" i="55" l="1"/>
  <c r="D75" i="55"/>
  <c r="D74" i="55"/>
  <c r="D78" i="55"/>
  <c r="D76" i="55"/>
  <c r="D88" i="55"/>
  <c r="D80" i="55"/>
  <c r="D79" i="55"/>
  <c r="G142" i="40"/>
  <c r="H142" i="40" s="1"/>
  <c r="I134" i="40"/>
  <c r="G134" i="40"/>
  <c r="H134" i="40" s="1"/>
  <c r="H133" i="40"/>
  <c r="H132" i="40"/>
  <c r="G125" i="40"/>
  <c r="H125" i="40" s="1"/>
  <c r="G105" i="40"/>
  <c r="H105" i="40" s="1"/>
  <c r="H104" i="40"/>
  <c r="G103" i="40"/>
  <c r="H103" i="40" s="1"/>
  <c r="H101" i="40"/>
  <c r="G99" i="40"/>
  <c r="H99" i="40" s="1"/>
  <c r="G98" i="40"/>
  <c r="H98" i="40" s="1"/>
  <c r="G97" i="40"/>
  <c r="H97" i="40" s="1"/>
  <c r="G96" i="40"/>
  <c r="H96" i="40" s="1"/>
  <c r="I84" i="40"/>
  <c r="H84" i="40"/>
  <c r="G82" i="40"/>
  <c r="H82" i="40" s="1"/>
  <c r="G81" i="40"/>
  <c r="H81" i="40" s="1"/>
  <c r="H79" i="40"/>
  <c r="G78" i="40"/>
  <c r="H78" i="40" s="1"/>
  <c r="I77" i="40"/>
  <c r="G77" i="40"/>
  <c r="H77" i="40" s="1"/>
  <c r="H76" i="40"/>
  <c r="H68" i="40"/>
  <c r="G67" i="40"/>
  <c r="H67" i="40" s="1"/>
  <c r="G66" i="40"/>
  <c r="H66" i="40" s="1"/>
  <c r="G63" i="40"/>
  <c r="H63" i="40" s="1"/>
  <c r="H57" i="40"/>
  <c r="G56" i="40"/>
  <c r="H56" i="40" s="1"/>
  <c r="I55" i="40"/>
  <c r="G55" i="40"/>
  <c r="H55" i="40" s="1"/>
  <c r="H54" i="40"/>
  <c r="G53" i="40"/>
  <c r="H53" i="40" s="1"/>
  <c r="H52" i="40"/>
  <c r="G51" i="40"/>
  <c r="H51" i="40" s="1"/>
  <c r="H49" i="40"/>
  <c r="G47" i="40"/>
  <c r="H47" i="40" s="1"/>
  <c r="G46" i="40"/>
  <c r="H46" i="40" s="1"/>
  <c r="G45" i="40"/>
  <c r="H45" i="40" s="1"/>
  <c r="G41" i="40"/>
  <c r="H41" i="40" s="1"/>
  <c r="G39" i="40"/>
  <c r="H39" i="40" s="1"/>
  <c r="I37" i="40"/>
  <c r="G37" i="40"/>
  <c r="H37" i="40" s="1"/>
  <c r="G36" i="40"/>
  <c r="H36" i="40" s="1"/>
  <c r="G35" i="40"/>
  <c r="H35" i="40" s="1"/>
  <c r="G34" i="40"/>
  <c r="H34" i="40" s="1"/>
  <c r="G32" i="40"/>
  <c r="I31" i="40"/>
  <c r="I6" i="40" s="1"/>
  <c r="F31" i="40"/>
  <c r="E31" i="40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H18" i="40"/>
  <c r="G15" i="40"/>
  <c r="H15" i="40" s="1"/>
  <c r="G13" i="40"/>
  <c r="H13" i="40" s="1"/>
  <c r="G12" i="40"/>
  <c r="H12" i="40" s="1"/>
  <c r="H10" i="40"/>
  <c r="I9" i="40"/>
  <c r="G9" i="40"/>
  <c r="H9" i="40" s="1"/>
  <c r="G8" i="40"/>
  <c r="H8" i="40" s="1"/>
  <c r="F6" i="40"/>
  <c r="D6" i="40"/>
  <c r="G31" i="40" l="1"/>
  <c r="H31" i="40" s="1"/>
  <c r="E6" i="40"/>
  <c r="G6" i="40"/>
  <c r="H32" i="40"/>
  <c r="H6" i="40" s="1"/>
  <c r="L139" i="36" l="1"/>
  <c r="J139" i="36"/>
  <c r="L138" i="36"/>
  <c r="J138" i="36"/>
  <c r="E138" i="36" s="1"/>
  <c r="H130" i="36"/>
  <c r="D130" i="36" s="1"/>
  <c r="L110" i="36"/>
  <c r="J110" i="36"/>
  <c r="G110" i="36"/>
  <c r="L109" i="36"/>
  <c r="J109" i="36"/>
  <c r="E109" i="36" s="1"/>
  <c r="L108" i="36"/>
  <c r="J108" i="36"/>
  <c r="H108" i="36"/>
  <c r="G108" i="36"/>
  <c r="L107" i="36"/>
  <c r="J107" i="36"/>
  <c r="G107" i="36"/>
  <c r="L106" i="36"/>
  <c r="J106" i="36"/>
  <c r="D106" i="36" s="1"/>
  <c r="L105" i="36"/>
  <c r="J105" i="36"/>
  <c r="G105" i="36"/>
  <c r="L104" i="36"/>
  <c r="E104" i="36" s="1"/>
  <c r="J104" i="36"/>
  <c r="L103" i="36"/>
  <c r="J103" i="36"/>
  <c r="D103" i="36" s="1"/>
  <c r="G103" i="36"/>
  <c r="L102" i="36"/>
  <c r="J102" i="36"/>
  <c r="D102" i="36" s="1"/>
  <c r="L101" i="36"/>
  <c r="J101" i="36"/>
  <c r="E101" i="36" s="1"/>
  <c r="L100" i="36"/>
  <c r="J100" i="36"/>
  <c r="G100" i="36"/>
  <c r="L99" i="36"/>
  <c r="J99" i="36"/>
  <c r="L98" i="36"/>
  <c r="J98" i="36"/>
  <c r="L97" i="36"/>
  <c r="J97" i="36"/>
  <c r="L93" i="36"/>
  <c r="J93" i="36"/>
  <c r="L92" i="36"/>
  <c r="J92" i="36"/>
  <c r="D92" i="36" s="1"/>
  <c r="E92" i="36"/>
  <c r="N89" i="36"/>
  <c r="L89" i="36"/>
  <c r="J89" i="36"/>
  <c r="D88" i="36"/>
  <c r="O87" i="36"/>
  <c r="G87" i="36" s="1"/>
  <c r="D87" i="36"/>
  <c r="L86" i="36"/>
  <c r="J86" i="36"/>
  <c r="E86" i="36" s="1"/>
  <c r="D85" i="36"/>
  <c r="O84" i="36"/>
  <c r="G84" i="36" s="1"/>
  <c r="L84" i="36"/>
  <c r="J84" i="36"/>
  <c r="L83" i="36"/>
  <c r="J83" i="36"/>
  <c r="L82" i="36"/>
  <c r="J82" i="36"/>
  <c r="L81" i="36"/>
  <c r="J81" i="36"/>
  <c r="E81" i="36" s="1"/>
  <c r="G81" i="36"/>
  <c r="N78" i="36"/>
  <c r="E78" i="36" s="1"/>
  <c r="D78" i="36"/>
  <c r="N77" i="36"/>
  <c r="D77" i="36" s="1"/>
  <c r="E76" i="36"/>
  <c r="D76" i="36"/>
  <c r="E75" i="36"/>
  <c r="D75" i="36"/>
  <c r="N74" i="36"/>
  <c r="E74" i="36"/>
  <c r="D74" i="36"/>
  <c r="L73" i="36"/>
  <c r="J73" i="36"/>
  <c r="L72" i="36"/>
  <c r="J72" i="36"/>
  <c r="L71" i="36"/>
  <c r="J71" i="36"/>
  <c r="E71" i="36"/>
  <c r="D71" i="36"/>
  <c r="G68" i="36"/>
  <c r="D68" i="36"/>
  <c r="G67" i="36"/>
  <c r="D67" i="36"/>
  <c r="G66" i="36"/>
  <c r="D66" i="36"/>
  <c r="L63" i="36"/>
  <c r="J63" i="36"/>
  <c r="D63" i="36" s="1"/>
  <c r="G63" i="36"/>
  <c r="L62" i="36"/>
  <c r="J62" i="36"/>
  <c r="E62" i="36" s="1"/>
  <c r="G62" i="36"/>
  <c r="D62" i="36"/>
  <c r="L61" i="36"/>
  <c r="J61" i="36"/>
  <c r="G61" i="36"/>
  <c r="L60" i="36"/>
  <c r="J60" i="36"/>
  <c r="G60" i="36"/>
  <c r="E60" i="36"/>
  <c r="D60" i="36"/>
  <c r="L59" i="36"/>
  <c r="J59" i="36"/>
  <c r="G59" i="36"/>
  <c r="L58" i="36"/>
  <c r="J58" i="36"/>
  <c r="E58" i="36"/>
  <c r="D58" i="36"/>
  <c r="L57" i="36"/>
  <c r="E57" i="36" s="1"/>
  <c r="J57" i="36"/>
  <c r="G57" i="36"/>
  <c r="L56" i="36"/>
  <c r="J56" i="36"/>
  <c r="G56" i="36"/>
  <c r="L55" i="36"/>
  <c r="J55" i="36"/>
  <c r="D55" i="36" s="1"/>
  <c r="G55" i="36"/>
  <c r="L54" i="36"/>
  <c r="J54" i="36"/>
  <c r="E54" i="36" s="1"/>
  <c r="L53" i="36"/>
  <c r="J53" i="36"/>
  <c r="G53" i="36"/>
  <c r="L52" i="36"/>
  <c r="J52" i="36"/>
  <c r="E52" i="36" s="1"/>
  <c r="G52" i="36"/>
  <c r="L51" i="36"/>
  <c r="J51" i="36"/>
  <c r="G51" i="36"/>
  <c r="L50" i="36"/>
  <c r="J50" i="36"/>
  <c r="E50" i="36" s="1"/>
  <c r="G50" i="36"/>
  <c r="D50" i="36"/>
  <c r="L49" i="36"/>
  <c r="J49" i="36"/>
  <c r="L48" i="36"/>
  <c r="E48" i="36" s="1"/>
  <c r="J48" i="36"/>
  <c r="L47" i="36"/>
  <c r="J47" i="36"/>
  <c r="E47" i="36" s="1"/>
  <c r="L46" i="36"/>
  <c r="J46" i="36"/>
  <c r="G46" i="36"/>
  <c r="L45" i="36"/>
  <c r="J45" i="36"/>
  <c r="E45" i="36" s="1"/>
  <c r="G45" i="36"/>
  <c r="L44" i="36"/>
  <c r="J44" i="36"/>
  <c r="G44" i="36"/>
  <c r="L43" i="36"/>
  <c r="J43" i="36"/>
  <c r="G43" i="36"/>
  <c r="L42" i="36"/>
  <c r="E42" i="36" s="1"/>
  <c r="J42" i="36"/>
  <c r="G42" i="36"/>
  <c r="L41" i="36"/>
  <c r="J41" i="36"/>
  <c r="G41" i="36"/>
  <c r="L40" i="36"/>
  <c r="D40" i="36" s="1"/>
  <c r="J40" i="36"/>
  <c r="G40" i="36"/>
  <c r="L39" i="36"/>
  <c r="J39" i="36"/>
  <c r="G39" i="36"/>
  <c r="G37" i="36"/>
  <c r="D37" i="36"/>
  <c r="O36" i="36"/>
  <c r="G36" i="36" s="1"/>
  <c r="L36" i="36"/>
  <c r="J36" i="36"/>
  <c r="D36" i="36" s="1"/>
  <c r="L33" i="36"/>
  <c r="J33" i="36"/>
  <c r="L32" i="36"/>
  <c r="J32" i="36"/>
  <c r="E32" i="36" s="1"/>
  <c r="G32" i="36"/>
  <c r="L31" i="36"/>
  <c r="E31" i="36" s="1"/>
  <c r="J31" i="36"/>
  <c r="G31" i="36"/>
  <c r="D31" i="36"/>
  <c r="L30" i="36"/>
  <c r="J30" i="36"/>
  <c r="G30" i="36"/>
  <c r="L29" i="36"/>
  <c r="J29" i="36"/>
  <c r="L28" i="36"/>
  <c r="J28" i="36"/>
  <c r="E28" i="36" s="1"/>
  <c r="G28" i="36"/>
  <c r="L27" i="36"/>
  <c r="J27" i="36"/>
  <c r="G27" i="36"/>
  <c r="L26" i="36"/>
  <c r="J26" i="36"/>
  <c r="D26" i="36" s="1"/>
  <c r="G26" i="36"/>
  <c r="L25" i="36"/>
  <c r="J25" i="36"/>
  <c r="L23" i="36"/>
  <c r="J23" i="36"/>
  <c r="G23" i="36"/>
  <c r="L22" i="36"/>
  <c r="J22" i="36"/>
  <c r="L21" i="36"/>
  <c r="J21" i="36"/>
  <c r="E21" i="36" s="1"/>
  <c r="L20" i="36"/>
  <c r="E20" i="36" s="1"/>
  <c r="J20" i="36"/>
  <c r="L19" i="36"/>
  <c r="J19" i="36"/>
  <c r="E19" i="36" s="1"/>
  <c r="G19" i="36"/>
  <c r="L18" i="36"/>
  <c r="E18" i="36" s="1"/>
  <c r="J18" i="36"/>
  <c r="G18" i="36"/>
  <c r="L17" i="36"/>
  <c r="J17" i="36"/>
  <c r="G17" i="36"/>
  <c r="L16" i="36"/>
  <c r="J16" i="36"/>
  <c r="G16" i="36"/>
  <c r="L15" i="36"/>
  <c r="J15" i="36"/>
  <c r="G15" i="36"/>
  <c r="L14" i="36"/>
  <c r="J14" i="36"/>
  <c r="G14" i="36"/>
  <c r="L13" i="36"/>
  <c r="J13" i="36"/>
  <c r="D13" i="36" s="1"/>
  <c r="G13" i="36"/>
  <c r="L12" i="36"/>
  <c r="J12" i="36"/>
  <c r="E12" i="36" s="1"/>
  <c r="M11" i="36"/>
  <c r="M9" i="36" s="1"/>
  <c r="K11" i="36"/>
  <c r="K9" i="36" s="1"/>
  <c r="I11" i="36"/>
  <c r="I9" i="36" s="1"/>
  <c r="F11" i="36"/>
  <c r="F9" i="36" s="1"/>
  <c r="J10" i="36"/>
  <c r="E51" i="36" l="1"/>
  <c r="O11" i="36"/>
  <c r="O9" i="36" s="1"/>
  <c r="D17" i="36"/>
  <c r="D30" i="36"/>
  <c r="E33" i="36"/>
  <c r="D43" i="36"/>
  <c r="D52" i="36"/>
  <c r="E99" i="36"/>
  <c r="E108" i="36"/>
  <c r="D84" i="36"/>
  <c r="E93" i="36"/>
  <c r="D138" i="36"/>
  <c r="D42" i="36"/>
  <c r="E15" i="36"/>
  <c r="E40" i="36"/>
  <c r="D104" i="36"/>
  <c r="E77" i="36"/>
  <c r="D86" i="36"/>
  <c r="E98" i="36"/>
  <c r="D107" i="36"/>
  <c r="D18" i="36"/>
  <c r="D21" i="36"/>
  <c r="D57" i="36"/>
  <c r="E61" i="36"/>
  <c r="D83" i="36"/>
  <c r="E14" i="36"/>
  <c r="D99" i="36"/>
  <c r="D101" i="36"/>
  <c r="E106" i="36"/>
  <c r="E17" i="36"/>
  <c r="E44" i="36"/>
  <c r="E84" i="36"/>
  <c r="E22" i="36"/>
  <c r="E29" i="36"/>
  <c r="E55" i="36"/>
  <c r="E13" i="36"/>
  <c r="E72" i="36"/>
  <c r="D15" i="36"/>
  <c r="D20" i="36"/>
  <c r="E23" i="36"/>
  <c r="E27" i="36"/>
  <c r="D53" i="36"/>
  <c r="E73" i="36"/>
  <c r="E82" i="36"/>
  <c r="E110" i="36"/>
  <c r="E139" i="36"/>
  <c r="E16" i="36"/>
  <c r="D23" i="36"/>
  <c r="E26" i="36"/>
  <c r="D32" i="36"/>
  <c r="E36" i="36"/>
  <c r="E39" i="36"/>
  <c r="E41" i="36"/>
  <c r="E43" i="36"/>
  <c r="D45" i="36"/>
  <c r="D47" i="36"/>
  <c r="E49" i="36"/>
  <c r="E53" i="36"/>
  <c r="E59" i="36"/>
  <c r="E63" i="36"/>
  <c r="D73" i="36"/>
  <c r="D81" i="36"/>
  <c r="E83" i="36"/>
  <c r="D93" i="36"/>
  <c r="E103" i="36"/>
  <c r="E107" i="36"/>
  <c r="D109" i="36"/>
  <c r="E130" i="36"/>
  <c r="E89" i="36"/>
  <c r="E105" i="36"/>
  <c r="D27" i="36"/>
  <c r="D29" i="36"/>
  <c r="D48" i="36"/>
  <c r="E97" i="36"/>
  <c r="D12" i="36"/>
  <c r="D56" i="36"/>
  <c r="D22" i="36"/>
  <c r="E25" i="36"/>
  <c r="D44" i="36"/>
  <c r="E46" i="36"/>
  <c r="J11" i="36"/>
  <c r="J9" i="36" s="1"/>
  <c r="D98" i="36"/>
  <c r="E102" i="36"/>
  <c r="N11" i="36"/>
  <c r="N9" i="36" s="1"/>
  <c r="L11" i="36"/>
  <c r="L9" i="36" s="1"/>
  <c r="E100" i="36"/>
  <c r="G11" i="36"/>
  <c r="G9" i="36" s="1"/>
  <c r="D61" i="36"/>
  <c r="H11" i="36"/>
  <c r="H9" i="36" s="1"/>
  <c r="D16" i="36"/>
  <c r="D51" i="36"/>
  <c r="D25" i="36"/>
  <c r="E30" i="36"/>
  <c r="D41" i="36"/>
  <c r="E56" i="36"/>
  <c r="D72" i="36"/>
  <c r="D105" i="36"/>
  <c r="D110" i="36"/>
  <c r="D139" i="36"/>
  <c r="D14" i="36"/>
  <c r="D46" i="36"/>
  <c r="D59" i="36"/>
  <c r="D89" i="36"/>
  <c r="D19" i="36"/>
  <c r="D28" i="36"/>
  <c r="D33" i="36"/>
  <c r="D39" i="36"/>
  <c r="D49" i="36"/>
  <c r="D54" i="36"/>
  <c r="D82" i="36"/>
  <c r="D97" i="36"/>
  <c r="D100" i="36"/>
  <c r="D108" i="36"/>
  <c r="D11" i="36" l="1"/>
  <c r="D9" i="36" s="1"/>
  <c r="E11" i="36"/>
  <c r="E9" i="36" s="1"/>
  <c r="F57" i="6" l="1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E57" i="6"/>
  <c r="K143" i="52" l="1"/>
  <c r="L143" i="52"/>
  <c r="D143" i="52"/>
  <c r="G10" i="3" l="1"/>
  <c r="I10" i="3"/>
  <c r="J10" i="3"/>
  <c r="O10" i="3"/>
  <c r="P10" i="3"/>
  <c r="Q10" i="3"/>
  <c r="V77" i="3"/>
  <c r="S77" i="3" s="1"/>
  <c r="N77" i="3"/>
  <c r="K77" i="3"/>
  <c r="V84" i="3"/>
  <c r="S84" i="3" s="1"/>
  <c r="N84" i="3"/>
  <c r="K84" i="3"/>
  <c r="V87" i="3"/>
  <c r="S87" i="3" s="1"/>
  <c r="N87" i="3"/>
  <c r="K87" i="3"/>
  <c r="V75" i="3"/>
  <c r="S75" i="3" s="1"/>
  <c r="N75" i="3"/>
  <c r="K75" i="3"/>
  <c r="V74" i="3"/>
  <c r="S74" i="3" s="1"/>
  <c r="N74" i="3"/>
  <c r="K74" i="3"/>
  <c r="D84" i="3" l="1"/>
  <c r="D75" i="3"/>
  <c r="D74" i="3"/>
  <c r="D77" i="3"/>
  <c r="D87" i="3"/>
  <c r="J12" i="55"/>
  <c r="E13" i="55"/>
  <c r="E14" i="55"/>
  <c r="E15" i="55"/>
  <c r="E16" i="55"/>
  <c r="E17" i="55"/>
  <c r="E18" i="55"/>
  <c r="E19" i="55"/>
  <c r="E20" i="55"/>
  <c r="E21" i="55"/>
  <c r="E22" i="55"/>
  <c r="E23" i="55"/>
  <c r="E24" i="55"/>
  <c r="E25" i="55"/>
  <c r="E26" i="55"/>
  <c r="E27" i="55"/>
  <c r="E28" i="55"/>
  <c r="E29" i="55"/>
  <c r="E30" i="55"/>
  <c r="E31" i="55"/>
  <c r="E32" i="55"/>
  <c r="E33" i="55"/>
  <c r="E34" i="55"/>
  <c r="E35" i="55"/>
  <c r="E36" i="55"/>
  <c r="E37" i="55"/>
  <c r="E38" i="55"/>
  <c r="E39" i="55"/>
  <c r="E40" i="55"/>
  <c r="E41" i="55"/>
  <c r="E42" i="55"/>
  <c r="E43" i="55"/>
  <c r="E44" i="55"/>
  <c r="E45" i="55"/>
  <c r="E46" i="55"/>
  <c r="E47" i="55"/>
  <c r="E48" i="55"/>
  <c r="E49" i="55"/>
  <c r="E50" i="55"/>
  <c r="E51" i="55"/>
  <c r="E52" i="55"/>
  <c r="E53" i="55"/>
  <c r="E55" i="55"/>
  <c r="E56" i="55"/>
  <c r="E57" i="55"/>
  <c r="E58" i="55"/>
  <c r="E59" i="55"/>
  <c r="E60" i="55"/>
  <c r="E62" i="55"/>
  <c r="E64" i="55"/>
  <c r="E65" i="55"/>
  <c r="E66" i="55"/>
  <c r="E67" i="55"/>
  <c r="E68" i="55"/>
  <c r="E69" i="55"/>
  <c r="E70" i="55"/>
  <c r="E71" i="55"/>
  <c r="E72" i="55"/>
  <c r="E73" i="55"/>
  <c r="E81" i="55"/>
  <c r="E82" i="55"/>
  <c r="E83" i="55"/>
  <c r="E84" i="55"/>
  <c r="E86" i="55"/>
  <c r="E87" i="55"/>
  <c r="E89" i="55"/>
  <c r="E90" i="55"/>
  <c r="E91" i="55"/>
  <c r="E92" i="55"/>
  <c r="E93" i="55"/>
  <c r="E94" i="55"/>
  <c r="E95" i="55"/>
  <c r="E96" i="55"/>
  <c r="E97" i="55"/>
  <c r="E98" i="55"/>
  <c r="E99" i="55"/>
  <c r="E100" i="55"/>
  <c r="E101" i="55"/>
  <c r="E102" i="55"/>
  <c r="E54" i="55"/>
  <c r="E103" i="55"/>
  <c r="E104" i="55"/>
  <c r="E105" i="55"/>
  <c r="E106" i="55"/>
  <c r="E107" i="55"/>
  <c r="E108" i="55"/>
  <c r="E109" i="55"/>
  <c r="E61" i="55"/>
  <c r="E110" i="55"/>
  <c r="E63" i="55"/>
  <c r="E111" i="55"/>
  <c r="E112" i="55"/>
  <c r="E113" i="55"/>
  <c r="E114" i="55"/>
  <c r="E115" i="55"/>
  <c r="E116" i="55"/>
  <c r="E117" i="55"/>
  <c r="E118" i="55"/>
  <c r="E119" i="55"/>
  <c r="E120" i="55"/>
  <c r="E121" i="55"/>
  <c r="E122" i="55"/>
  <c r="E123" i="55"/>
  <c r="E124" i="55"/>
  <c r="E125" i="55"/>
  <c r="E126" i="55"/>
  <c r="E127" i="55"/>
  <c r="E128" i="55"/>
  <c r="E129" i="55"/>
  <c r="E130" i="55"/>
  <c r="E131" i="55"/>
  <c r="E132" i="55"/>
  <c r="E133" i="55"/>
  <c r="E134" i="55"/>
  <c r="E135" i="55"/>
  <c r="E136" i="55"/>
  <c r="E137" i="55"/>
  <c r="E138" i="55"/>
  <c r="E139" i="55"/>
  <c r="E140" i="55"/>
  <c r="E141" i="55"/>
  <c r="E142" i="55"/>
  <c r="E143" i="55"/>
  <c r="E144" i="55"/>
  <c r="E145" i="55"/>
  <c r="E146" i="55"/>
  <c r="E147" i="55"/>
  <c r="E148" i="55"/>
  <c r="E149" i="55"/>
  <c r="E12" i="55"/>
  <c r="D12" i="55" l="1"/>
  <c r="E11" i="55"/>
  <c r="H8" i="55"/>
  <c r="D9" i="23" l="1"/>
  <c r="D6" i="23" s="1"/>
  <c r="D8" i="27" l="1"/>
  <c r="F7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61" i="27"/>
  <c r="F62" i="27"/>
  <c r="F63" i="27"/>
  <c r="F64" i="27"/>
  <c r="F65" i="27"/>
  <c r="F66" i="27"/>
  <c r="F67" i="27"/>
  <c r="F68" i="27"/>
  <c r="F69" i="27"/>
  <c r="F70" i="27"/>
  <c r="F71" i="27"/>
  <c r="F72" i="27"/>
  <c r="F75" i="27"/>
  <c r="F77" i="27"/>
  <c r="F78" i="27"/>
  <c r="F79" i="27"/>
  <c r="F80" i="27"/>
  <c r="F81" i="27"/>
  <c r="F82" i="27"/>
  <c r="F84" i="27"/>
  <c r="F85" i="27"/>
  <c r="F87" i="27"/>
  <c r="F88" i="27"/>
  <c r="F89" i="27"/>
  <c r="F90" i="27"/>
  <c r="F91" i="27"/>
  <c r="F92" i="27"/>
  <c r="F93" i="27"/>
  <c r="F94" i="27"/>
  <c r="F95" i="27"/>
  <c r="F96" i="27"/>
  <c r="F97" i="27"/>
  <c r="F98" i="27"/>
  <c r="F99" i="27"/>
  <c r="F100" i="27"/>
  <c r="F101" i="27"/>
  <c r="F102" i="27"/>
  <c r="F103" i="27"/>
  <c r="F104" i="27"/>
  <c r="F105" i="27"/>
  <c r="F106" i="27"/>
  <c r="F107" i="27"/>
  <c r="F108" i="27"/>
  <c r="F109" i="27"/>
  <c r="F110" i="27"/>
  <c r="F111" i="27"/>
  <c r="F112" i="27"/>
  <c r="F113" i="27"/>
  <c r="F114" i="27"/>
  <c r="F115" i="27"/>
  <c r="F116" i="27"/>
  <c r="F117" i="27"/>
  <c r="F118" i="27"/>
  <c r="F119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3" i="27"/>
  <c r="F134" i="27"/>
  <c r="F135" i="27"/>
  <c r="F136" i="27"/>
  <c r="F137" i="27"/>
  <c r="F138" i="27"/>
  <c r="F139" i="27"/>
  <c r="F140" i="27"/>
  <c r="F141" i="27"/>
  <c r="F142" i="27"/>
  <c r="F143" i="27"/>
  <c r="F144" i="27"/>
  <c r="F145" i="27"/>
  <c r="F146" i="27"/>
  <c r="F147" i="27"/>
  <c r="F10" i="27"/>
  <c r="G6" i="27"/>
  <c r="F9" i="27" l="1"/>
  <c r="W76" i="3"/>
  <c r="W73" i="3"/>
  <c r="E83" i="3"/>
  <c r="F83" i="3"/>
  <c r="L83" i="3"/>
  <c r="L10" i="3" s="1"/>
  <c r="M83" i="3"/>
  <c r="U83" i="3"/>
  <c r="W83" i="3"/>
  <c r="X83" i="3"/>
  <c r="E86" i="3"/>
  <c r="F86" i="3"/>
  <c r="L86" i="3"/>
  <c r="M86" i="3"/>
  <c r="R86" i="3"/>
  <c r="T86" i="3"/>
  <c r="T10" i="3" s="1"/>
  <c r="U86" i="3"/>
  <c r="W86" i="3"/>
  <c r="X86" i="3"/>
  <c r="E35" i="3"/>
  <c r="E10" i="3" s="1"/>
  <c r="F35" i="3"/>
  <c r="F10" i="3" s="1"/>
  <c r="M35" i="3"/>
  <c r="R35" i="3"/>
  <c r="R10" i="3" s="1"/>
  <c r="U35" i="3"/>
  <c r="X35" i="3"/>
  <c r="X10" i="3" l="1"/>
  <c r="M10" i="3"/>
  <c r="W10" i="3"/>
  <c r="U10" i="3"/>
  <c r="I136" i="54"/>
  <c r="I135" i="54"/>
  <c r="I107" i="54"/>
  <c r="I106" i="54"/>
  <c r="I105" i="54"/>
  <c r="I104" i="54"/>
  <c r="I103" i="54"/>
  <c r="I102" i="54"/>
  <c r="I101" i="54"/>
  <c r="I100" i="54"/>
  <c r="I99" i="54"/>
  <c r="I98" i="54"/>
  <c r="I97" i="54"/>
  <c r="I96" i="54"/>
  <c r="I95" i="54"/>
  <c r="I94" i="54"/>
  <c r="I90" i="54"/>
  <c r="I89" i="54"/>
  <c r="I86" i="54"/>
  <c r="I84" i="54"/>
  <c r="I83" i="54"/>
  <c r="I82" i="54"/>
  <c r="I81" i="54"/>
  <c r="I80" i="54"/>
  <c r="I72" i="54"/>
  <c r="I71" i="54"/>
  <c r="I70" i="54"/>
  <c r="I60" i="54"/>
  <c r="I59" i="54"/>
  <c r="I58" i="54"/>
  <c r="I57" i="54"/>
  <c r="I56" i="54"/>
  <c r="I55" i="54"/>
  <c r="I54" i="54"/>
  <c r="I53" i="54"/>
  <c r="I52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9" i="54"/>
  <c r="I38" i="54"/>
  <c r="I37" i="54"/>
  <c r="I36" i="54"/>
  <c r="I33" i="54"/>
  <c r="I30" i="54"/>
  <c r="I29" i="54"/>
  <c r="I28" i="54"/>
  <c r="I27" i="54"/>
  <c r="I26" i="54"/>
  <c r="I25" i="54"/>
  <c r="I24" i="54"/>
  <c r="I23" i="54"/>
  <c r="I22" i="54"/>
  <c r="I10" i="54"/>
  <c r="I11" i="54"/>
  <c r="I12" i="54"/>
  <c r="I13" i="54"/>
  <c r="I14" i="54"/>
  <c r="I15" i="54"/>
  <c r="I16" i="54"/>
  <c r="I17" i="54"/>
  <c r="I18" i="54"/>
  <c r="I19" i="54"/>
  <c r="I20" i="54"/>
  <c r="I9" i="54"/>
  <c r="F27" i="6" l="1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E27" i="6"/>
  <c r="J142" i="29" l="1"/>
  <c r="J144" i="29" s="1"/>
  <c r="F149" i="66" l="1"/>
  <c r="D149" i="66" s="1"/>
  <c r="F148" i="66"/>
  <c r="D148" i="66" s="1"/>
  <c r="F147" i="66"/>
  <c r="D147" i="66" s="1"/>
  <c r="F146" i="66"/>
  <c r="D146" i="66" s="1"/>
  <c r="F145" i="66"/>
  <c r="D145" i="66" s="1"/>
  <c r="F144" i="66"/>
  <c r="D144" i="66" s="1"/>
  <c r="F143" i="66"/>
  <c r="D143" i="66" s="1"/>
  <c r="F142" i="66"/>
  <c r="D142" i="66" s="1"/>
  <c r="F141" i="66"/>
  <c r="D141" i="66" s="1"/>
  <c r="F140" i="66"/>
  <c r="D140" i="66" s="1"/>
  <c r="F139" i="66"/>
  <c r="D139" i="66" s="1"/>
  <c r="F138" i="66"/>
  <c r="D138" i="66" s="1"/>
  <c r="F137" i="66"/>
  <c r="D137" i="66" s="1"/>
  <c r="F136" i="66"/>
  <c r="D136" i="66" s="1"/>
  <c r="F135" i="66"/>
  <c r="D135" i="66" s="1"/>
  <c r="F134" i="66"/>
  <c r="D134" i="66" s="1"/>
  <c r="F133" i="66"/>
  <c r="D133" i="66" s="1"/>
  <c r="F132" i="66"/>
  <c r="D132" i="66" s="1"/>
  <c r="F131" i="66"/>
  <c r="D131" i="66" s="1"/>
  <c r="F130" i="66"/>
  <c r="D130" i="66" s="1"/>
  <c r="F129" i="66"/>
  <c r="D129" i="66" s="1"/>
  <c r="F128" i="66"/>
  <c r="D128" i="66" s="1"/>
  <c r="F127" i="66"/>
  <c r="D127" i="66" s="1"/>
  <c r="F126" i="66"/>
  <c r="D126" i="66" s="1"/>
  <c r="F125" i="66"/>
  <c r="D125" i="66" s="1"/>
  <c r="F124" i="66"/>
  <c r="D124" i="66" s="1"/>
  <c r="F123" i="66"/>
  <c r="D123" i="66" s="1"/>
  <c r="F122" i="66"/>
  <c r="D122" i="66" s="1"/>
  <c r="F121" i="66"/>
  <c r="D121" i="66" s="1"/>
  <c r="F120" i="66"/>
  <c r="D120" i="66" s="1"/>
  <c r="F119" i="66"/>
  <c r="D119" i="66" s="1"/>
  <c r="F118" i="66"/>
  <c r="D118" i="66" s="1"/>
  <c r="F117" i="66"/>
  <c r="D117" i="66" s="1"/>
  <c r="F116" i="66"/>
  <c r="D116" i="66" s="1"/>
  <c r="F115" i="66"/>
  <c r="D115" i="66" s="1"/>
  <c r="F114" i="66"/>
  <c r="D114" i="66" s="1"/>
  <c r="F113" i="66"/>
  <c r="D113" i="66" s="1"/>
  <c r="F112" i="66"/>
  <c r="D112" i="66" s="1"/>
  <c r="F111" i="66"/>
  <c r="D111" i="66" s="1"/>
  <c r="F110" i="66"/>
  <c r="D110" i="66" s="1"/>
  <c r="F109" i="66"/>
  <c r="D109" i="66" s="1"/>
  <c r="F108" i="66"/>
  <c r="D108" i="66" s="1"/>
  <c r="F107" i="66"/>
  <c r="D107" i="66" s="1"/>
  <c r="F106" i="66"/>
  <c r="D106" i="66" s="1"/>
  <c r="F105" i="66"/>
  <c r="D105" i="66" s="1"/>
  <c r="F104" i="66"/>
  <c r="D104" i="66" s="1"/>
  <c r="F103" i="66"/>
  <c r="D103" i="66" s="1"/>
  <c r="F102" i="66"/>
  <c r="D102" i="66" s="1"/>
  <c r="F101" i="66"/>
  <c r="D101" i="66" s="1"/>
  <c r="F100" i="66"/>
  <c r="D100" i="66" s="1"/>
  <c r="F99" i="66"/>
  <c r="D99" i="66" s="1"/>
  <c r="F98" i="66"/>
  <c r="D98" i="66" s="1"/>
  <c r="F97" i="66"/>
  <c r="D97" i="66" s="1"/>
  <c r="F96" i="66"/>
  <c r="D96" i="66" s="1"/>
  <c r="F95" i="66"/>
  <c r="D95" i="66" s="1"/>
  <c r="F94" i="66"/>
  <c r="D94" i="66" s="1"/>
  <c r="F93" i="66"/>
  <c r="D93" i="66" s="1"/>
  <c r="F92" i="66"/>
  <c r="D92" i="66" s="1"/>
  <c r="F91" i="66"/>
  <c r="D91" i="66" s="1"/>
  <c r="F90" i="66"/>
  <c r="D90" i="66" s="1"/>
  <c r="F89" i="66"/>
  <c r="D89" i="66" s="1"/>
  <c r="F87" i="66"/>
  <c r="D87" i="66" s="1"/>
  <c r="F86" i="66"/>
  <c r="D86" i="66" s="1"/>
  <c r="F84" i="66"/>
  <c r="D84" i="66" s="1"/>
  <c r="F83" i="66"/>
  <c r="D83" i="66" s="1"/>
  <c r="F82" i="66"/>
  <c r="D82" i="66" s="1"/>
  <c r="F81" i="66"/>
  <c r="D81" i="66" s="1"/>
  <c r="F80" i="66"/>
  <c r="D80" i="66" s="1"/>
  <c r="F79" i="66"/>
  <c r="D79" i="66" s="1"/>
  <c r="F77" i="66"/>
  <c r="D77" i="66" s="1"/>
  <c r="F76" i="66"/>
  <c r="D76" i="66" s="1"/>
  <c r="F75" i="66"/>
  <c r="D75" i="66" s="1"/>
  <c r="F74" i="66"/>
  <c r="D74" i="66" s="1"/>
  <c r="F73" i="66"/>
  <c r="D73" i="66" s="1"/>
  <c r="F72" i="66"/>
  <c r="D72" i="66" s="1"/>
  <c r="F71" i="66"/>
  <c r="D71" i="66" s="1"/>
  <c r="F70" i="66"/>
  <c r="D70" i="66" s="1"/>
  <c r="F69" i="66"/>
  <c r="D69" i="66" s="1"/>
  <c r="F68" i="66"/>
  <c r="D68" i="66" s="1"/>
  <c r="F67" i="66"/>
  <c r="D67" i="66" s="1"/>
  <c r="F66" i="66"/>
  <c r="D66" i="66" s="1"/>
  <c r="F65" i="66"/>
  <c r="D65" i="66" s="1"/>
  <c r="F64" i="66"/>
  <c r="D64" i="66" s="1"/>
  <c r="F63" i="66"/>
  <c r="D63" i="66" s="1"/>
  <c r="F62" i="66"/>
  <c r="D62" i="66" s="1"/>
  <c r="F61" i="66"/>
  <c r="D61" i="66" s="1"/>
  <c r="F60" i="66"/>
  <c r="D60" i="66" s="1"/>
  <c r="F59" i="66"/>
  <c r="D59" i="66" s="1"/>
  <c r="F58" i="66"/>
  <c r="D58" i="66" s="1"/>
  <c r="F57" i="66"/>
  <c r="D57" i="66" s="1"/>
  <c r="F56" i="66"/>
  <c r="D56" i="66" s="1"/>
  <c r="F55" i="66"/>
  <c r="D55" i="66" s="1"/>
  <c r="F54" i="66"/>
  <c r="D54" i="66" s="1"/>
  <c r="F53" i="66"/>
  <c r="D53" i="66" s="1"/>
  <c r="F52" i="66"/>
  <c r="D52" i="66" s="1"/>
  <c r="F51" i="66"/>
  <c r="D51" i="66" s="1"/>
  <c r="F50" i="66"/>
  <c r="D50" i="66" s="1"/>
  <c r="F49" i="66"/>
  <c r="D49" i="66" s="1"/>
  <c r="F48" i="66"/>
  <c r="D48" i="66" s="1"/>
  <c r="F47" i="66"/>
  <c r="D47" i="66" s="1"/>
  <c r="F46" i="66"/>
  <c r="D46" i="66" s="1"/>
  <c r="F45" i="66"/>
  <c r="D45" i="66" s="1"/>
  <c r="F44" i="66"/>
  <c r="D44" i="66" s="1"/>
  <c r="F43" i="66"/>
  <c r="D43" i="66" s="1"/>
  <c r="F42" i="66"/>
  <c r="D42" i="66" s="1"/>
  <c r="F41" i="66"/>
  <c r="D41" i="66" s="1"/>
  <c r="F40" i="66"/>
  <c r="D40" i="66" s="1"/>
  <c r="F39" i="66"/>
  <c r="D39" i="66" s="1"/>
  <c r="F38" i="66"/>
  <c r="D38" i="66" s="1"/>
  <c r="F37" i="66"/>
  <c r="D37" i="66" s="1"/>
  <c r="F36" i="66"/>
  <c r="D36" i="66" s="1"/>
  <c r="F35" i="66"/>
  <c r="D35" i="66" s="1"/>
  <c r="F34" i="66"/>
  <c r="D34" i="66" s="1"/>
  <c r="F33" i="66"/>
  <c r="D33" i="66" s="1"/>
  <c r="F32" i="66"/>
  <c r="D32" i="66" s="1"/>
  <c r="F31" i="66"/>
  <c r="D31" i="66" s="1"/>
  <c r="F30" i="66"/>
  <c r="D30" i="66" s="1"/>
  <c r="F29" i="66"/>
  <c r="D29" i="66" s="1"/>
  <c r="F28" i="66"/>
  <c r="D28" i="66" s="1"/>
  <c r="F27" i="66"/>
  <c r="D27" i="66" s="1"/>
  <c r="F26" i="66"/>
  <c r="D26" i="66" s="1"/>
  <c r="F25" i="66"/>
  <c r="D25" i="66" s="1"/>
  <c r="F24" i="66"/>
  <c r="D24" i="66" s="1"/>
  <c r="F23" i="66"/>
  <c r="D23" i="66" s="1"/>
  <c r="F22" i="66"/>
  <c r="D22" i="66" s="1"/>
  <c r="F21" i="66"/>
  <c r="D21" i="66" s="1"/>
  <c r="F20" i="66"/>
  <c r="D20" i="66" s="1"/>
  <c r="F19" i="66"/>
  <c r="D19" i="66" s="1"/>
  <c r="F18" i="66"/>
  <c r="D18" i="66" s="1"/>
  <c r="F17" i="66"/>
  <c r="D17" i="66" s="1"/>
  <c r="F16" i="66"/>
  <c r="D16" i="66" s="1"/>
  <c r="F15" i="66"/>
  <c r="D15" i="66" s="1"/>
  <c r="F14" i="66"/>
  <c r="D14" i="66" s="1"/>
  <c r="F13" i="66"/>
  <c r="D13" i="66" s="1"/>
  <c r="F12" i="66"/>
  <c r="D12" i="66" s="1"/>
  <c r="J11" i="66"/>
  <c r="I11" i="66"/>
  <c r="H11" i="66"/>
  <c r="G11" i="66"/>
  <c r="E11" i="66"/>
  <c r="F11" i="66" l="1"/>
  <c r="D11" i="66" s="1"/>
  <c r="X134" i="29" l="1"/>
  <c r="I79" i="5" l="1"/>
  <c r="G79" i="5"/>
  <c r="O79" i="5"/>
  <c r="P79" i="5"/>
  <c r="Q79" i="5"/>
  <c r="R79" i="5"/>
  <c r="N79" i="5"/>
  <c r="M79" i="5"/>
  <c r="L79" i="5"/>
  <c r="K79" i="5"/>
  <c r="J79" i="5"/>
  <c r="F9" i="23" l="1"/>
  <c r="E56" i="6" l="1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D29" i="6"/>
  <c r="D28" i="6"/>
  <c r="F8" i="55" l="1"/>
  <c r="G8" i="55"/>
  <c r="I8" i="55"/>
  <c r="M8" i="55"/>
  <c r="J93" i="55"/>
  <c r="J149" i="55"/>
  <c r="J148" i="55"/>
  <c r="J147" i="55"/>
  <c r="D147" i="55" s="1"/>
  <c r="J146" i="55"/>
  <c r="D146" i="55" s="1"/>
  <c r="J145" i="55"/>
  <c r="J144" i="55"/>
  <c r="J143" i="55"/>
  <c r="J142" i="55"/>
  <c r="D142" i="55" s="1"/>
  <c r="J141" i="55"/>
  <c r="J140" i="55"/>
  <c r="J139" i="55"/>
  <c r="J138" i="55"/>
  <c r="D138" i="55" s="1"/>
  <c r="J137" i="55"/>
  <c r="D137" i="55" s="1"/>
  <c r="J136" i="55"/>
  <c r="J135" i="55"/>
  <c r="D135" i="55" s="1"/>
  <c r="J134" i="55"/>
  <c r="D134" i="55" s="1"/>
  <c r="J133" i="55"/>
  <c r="D133" i="55" s="1"/>
  <c r="J132" i="55"/>
  <c r="J131" i="55"/>
  <c r="J130" i="55"/>
  <c r="D130" i="55" s="1"/>
  <c r="J129" i="55"/>
  <c r="J128" i="55"/>
  <c r="J127" i="55"/>
  <c r="J126" i="55"/>
  <c r="D126" i="55" s="1"/>
  <c r="J125" i="55"/>
  <c r="J124" i="55"/>
  <c r="J123" i="55"/>
  <c r="D123" i="55" s="1"/>
  <c r="J122" i="55"/>
  <c r="D122" i="55" s="1"/>
  <c r="J121" i="55"/>
  <c r="D121" i="55" s="1"/>
  <c r="J120" i="55"/>
  <c r="J119" i="55"/>
  <c r="J118" i="55"/>
  <c r="J117" i="55"/>
  <c r="D117" i="55" s="1"/>
  <c r="J116" i="55"/>
  <c r="J115" i="55"/>
  <c r="D115" i="55" s="1"/>
  <c r="J114" i="55"/>
  <c r="D114" i="55" s="1"/>
  <c r="J113" i="55"/>
  <c r="J112" i="55"/>
  <c r="J111" i="55"/>
  <c r="J63" i="55"/>
  <c r="D63" i="55" s="1"/>
  <c r="J110" i="55"/>
  <c r="D110" i="55" s="1"/>
  <c r="J61" i="55"/>
  <c r="J109" i="55"/>
  <c r="J108" i="55"/>
  <c r="D108" i="55" s="1"/>
  <c r="J107" i="55"/>
  <c r="D107" i="55" s="1"/>
  <c r="J106" i="55"/>
  <c r="J105" i="55"/>
  <c r="D105" i="55" s="1"/>
  <c r="J104" i="55"/>
  <c r="D104" i="55" s="1"/>
  <c r="J103" i="55"/>
  <c r="K54" i="55"/>
  <c r="J102" i="55"/>
  <c r="J101" i="55"/>
  <c r="J100" i="55"/>
  <c r="J99" i="55"/>
  <c r="J98" i="55"/>
  <c r="D98" i="55" s="1"/>
  <c r="J97" i="55"/>
  <c r="D97" i="55" s="1"/>
  <c r="J96" i="55"/>
  <c r="J92" i="55"/>
  <c r="J91" i="55"/>
  <c r="J90" i="55"/>
  <c r="D90" i="55" s="1"/>
  <c r="J89" i="55"/>
  <c r="J87" i="55"/>
  <c r="D87" i="55" s="1"/>
  <c r="J86" i="55"/>
  <c r="J84" i="55"/>
  <c r="D84" i="55" s="1"/>
  <c r="J83" i="55"/>
  <c r="J82" i="55"/>
  <c r="D82" i="55" s="1"/>
  <c r="J81" i="55"/>
  <c r="D81" i="55" s="1"/>
  <c r="J73" i="55"/>
  <c r="J72" i="55"/>
  <c r="D72" i="55" s="1"/>
  <c r="J71" i="55"/>
  <c r="J70" i="55"/>
  <c r="D70" i="55" s="1"/>
  <c r="J69" i="55"/>
  <c r="D69" i="55" s="1"/>
  <c r="J68" i="55"/>
  <c r="D68" i="55" s="1"/>
  <c r="J67" i="55"/>
  <c r="D67" i="55" s="1"/>
  <c r="J66" i="55"/>
  <c r="J65" i="55"/>
  <c r="D65" i="55" s="1"/>
  <c r="J64" i="55"/>
  <c r="J62" i="55"/>
  <c r="D62" i="55" s="1"/>
  <c r="J60" i="55"/>
  <c r="D60" i="55" s="1"/>
  <c r="J59" i="55"/>
  <c r="J58" i="55"/>
  <c r="D58" i="55" s="1"/>
  <c r="J57" i="55"/>
  <c r="D57" i="55" s="1"/>
  <c r="K56" i="55"/>
  <c r="J55" i="55"/>
  <c r="D55" i="55" s="1"/>
  <c r="J53" i="55"/>
  <c r="J52" i="55"/>
  <c r="D52" i="55" s="1"/>
  <c r="J51" i="55"/>
  <c r="J50" i="55"/>
  <c r="J49" i="55"/>
  <c r="J48" i="55"/>
  <c r="D48" i="55" s="1"/>
  <c r="J47" i="55"/>
  <c r="D47" i="55" s="1"/>
  <c r="J46" i="55"/>
  <c r="J45" i="55"/>
  <c r="J44" i="55"/>
  <c r="J43" i="55"/>
  <c r="J42" i="55"/>
  <c r="J41" i="55"/>
  <c r="J40" i="55"/>
  <c r="J39" i="55"/>
  <c r="D39" i="55" s="1"/>
  <c r="J38" i="55"/>
  <c r="J37" i="55"/>
  <c r="J36" i="55"/>
  <c r="J35" i="55"/>
  <c r="J34" i="55"/>
  <c r="J33" i="55"/>
  <c r="D33" i="55" s="1"/>
  <c r="J32" i="55"/>
  <c r="J31" i="55"/>
  <c r="D31" i="55" s="1"/>
  <c r="J30" i="55"/>
  <c r="J29" i="55"/>
  <c r="J28" i="55"/>
  <c r="D28" i="55" s="1"/>
  <c r="J27" i="55"/>
  <c r="J26" i="55"/>
  <c r="J25" i="55"/>
  <c r="J24" i="55"/>
  <c r="D24" i="55" s="1"/>
  <c r="J23" i="55"/>
  <c r="J22" i="55"/>
  <c r="D22" i="55" s="1"/>
  <c r="J21" i="55"/>
  <c r="K20" i="55"/>
  <c r="J19" i="55"/>
  <c r="J18" i="55"/>
  <c r="J17" i="55"/>
  <c r="J16" i="55"/>
  <c r="D16" i="55" s="1"/>
  <c r="J15" i="55"/>
  <c r="D15" i="55" s="1"/>
  <c r="K14" i="55"/>
  <c r="J13" i="55"/>
  <c r="K11" i="55" l="1"/>
  <c r="K8" i="55" s="1"/>
  <c r="D13" i="55"/>
  <c r="D131" i="55"/>
  <c r="D17" i="55"/>
  <c r="D34" i="55"/>
  <c r="D101" i="55"/>
  <c r="D149" i="55"/>
  <c r="D102" i="55"/>
  <c r="D93" i="55"/>
  <c r="D30" i="55"/>
  <c r="D36" i="55"/>
  <c r="D140" i="55"/>
  <c r="D141" i="55"/>
  <c r="L8" i="55"/>
  <c r="J20" i="55"/>
  <c r="D20" i="55" s="1"/>
  <c r="D26" i="55"/>
  <c r="D118" i="55"/>
  <c r="D124" i="55"/>
  <c r="D44" i="55"/>
  <c r="D32" i="55"/>
  <c r="D50" i="55"/>
  <c r="D73" i="55"/>
  <c r="D61" i="55"/>
  <c r="D119" i="55"/>
  <c r="J56" i="55"/>
  <c r="D56" i="55" s="1"/>
  <c r="J54" i="55"/>
  <c r="D54" i="55" s="1"/>
  <c r="D109" i="55"/>
  <c r="D125" i="55"/>
  <c r="D139" i="55"/>
  <c r="D38" i="55"/>
  <c r="D42" i="55"/>
  <c r="D45" i="55"/>
  <c r="D66" i="55"/>
  <c r="D86" i="55"/>
  <c r="D91" i="55"/>
  <c r="D111" i="55"/>
  <c r="D129" i="55"/>
  <c r="D143" i="55"/>
  <c r="D46" i="55"/>
  <c r="D18" i="55"/>
  <c r="D21" i="55"/>
  <c r="D25" i="55"/>
  <c r="D40" i="55"/>
  <c r="D64" i="55"/>
  <c r="D89" i="55"/>
  <c r="D96" i="55"/>
  <c r="D99" i="55"/>
  <c r="D113" i="55"/>
  <c r="D127" i="55"/>
  <c r="D145" i="55"/>
  <c r="D41" i="55"/>
  <c r="D27" i="55"/>
  <c r="D37" i="55"/>
  <c r="D43" i="55"/>
  <c r="D53" i="55"/>
  <c r="D59" i="55"/>
  <c r="D83" i="55"/>
  <c r="D106" i="55"/>
  <c r="D120" i="55"/>
  <c r="D136" i="55"/>
  <c r="D23" i="55"/>
  <c r="D49" i="55"/>
  <c r="D116" i="55"/>
  <c r="D132" i="55"/>
  <c r="D148" i="55"/>
  <c r="D19" i="55"/>
  <c r="D29" i="55"/>
  <c r="D103" i="55"/>
  <c r="E8" i="55"/>
  <c r="J14" i="55"/>
  <c r="D35" i="55"/>
  <c r="D51" i="55"/>
  <c r="D71" i="55"/>
  <c r="D92" i="55"/>
  <c r="D100" i="55"/>
  <c r="D112" i="55"/>
  <c r="D128" i="55"/>
  <c r="D144" i="55"/>
  <c r="J11" i="55" l="1"/>
  <c r="J8" i="55" s="1"/>
  <c r="D8" i="55" s="1"/>
  <c r="D14" i="55"/>
  <c r="D11" i="55" s="1"/>
  <c r="D54" i="6"/>
  <c r="H37" i="4" l="1"/>
  <c r="H71" i="3" l="1"/>
  <c r="H10" i="3" s="1"/>
  <c r="K72" i="4" l="1"/>
  <c r="J72" i="4"/>
  <c r="I72" i="4"/>
  <c r="H72" i="4"/>
  <c r="G136" i="54" l="1"/>
  <c r="D136" i="54"/>
  <c r="G135" i="54"/>
  <c r="D135" i="54"/>
  <c r="G107" i="54"/>
  <c r="E107" i="54" s="1"/>
  <c r="D107" i="54"/>
  <c r="G106" i="54"/>
  <c r="D106" i="54"/>
  <c r="G105" i="54"/>
  <c r="D105" i="54"/>
  <c r="G104" i="54"/>
  <c r="D104" i="54"/>
  <c r="G103" i="54"/>
  <c r="D103" i="54"/>
  <c r="G102" i="54"/>
  <c r="D102" i="54"/>
  <c r="G101" i="54"/>
  <c r="D101" i="54"/>
  <c r="G100" i="54"/>
  <c r="D100" i="54"/>
  <c r="G99" i="54"/>
  <c r="D99" i="54"/>
  <c r="G98" i="54"/>
  <c r="D98" i="54"/>
  <c r="G97" i="54"/>
  <c r="D97" i="54"/>
  <c r="G96" i="54"/>
  <c r="D96" i="54"/>
  <c r="G95" i="54"/>
  <c r="E95" i="54" s="1"/>
  <c r="D95" i="54"/>
  <c r="G94" i="54"/>
  <c r="D94" i="54"/>
  <c r="D90" i="54"/>
  <c r="D89" i="54"/>
  <c r="G86" i="54"/>
  <c r="D86" i="54"/>
  <c r="G84" i="54"/>
  <c r="D84" i="54"/>
  <c r="G83" i="54"/>
  <c r="D83" i="54"/>
  <c r="G82" i="54"/>
  <c r="D82" i="54"/>
  <c r="G81" i="54"/>
  <c r="D81" i="54"/>
  <c r="G80" i="54"/>
  <c r="D80" i="54"/>
  <c r="G72" i="54"/>
  <c r="D72" i="54"/>
  <c r="G71" i="54"/>
  <c r="D71" i="54"/>
  <c r="G70" i="54"/>
  <c r="D70" i="54"/>
  <c r="G60" i="54"/>
  <c r="D60" i="54"/>
  <c r="G59" i="54"/>
  <c r="D59" i="54"/>
  <c r="G58" i="54"/>
  <c r="D58" i="54"/>
  <c r="G57" i="54"/>
  <c r="D57" i="54"/>
  <c r="G56" i="54"/>
  <c r="D56" i="54"/>
  <c r="G55" i="54"/>
  <c r="E55" i="54" s="1"/>
  <c r="D55" i="54"/>
  <c r="G54" i="54"/>
  <c r="D54" i="54"/>
  <c r="G53" i="54"/>
  <c r="D53" i="54"/>
  <c r="G52" i="54"/>
  <c r="D52" i="54"/>
  <c r="G51" i="54"/>
  <c r="D51" i="54"/>
  <c r="G50" i="54"/>
  <c r="D50" i="54"/>
  <c r="G49" i="54"/>
  <c r="D49" i="54"/>
  <c r="G48" i="54"/>
  <c r="D48" i="54"/>
  <c r="G47" i="54"/>
  <c r="D47" i="54"/>
  <c r="G46" i="54"/>
  <c r="D46" i="54"/>
  <c r="G45" i="54"/>
  <c r="D45" i="54"/>
  <c r="G44" i="54"/>
  <c r="D44" i="54"/>
  <c r="G43" i="54"/>
  <c r="D43" i="54"/>
  <c r="G42" i="54"/>
  <c r="D42" i="54"/>
  <c r="G41" i="54"/>
  <c r="D41" i="54"/>
  <c r="G40" i="54"/>
  <c r="D40" i="54"/>
  <c r="G39" i="54"/>
  <c r="D39" i="54"/>
  <c r="G38" i="54"/>
  <c r="D38" i="54"/>
  <c r="G37" i="54"/>
  <c r="D37" i="54"/>
  <c r="G36" i="54"/>
  <c r="D36" i="54"/>
  <c r="G33" i="54"/>
  <c r="D33" i="54"/>
  <c r="G30" i="54"/>
  <c r="D30" i="54"/>
  <c r="G29" i="54"/>
  <c r="D29" i="54"/>
  <c r="G28" i="54"/>
  <c r="D28" i="54"/>
  <c r="G27" i="54"/>
  <c r="D27" i="54"/>
  <c r="G26" i="54"/>
  <c r="D26" i="54"/>
  <c r="G25" i="54"/>
  <c r="D25" i="54"/>
  <c r="G24" i="54"/>
  <c r="D24" i="54"/>
  <c r="G23" i="54"/>
  <c r="D23" i="54"/>
  <c r="G22" i="54"/>
  <c r="D22" i="54"/>
  <c r="G20" i="54"/>
  <c r="D20" i="54"/>
  <c r="G19" i="54"/>
  <c r="D19" i="54"/>
  <c r="G18" i="54"/>
  <c r="D18" i="54"/>
  <c r="G17" i="54"/>
  <c r="D17" i="54"/>
  <c r="G16" i="54"/>
  <c r="D16" i="54"/>
  <c r="G15" i="54"/>
  <c r="D15" i="54"/>
  <c r="G14" i="54"/>
  <c r="D14" i="54"/>
  <c r="G13" i="54"/>
  <c r="D13" i="54"/>
  <c r="G12" i="54"/>
  <c r="D12" i="54"/>
  <c r="G11" i="54"/>
  <c r="D11" i="54"/>
  <c r="G10" i="54"/>
  <c r="D10" i="54"/>
  <c r="G9" i="54"/>
  <c r="D9" i="54"/>
  <c r="H8" i="54"/>
  <c r="F8" i="54"/>
  <c r="E136" i="54" l="1"/>
  <c r="E135" i="54"/>
  <c r="E40" i="54"/>
  <c r="E38" i="54"/>
  <c r="E46" i="54"/>
  <c r="E49" i="54"/>
  <c r="E30" i="54"/>
  <c r="E58" i="54"/>
  <c r="E53" i="54"/>
  <c r="E105" i="54"/>
  <c r="E71" i="54"/>
  <c r="E102" i="54"/>
  <c r="E96" i="54"/>
  <c r="E43" i="54"/>
  <c r="E13" i="54"/>
  <c r="E36" i="54"/>
  <c r="E99" i="54"/>
  <c r="E27" i="54"/>
  <c r="E33" i="54"/>
  <c r="E24" i="54"/>
  <c r="E28" i="54"/>
  <c r="E54" i="54"/>
  <c r="E81" i="54"/>
  <c r="E29" i="54"/>
  <c r="E45" i="54"/>
  <c r="E17" i="54"/>
  <c r="E50" i="54"/>
  <c r="E101" i="54"/>
  <c r="E47" i="54"/>
  <c r="E83" i="54"/>
  <c r="E98" i="54"/>
  <c r="E10" i="54"/>
  <c r="E18" i="54"/>
  <c r="E51" i="54"/>
  <c r="E72" i="54"/>
  <c r="E106" i="54"/>
  <c r="E11" i="54"/>
  <c r="E37" i="54"/>
  <c r="E48" i="54"/>
  <c r="E52" i="54"/>
  <c r="E56" i="54"/>
  <c r="E12" i="54"/>
  <c r="E16" i="54"/>
  <c r="E42" i="54"/>
  <c r="E57" i="54"/>
  <c r="E70" i="54"/>
  <c r="E86" i="54"/>
  <c r="E14" i="54"/>
  <c r="E22" i="54"/>
  <c r="E89" i="54"/>
  <c r="E97" i="54"/>
  <c r="E26" i="54"/>
  <c r="E94" i="54"/>
  <c r="E60" i="54"/>
  <c r="E90" i="54"/>
  <c r="E15" i="54"/>
  <c r="E23" i="54"/>
  <c r="E39" i="54"/>
  <c r="E20" i="54"/>
  <c r="E82" i="54"/>
  <c r="E19" i="54"/>
  <c r="E103" i="54"/>
  <c r="E44" i="54"/>
  <c r="I8" i="54"/>
  <c r="E25" i="54"/>
  <c r="E100" i="54"/>
  <c r="E41" i="54"/>
  <c r="E59" i="54"/>
  <c r="E80" i="54"/>
  <c r="E84" i="54"/>
  <c r="D8" i="54"/>
  <c r="E104" i="54"/>
  <c r="E9" i="54"/>
  <c r="G8" i="54"/>
  <c r="E8" i="27"/>
  <c r="E8" i="54" l="1"/>
  <c r="D22" i="53"/>
  <c r="S21" i="53"/>
  <c r="S23" i="53" s="1"/>
  <c r="R21" i="53"/>
  <c r="R23" i="53" s="1"/>
  <c r="P21" i="53"/>
  <c r="P23" i="53" s="1"/>
  <c r="O21" i="53"/>
  <c r="O23" i="53" s="1"/>
  <c r="L21" i="53"/>
  <c r="L23" i="53" s="1"/>
  <c r="K21" i="53"/>
  <c r="K23" i="53" s="1"/>
  <c r="J21" i="53"/>
  <c r="J23" i="53" s="1"/>
  <c r="I21" i="53"/>
  <c r="I23" i="53" s="1"/>
  <c r="G21" i="53"/>
  <c r="G23" i="53" s="1"/>
  <c r="F21" i="53"/>
  <c r="F23" i="53" s="1"/>
  <c r="E21" i="53"/>
  <c r="E23" i="53" s="1"/>
  <c r="Q20" i="53"/>
  <c r="D20" i="53" s="1"/>
  <c r="D19" i="53"/>
  <c r="H21" i="53"/>
  <c r="H23" i="53" s="1"/>
  <c r="D15" i="53"/>
  <c r="D14" i="53"/>
  <c r="D13" i="53"/>
  <c r="D12" i="53"/>
  <c r="D11" i="53"/>
  <c r="D10" i="53"/>
  <c r="D8" i="53"/>
  <c r="D18" i="53" l="1"/>
  <c r="D17" i="53"/>
  <c r="Q21" i="53"/>
  <c r="Q23" i="53" s="1"/>
  <c r="D9" i="53"/>
  <c r="D16" i="53"/>
  <c r="T21" i="53"/>
  <c r="T23" i="53" s="1"/>
  <c r="N21" i="53"/>
  <c r="N23" i="53" s="1"/>
  <c r="D21" i="53" l="1"/>
  <c r="D23" i="53" s="1"/>
  <c r="L146" i="52"/>
  <c r="K146" i="52"/>
  <c r="J146" i="52"/>
  <c r="I146" i="52"/>
  <c r="G146" i="52"/>
  <c r="F146" i="52"/>
  <c r="E146" i="52" l="1"/>
  <c r="D146" i="52"/>
  <c r="H146" i="52"/>
  <c r="H8" i="27" l="1"/>
  <c r="F8" i="27" s="1"/>
  <c r="F6" i="27" s="1"/>
  <c r="D9" i="3" l="1"/>
  <c r="K7" i="44" l="1"/>
  <c r="J7" i="44"/>
  <c r="I7" i="44"/>
  <c r="H7" i="44"/>
  <c r="G7" i="44"/>
  <c r="F7" i="44"/>
  <c r="E7" i="44"/>
  <c r="D7" i="44"/>
  <c r="L8" i="3" l="1"/>
  <c r="M8" i="3"/>
  <c r="F141" i="42" l="1"/>
  <c r="F135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4" i="42"/>
  <c r="F43" i="42"/>
  <c r="F42" i="42"/>
  <c r="F41" i="42"/>
  <c r="F40" i="42"/>
  <c r="F39" i="42"/>
  <c r="F37" i="42"/>
  <c r="F32" i="42"/>
  <c r="F27" i="42"/>
  <c r="F26" i="42"/>
  <c r="F25" i="42"/>
  <c r="F23" i="42"/>
  <c r="F22" i="42"/>
  <c r="F21" i="42"/>
  <c r="F19" i="42"/>
  <c r="F18" i="42"/>
  <c r="F17" i="42"/>
  <c r="F16" i="42"/>
  <c r="F15" i="42"/>
  <c r="F14" i="42"/>
  <c r="F13" i="42"/>
  <c r="F12" i="42"/>
  <c r="F11" i="42"/>
  <c r="F9" i="42"/>
  <c r="F8" i="42"/>
  <c r="K7" i="42"/>
  <c r="J7" i="42"/>
  <c r="I7" i="42"/>
  <c r="H7" i="42"/>
  <c r="G7" i="42"/>
  <c r="E7" i="42"/>
  <c r="D7" i="42"/>
  <c r="I7" i="41"/>
  <c r="H7" i="41"/>
  <c r="G7" i="41"/>
  <c r="F7" i="41"/>
  <c r="E7" i="41"/>
  <c r="D7" i="41"/>
  <c r="I7" i="39"/>
  <c r="H7" i="39"/>
  <c r="G7" i="39"/>
  <c r="F7" i="39"/>
  <c r="E7" i="39"/>
  <c r="D7" i="39"/>
  <c r="E7" i="38"/>
  <c r="D4" i="38"/>
  <c r="F7" i="42" l="1"/>
  <c r="C8" i="33" l="1"/>
  <c r="B8" i="33"/>
  <c r="D7" i="33"/>
  <c r="D6" i="33"/>
  <c r="D5" i="33"/>
  <c r="D8" i="33" l="1"/>
  <c r="AD115" i="30" l="1"/>
  <c r="O115" i="30"/>
  <c r="AC115" i="30"/>
  <c r="AB115" i="30"/>
  <c r="AA115" i="30"/>
  <c r="Z115" i="30"/>
  <c r="Y115" i="30"/>
  <c r="X115" i="30"/>
  <c r="W115" i="30"/>
  <c r="V115" i="30"/>
  <c r="U115" i="30"/>
  <c r="T115" i="30"/>
  <c r="S115" i="30"/>
  <c r="R115" i="30"/>
  <c r="Q115" i="30"/>
  <c r="P115" i="30"/>
  <c r="N115" i="30"/>
  <c r="M115" i="30"/>
  <c r="L115" i="30"/>
  <c r="K115" i="30"/>
  <c r="J115" i="30"/>
  <c r="I115" i="30"/>
  <c r="H115" i="30"/>
  <c r="G115" i="30"/>
  <c r="F115" i="30"/>
  <c r="E115" i="30"/>
  <c r="D115" i="30"/>
  <c r="C115" i="30"/>
  <c r="AF111" i="30"/>
  <c r="AE113" i="30"/>
  <c r="AG113" i="30" s="1"/>
  <c r="AE54" i="30"/>
  <c r="AG54" i="30" s="1"/>
  <c r="AE53" i="30"/>
  <c r="AG53" i="30" s="1"/>
  <c r="AE52" i="30"/>
  <c r="AG52" i="30" s="1"/>
  <c r="AE51" i="30"/>
  <c r="AG51" i="30" s="1"/>
  <c r="AE50" i="30"/>
  <c r="AG50" i="30" s="1"/>
  <c r="AE49" i="30"/>
  <c r="AF47" i="30"/>
  <c r="AE42" i="30"/>
  <c r="AG42" i="30" s="1"/>
  <c r="AE99" i="30"/>
  <c r="AE98" i="30" s="1"/>
  <c r="AE114" i="30"/>
  <c r="AE112" i="30"/>
  <c r="AG112" i="30" s="1"/>
  <c r="AE110" i="30"/>
  <c r="AE109" i="30" s="1"/>
  <c r="AF109" i="30"/>
  <c r="AE108" i="30"/>
  <c r="AG108" i="30" s="1"/>
  <c r="AE107" i="30"/>
  <c r="AG107" i="30" s="1"/>
  <c r="AE106" i="30"/>
  <c r="AG106" i="30" s="1"/>
  <c r="AE105" i="30"/>
  <c r="AG105" i="30" s="1"/>
  <c r="AF104" i="30"/>
  <c r="AE103" i="30"/>
  <c r="AG103" i="30" s="1"/>
  <c r="AE102" i="30"/>
  <c r="AG102" i="30" s="1"/>
  <c r="AE101" i="30"/>
  <c r="AG101" i="30" s="1"/>
  <c r="AF100" i="30"/>
  <c r="AE97" i="30"/>
  <c r="AG97" i="30" s="1"/>
  <c r="AE96" i="30"/>
  <c r="AG96" i="30" s="1"/>
  <c r="AE95" i="30"/>
  <c r="AG95" i="30" s="1"/>
  <c r="AE94" i="30"/>
  <c r="AG94" i="30" s="1"/>
  <c r="AE93" i="30"/>
  <c r="AG93" i="30" s="1"/>
  <c r="AE92" i="30"/>
  <c r="AG92" i="30" s="1"/>
  <c r="AE91" i="30"/>
  <c r="AG91" i="30" s="1"/>
  <c r="AE90" i="30"/>
  <c r="AG90" i="30" s="1"/>
  <c r="AE89" i="30"/>
  <c r="AG89" i="30" s="1"/>
  <c r="AF88" i="30"/>
  <c r="AE87" i="30"/>
  <c r="AG87" i="30" s="1"/>
  <c r="AE86" i="30"/>
  <c r="AF85" i="30"/>
  <c r="AE84" i="30"/>
  <c r="AG84" i="30" s="1"/>
  <c r="AE83" i="30"/>
  <c r="AG83" i="30" s="1"/>
  <c r="AE82" i="30"/>
  <c r="AG82" i="30" s="1"/>
  <c r="AE81" i="30"/>
  <c r="AG81" i="30" s="1"/>
  <c r="AE80" i="30"/>
  <c r="AG80" i="30" s="1"/>
  <c r="AE79" i="30"/>
  <c r="AG79" i="30" s="1"/>
  <c r="AE78" i="30"/>
  <c r="AG78" i="30" s="1"/>
  <c r="AE77" i="30"/>
  <c r="AG77" i="30" s="1"/>
  <c r="AE76" i="30"/>
  <c r="AG76" i="30" s="1"/>
  <c r="AE75" i="30"/>
  <c r="AG75" i="30" s="1"/>
  <c r="AE74" i="30"/>
  <c r="AG74" i="30" s="1"/>
  <c r="AE73" i="30"/>
  <c r="AG73" i="30" s="1"/>
  <c r="AE72" i="30"/>
  <c r="AG72" i="30" s="1"/>
  <c r="AE71" i="30"/>
  <c r="AG71" i="30" s="1"/>
  <c r="AE70" i="30"/>
  <c r="AG70" i="30" s="1"/>
  <c r="AE69" i="30"/>
  <c r="AG69" i="30" s="1"/>
  <c r="AE68" i="30"/>
  <c r="AG68" i="30" s="1"/>
  <c r="AE67" i="30"/>
  <c r="AG67" i="30" s="1"/>
  <c r="AF66" i="30"/>
  <c r="AE65" i="30"/>
  <c r="AE64" i="30" s="1"/>
  <c r="AF64" i="30"/>
  <c r="AE63" i="30"/>
  <c r="AG63" i="30" s="1"/>
  <c r="AE62" i="30"/>
  <c r="AG62" i="30" s="1"/>
  <c r="AE61" i="30"/>
  <c r="AG61" i="30" s="1"/>
  <c r="AE60" i="30"/>
  <c r="AG60" i="30" s="1"/>
  <c r="AE59" i="30"/>
  <c r="AG59" i="30" s="1"/>
  <c r="AE58" i="30"/>
  <c r="AG58" i="30" s="1"/>
  <c r="AE57" i="30"/>
  <c r="AG57" i="30" s="1"/>
  <c r="AE56" i="30"/>
  <c r="AG56" i="30" s="1"/>
  <c r="AF55" i="30"/>
  <c r="AE48" i="30"/>
  <c r="AG48" i="30" s="1"/>
  <c r="AE46" i="30"/>
  <c r="AG46" i="30" s="1"/>
  <c r="AE45" i="30"/>
  <c r="AG45" i="30" s="1"/>
  <c r="AE44" i="30"/>
  <c r="AF43" i="30"/>
  <c r="AE41" i="30"/>
  <c r="AG41" i="30" s="1"/>
  <c r="AE40" i="30"/>
  <c r="AG40" i="30" s="1"/>
  <c r="AE39" i="30"/>
  <c r="AG39" i="30" s="1"/>
  <c r="AE38" i="30"/>
  <c r="AG38" i="30" s="1"/>
  <c r="AE37" i="30"/>
  <c r="AG37" i="30" s="1"/>
  <c r="AE36" i="30"/>
  <c r="AG36" i="30" s="1"/>
  <c r="AE35" i="30"/>
  <c r="AF34" i="30"/>
  <c r="AE33" i="30"/>
  <c r="AG33" i="30" s="1"/>
  <c r="AE32" i="30"/>
  <c r="AF31" i="30"/>
  <c r="AE30" i="30"/>
  <c r="AG30" i="30" s="1"/>
  <c r="AE29" i="30"/>
  <c r="AG29" i="30" s="1"/>
  <c r="AE28" i="30"/>
  <c r="AG28" i="30" s="1"/>
  <c r="AE27" i="30"/>
  <c r="AG27" i="30" s="1"/>
  <c r="AE26" i="30"/>
  <c r="AG26" i="30" s="1"/>
  <c r="AE25" i="30"/>
  <c r="AG25" i="30" s="1"/>
  <c r="AE24" i="30"/>
  <c r="AF23" i="30"/>
  <c r="AE22" i="30"/>
  <c r="AG22" i="30" s="1"/>
  <c r="AE21" i="30"/>
  <c r="AF20" i="30"/>
  <c r="AE19" i="30"/>
  <c r="AE18" i="30" s="1"/>
  <c r="AF18" i="30"/>
  <c r="AE17" i="30"/>
  <c r="AE16" i="30" s="1"/>
  <c r="AF16" i="30"/>
  <c r="AE15" i="30"/>
  <c r="AG15" i="30" s="1"/>
  <c r="AE14" i="30"/>
  <c r="AF13" i="30"/>
  <c r="AE12" i="30"/>
  <c r="AG12" i="30" s="1"/>
  <c r="AG11" i="30" s="1"/>
  <c r="AF11" i="30"/>
  <c r="AE10" i="30"/>
  <c r="AG10" i="30" s="1"/>
  <c r="AE9" i="30"/>
  <c r="AG9" i="30" s="1"/>
  <c r="AE8" i="30"/>
  <c r="AG8" i="30" s="1"/>
  <c r="AE7" i="30"/>
  <c r="AF6" i="30"/>
  <c r="AE31" i="30" l="1"/>
  <c r="AF115" i="30"/>
  <c r="AE47" i="30"/>
  <c r="AE20" i="30"/>
  <c r="AE66" i="30"/>
  <c r="AG99" i="30"/>
  <c r="AG98" i="30" s="1"/>
  <c r="AE11" i="30"/>
  <c r="AG49" i="30"/>
  <c r="AE111" i="30"/>
  <c r="AG88" i="30"/>
  <c r="AG104" i="30"/>
  <c r="AG19" i="30"/>
  <c r="AG18" i="30" s="1"/>
  <c r="AE43" i="30"/>
  <c r="AE104" i="30"/>
  <c r="AE85" i="30"/>
  <c r="AG114" i="30"/>
  <c r="AG111" i="30" s="1"/>
  <c r="AG17" i="30"/>
  <c r="AG16" i="30" s="1"/>
  <c r="AE13" i="30"/>
  <c r="AE88" i="30"/>
  <c r="AE34" i="30"/>
  <c r="AE23" i="30"/>
  <c r="AE6" i="30"/>
  <c r="AG66" i="30"/>
  <c r="AG100" i="30"/>
  <c r="AG55" i="30"/>
  <c r="AG7" i="30"/>
  <c r="AG6" i="30" s="1"/>
  <c r="AG110" i="30"/>
  <c r="AG109" i="30" s="1"/>
  <c r="AG21" i="30"/>
  <c r="AG20" i="30" s="1"/>
  <c r="AG32" i="30"/>
  <c r="AG31" i="30" s="1"/>
  <c r="AG44" i="30"/>
  <c r="AG43" i="30" s="1"/>
  <c r="AE55" i="30"/>
  <c r="AG14" i="30"/>
  <c r="AG13" i="30" s="1"/>
  <c r="AG24" i="30"/>
  <c r="AG23" i="30" s="1"/>
  <c r="AG35" i="30"/>
  <c r="AG34" i="30" s="1"/>
  <c r="AG65" i="30"/>
  <c r="AG64" i="30" s="1"/>
  <c r="AG86" i="30"/>
  <c r="AG85" i="30" s="1"/>
  <c r="AE100" i="30"/>
  <c r="AE115" i="30" l="1"/>
  <c r="AG47" i="30"/>
  <c r="AG115" i="30" s="1"/>
  <c r="N143" i="29" l="1"/>
  <c r="W142" i="29"/>
  <c r="W144" i="29" s="1"/>
  <c r="X141" i="29"/>
  <c r="X140" i="29"/>
  <c r="X139" i="29"/>
  <c r="X137" i="29"/>
  <c r="X133" i="29"/>
  <c r="X132" i="29"/>
  <c r="X129" i="29"/>
  <c r="X125" i="29"/>
  <c r="X120" i="29"/>
  <c r="X117" i="29"/>
  <c r="X114" i="29"/>
  <c r="X111" i="29"/>
  <c r="X108" i="29"/>
  <c r="X104" i="29"/>
  <c r="X102" i="29"/>
  <c r="X99" i="29"/>
  <c r="X95" i="29"/>
  <c r="X92" i="29"/>
  <c r="X89" i="29"/>
  <c r="X85" i="29"/>
  <c r="X83" i="29"/>
  <c r="X79" i="29"/>
  <c r="X74" i="29"/>
  <c r="X71" i="29"/>
  <c r="X68" i="29"/>
  <c r="T142" i="29"/>
  <c r="T144" i="29" s="1"/>
  <c r="X65" i="29"/>
  <c r="X64" i="29"/>
  <c r="O142" i="29"/>
  <c r="O144" i="29" s="1"/>
  <c r="L142" i="29"/>
  <c r="L144" i="29" s="1"/>
  <c r="H142" i="29"/>
  <c r="H144" i="29" s="1"/>
  <c r="X61" i="29"/>
  <c r="X59" i="29"/>
  <c r="X56" i="29"/>
  <c r="X54" i="29"/>
  <c r="X53" i="29"/>
  <c r="X52" i="29"/>
  <c r="X51" i="29"/>
  <c r="X50" i="29"/>
  <c r="X49" i="29"/>
  <c r="X48" i="29"/>
  <c r="X47" i="29"/>
  <c r="X46" i="29"/>
  <c r="X45" i="29"/>
  <c r="X44" i="29"/>
  <c r="X43" i="29"/>
  <c r="X42" i="29"/>
  <c r="X41" i="29"/>
  <c r="X40" i="29"/>
  <c r="X39" i="29"/>
  <c r="X38" i="29"/>
  <c r="X37" i="29"/>
  <c r="X36" i="29"/>
  <c r="X35" i="29"/>
  <c r="X34" i="29"/>
  <c r="X33" i="29"/>
  <c r="X32" i="29"/>
  <c r="X31" i="29"/>
  <c r="X30" i="29"/>
  <c r="X29" i="29"/>
  <c r="X28" i="29"/>
  <c r="X27" i="29"/>
  <c r="X26" i="29"/>
  <c r="X25" i="29"/>
  <c r="X24" i="29"/>
  <c r="X23" i="29"/>
  <c r="X22" i="29"/>
  <c r="X21" i="29"/>
  <c r="X20" i="29"/>
  <c r="X19" i="29"/>
  <c r="X18" i="29"/>
  <c r="X17" i="29"/>
  <c r="X16" i="29"/>
  <c r="X15" i="29"/>
  <c r="X14" i="29"/>
  <c r="X13" i="29"/>
  <c r="X12" i="29"/>
  <c r="X11" i="29"/>
  <c r="X10" i="29"/>
  <c r="X9" i="29"/>
  <c r="X63" i="29" l="1"/>
  <c r="V143" i="29"/>
  <c r="X143" i="29" s="1"/>
  <c r="S142" i="29"/>
  <c r="S144" i="29" s="1"/>
  <c r="X80" i="29"/>
  <c r="X78" i="29" s="1"/>
  <c r="X91" i="29"/>
  <c r="X90" i="29" s="1"/>
  <c r="X116" i="29"/>
  <c r="X115" i="29" s="1"/>
  <c r="X58" i="29"/>
  <c r="U142" i="29"/>
  <c r="U144" i="29" s="1"/>
  <c r="X138" i="29"/>
  <c r="X62" i="29"/>
  <c r="M142" i="29"/>
  <c r="M144" i="29" s="1"/>
  <c r="X123" i="29"/>
  <c r="X136" i="29"/>
  <c r="X135" i="29" s="1"/>
  <c r="I142" i="29"/>
  <c r="I144" i="29" s="1"/>
  <c r="Q142" i="29"/>
  <c r="Q144" i="29" s="1"/>
  <c r="X73" i="29"/>
  <c r="X72" i="29" s="1"/>
  <c r="X101" i="29"/>
  <c r="X100" i="29" s="1"/>
  <c r="X57" i="29"/>
  <c r="X131" i="29"/>
  <c r="X130" i="29" s="1"/>
  <c r="K142" i="29"/>
  <c r="K144" i="29" s="1"/>
  <c r="X82" i="29"/>
  <c r="X81" i="29" s="1"/>
  <c r="X119" i="29"/>
  <c r="X118" i="29" s="1"/>
  <c r="R142" i="29"/>
  <c r="R144" i="29" s="1"/>
  <c r="X76" i="29"/>
  <c r="G142" i="29"/>
  <c r="G144" i="29" s="1"/>
  <c r="X122" i="29"/>
  <c r="X126" i="29"/>
  <c r="X124" i="29" s="1"/>
  <c r="P142" i="29"/>
  <c r="P144" i="29" s="1"/>
  <c r="X55" i="29"/>
  <c r="X60" i="29"/>
  <c r="E142" i="29"/>
  <c r="E144" i="29" s="1"/>
  <c r="X77" i="29"/>
  <c r="H6" i="27"/>
  <c r="E6" i="27"/>
  <c r="D6" i="27"/>
  <c r="X70" i="29" l="1"/>
  <c r="X69" i="29" s="1"/>
  <c r="X110" i="29"/>
  <c r="X109" i="29" s="1"/>
  <c r="X94" i="29"/>
  <c r="X93" i="29" s="1"/>
  <c r="X88" i="29"/>
  <c r="X87" i="29" s="1"/>
  <c r="X113" i="29"/>
  <c r="X112" i="29" s="1"/>
  <c r="X86" i="29"/>
  <c r="X84" i="29" s="1"/>
  <c r="X98" i="29"/>
  <c r="X97" i="29" s="1"/>
  <c r="X105" i="29"/>
  <c r="X103" i="29" s="1"/>
  <c r="X107" i="29"/>
  <c r="X106" i="29" s="1"/>
  <c r="X75" i="29"/>
  <c r="X128" i="29"/>
  <c r="X127" i="29" s="1"/>
  <c r="X67" i="29"/>
  <c r="X66" i="29" s="1"/>
  <c r="X121" i="29"/>
  <c r="X142" i="29" l="1"/>
  <c r="X144" i="29" s="1"/>
  <c r="N142" i="29"/>
  <c r="N144" i="29" s="1"/>
  <c r="V142" i="29"/>
  <c r="V144" i="29" s="1"/>
  <c r="F142" i="29"/>
  <c r="F144" i="29" s="1"/>
  <c r="G19" i="26"/>
  <c r="G31" i="26"/>
  <c r="G43" i="26"/>
  <c r="G55" i="26"/>
  <c r="G78" i="26"/>
  <c r="G86" i="26"/>
  <c r="G91" i="26"/>
  <c r="G99" i="26"/>
  <c r="G103" i="26"/>
  <c r="G111" i="26"/>
  <c r="G112" i="26"/>
  <c r="G115" i="26"/>
  <c r="G119" i="26"/>
  <c r="G123" i="26"/>
  <c r="G124" i="26"/>
  <c r="G125" i="26"/>
  <c r="G127" i="26"/>
  <c r="G128" i="26"/>
  <c r="G131" i="26"/>
  <c r="G135" i="26"/>
  <c r="G136" i="26"/>
  <c r="G137" i="26"/>
  <c r="G138" i="26"/>
  <c r="G139" i="26"/>
  <c r="G140" i="26"/>
  <c r="G142" i="26"/>
  <c r="G143" i="26"/>
  <c r="G144" i="26"/>
  <c r="G12" i="26"/>
  <c r="G13" i="26"/>
  <c r="G14" i="26"/>
  <c r="G15" i="26"/>
  <c r="G16" i="26"/>
  <c r="G17" i="26"/>
  <c r="G18" i="26"/>
  <c r="G20" i="26"/>
  <c r="G21" i="26"/>
  <c r="G22" i="26"/>
  <c r="G23" i="26"/>
  <c r="G24" i="26"/>
  <c r="G25" i="26"/>
  <c r="G26" i="26"/>
  <c r="G27" i="26"/>
  <c r="G28" i="26"/>
  <c r="G29" i="26"/>
  <c r="G30" i="26"/>
  <c r="G32" i="26"/>
  <c r="G37" i="26"/>
  <c r="G38" i="26"/>
  <c r="G39" i="26"/>
  <c r="G40" i="26"/>
  <c r="G41" i="26"/>
  <c r="G42" i="26"/>
  <c r="G44" i="26"/>
  <c r="G45" i="26"/>
  <c r="G46" i="26"/>
  <c r="G47" i="26"/>
  <c r="G48" i="26"/>
  <c r="G49" i="26"/>
  <c r="G50" i="26"/>
  <c r="G51" i="26"/>
  <c r="G52" i="26"/>
  <c r="G53" i="26"/>
  <c r="G54" i="26"/>
  <c r="G56" i="26"/>
  <c r="G57" i="26"/>
  <c r="G58" i="26"/>
  <c r="G59" i="26"/>
  <c r="G60" i="26"/>
  <c r="G61" i="26"/>
  <c r="G62" i="26"/>
  <c r="G63" i="26"/>
  <c r="G64" i="26"/>
  <c r="G65" i="26"/>
  <c r="G66" i="26"/>
  <c r="G67" i="26"/>
  <c r="G68" i="26"/>
  <c r="G69" i="26"/>
  <c r="G70" i="26"/>
  <c r="G71" i="26"/>
  <c r="G72" i="26"/>
  <c r="G73" i="26"/>
  <c r="G76" i="26"/>
  <c r="G77" i="26"/>
  <c r="G80" i="26"/>
  <c r="G81" i="26"/>
  <c r="G82" i="26"/>
  <c r="G83" i="26"/>
  <c r="G85" i="26"/>
  <c r="G88" i="26"/>
  <c r="G89" i="26"/>
  <c r="G90" i="26"/>
  <c r="G92" i="26"/>
  <c r="G93" i="26"/>
  <c r="G94" i="26"/>
  <c r="G95" i="26"/>
  <c r="G96" i="26"/>
  <c r="G97" i="26"/>
  <c r="G98" i="26"/>
  <c r="G100" i="26"/>
  <c r="G101" i="26"/>
  <c r="G102" i="26"/>
  <c r="G104" i="26"/>
  <c r="G105" i="26"/>
  <c r="G106" i="26"/>
  <c r="G107" i="26"/>
  <c r="G108" i="26"/>
  <c r="G109" i="26"/>
  <c r="G110" i="26"/>
  <c r="G113" i="26"/>
  <c r="G114" i="26"/>
  <c r="G116" i="26"/>
  <c r="G117" i="26"/>
  <c r="G118" i="26"/>
  <c r="G120" i="26"/>
  <c r="G121" i="26"/>
  <c r="G122" i="26"/>
  <c r="G126" i="26"/>
  <c r="G129" i="26"/>
  <c r="G130" i="26"/>
  <c r="G132" i="26"/>
  <c r="G133" i="26"/>
  <c r="G134" i="26"/>
  <c r="G141" i="26"/>
  <c r="G145" i="26"/>
  <c r="G9" i="26"/>
  <c r="K9" i="26" s="1"/>
  <c r="Z9" i="26"/>
  <c r="Q9" i="26"/>
  <c r="H8" i="25"/>
  <c r="P8" i="24"/>
  <c r="H8" i="24"/>
  <c r="L8" i="24"/>
  <c r="K51" i="26" l="1"/>
  <c r="K24" i="26"/>
  <c r="K129" i="26"/>
  <c r="K108" i="26"/>
  <c r="K94" i="26"/>
  <c r="K65" i="26"/>
  <c r="K52" i="26"/>
  <c r="K39" i="26"/>
  <c r="K26" i="26"/>
  <c r="K13" i="26"/>
  <c r="K128" i="26"/>
  <c r="K86" i="26"/>
  <c r="K93" i="26"/>
  <c r="K122" i="26"/>
  <c r="K37" i="26"/>
  <c r="K105" i="26"/>
  <c r="K90" i="26"/>
  <c r="K73" i="26"/>
  <c r="K62" i="26"/>
  <c r="K49" i="26"/>
  <c r="K23" i="26"/>
  <c r="K143" i="26"/>
  <c r="K124" i="26"/>
  <c r="K78" i="26"/>
  <c r="K106" i="26"/>
  <c r="K121" i="26"/>
  <c r="K120" i="26"/>
  <c r="K104" i="26"/>
  <c r="K89" i="26"/>
  <c r="K72" i="26"/>
  <c r="K61" i="26"/>
  <c r="K48" i="26"/>
  <c r="K36" i="26"/>
  <c r="K22" i="26"/>
  <c r="K142" i="26"/>
  <c r="K123" i="26"/>
  <c r="K55" i="26"/>
  <c r="K107" i="26"/>
  <c r="K118" i="26"/>
  <c r="K102" i="26"/>
  <c r="K88" i="26"/>
  <c r="K71" i="26"/>
  <c r="K60" i="26"/>
  <c r="K47" i="26"/>
  <c r="K21" i="26"/>
  <c r="K140" i="26"/>
  <c r="K119" i="26"/>
  <c r="K43" i="26"/>
  <c r="K38" i="26"/>
  <c r="K63" i="26"/>
  <c r="K145" i="26"/>
  <c r="K117" i="26"/>
  <c r="K101" i="26"/>
  <c r="K85" i="26"/>
  <c r="K70" i="26"/>
  <c r="K59" i="26"/>
  <c r="K46" i="26"/>
  <c r="K33" i="26"/>
  <c r="K20" i="26"/>
  <c r="K139" i="26"/>
  <c r="K115" i="26"/>
  <c r="K31" i="26"/>
  <c r="K126" i="26"/>
  <c r="K25" i="26"/>
  <c r="K50" i="26"/>
  <c r="K141" i="26"/>
  <c r="K116" i="26"/>
  <c r="K100" i="26"/>
  <c r="K83" i="26"/>
  <c r="K69" i="26"/>
  <c r="K58" i="26"/>
  <c r="K45" i="26"/>
  <c r="K32" i="26"/>
  <c r="K18" i="26"/>
  <c r="K138" i="26"/>
  <c r="K112" i="26"/>
  <c r="K19" i="26"/>
  <c r="K77" i="26"/>
  <c r="K125" i="26"/>
  <c r="K134" i="26"/>
  <c r="K114" i="26"/>
  <c r="K98" i="26"/>
  <c r="K82" i="26"/>
  <c r="K68" i="26"/>
  <c r="K57" i="26"/>
  <c r="K44" i="26"/>
  <c r="K30" i="26"/>
  <c r="K17" i="26"/>
  <c r="K137" i="26"/>
  <c r="K111" i="26"/>
  <c r="K12" i="26"/>
  <c r="K76" i="26"/>
  <c r="K133" i="26"/>
  <c r="K113" i="26"/>
  <c r="K97" i="26"/>
  <c r="K81" i="26"/>
  <c r="K56" i="26"/>
  <c r="K42" i="26"/>
  <c r="K29" i="26"/>
  <c r="K16" i="26"/>
  <c r="K136" i="26"/>
  <c r="K103" i="26"/>
  <c r="K64" i="26"/>
  <c r="K144" i="26"/>
  <c r="K132" i="26"/>
  <c r="K110" i="26"/>
  <c r="K96" i="26"/>
  <c r="K80" i="26"/>
  <c r="K67" i="26"/>
  <c r="K54" i="26"/>
  <c r="K41" i="26"/>
  <c r="K28" i="26"/>
  <c r="K15" i="26"/>
  <c r="K135" i="26"/>
  <c r="K99" i="26"/>
  <c r="K127" i="26"/>
  <c r="K92" i="26"/>
  <c r="K130" i="26"/>
  <c r="K109" i="26"/>
  <c r="K95" i="26"/>
  <c r="K66" i="26"/>
  <c r="K53" i="26"/>
  <c r="K40" i="26"/>
  <c r="K27" i="26"/>
  <c r="K14" i="26"/>
  <c r="K131" i="26"/>
  <c r="K91" i="26"/>
  <c r="G11" i="26"/>
  <c r="K11" i="26" l="1"/>
  <c r="Z145" i="26"/>
  <c r="Q145" i="26"/>
  <c r="Z144" i="26"/>
  <c r="Q144" i="26"/>
  <c r="Z143" i="26"/>
  <c r="Q143" i="26"/>
  <c r="Z142" i="26"/>
  <c r="Q142" i="26"/>
  <c r="Z141" i="26"/>
  <c r="Q141" i="26"/>
  <c r="Z140" i="26"/>
  <c r="Q140" i="26"/>
  <c r="Z139" i="26"/>
  <c r="Q139" i="26"/>
  <c r="Z138" i="26"/>
  <c r="Q138" i="26"/>
  <c r="Z137" i="26"/>
  <c r="Q137" i="26"/>
  <c r="Z136" i="26"/>
  <c r="Q136" i="26"/>
  <c r="Z135" i="26"/>
  <c r="Q135" i="26"/>
  <c r="Z134" i="26"/>
  <c r="Q134" i="26"/>
  <c r="Z133" i="26"/>
  <c r="Q133" i="26"/>
  <c r="Z132" i="26"/>
  <c r="Q132" i="26"/>
  <c r="Z131" i="26"/>
  <c r="Q131" i="26"/>
  <c r="Z130" i="26"/>
  <c r="Q130" i="26"/>
  <c r="Z129" i="26"/>
  <c r="Q129" i="26"/>
  <c r="Z128" i="26"/>
  <c r="Q128" i="26"/>
  <c r="Z127" i="26"/>
  <c r="Q127" i="26"/>
  <c r="Z126" i="26"/>
  <c r="Q126" i="26"/>
  <c r="Z125" i="26"/>
  <c r="Q125" i="26"/>
  <c r="Z124" i="26"/>
  <c r="Q124" i="26"/>
  <c r="Z123" i="26"/>
  <c r="Q123" i="26"/>
  <c r="Z122" i="26"/>
  <c r="Q122" i="26"/>
  <c r="Z121" i="26"/>
  <c r="Q121" i="26"/>
  <c r="Z120" i="26"/>
  <c r="Q120" i="26"/>
  <c r="Z119" i="26"/>
  <c r="Q119" i="26"/>
  <c r="Z118" i="26"/>
  <c r="Q118" i="26"/>
  <c r="Z117" i="26"/>
  <c r="Q117" i="26"/>
  <c r="Z116" i="26"/>
  <c r="Q116" i="26"/>
  <c r="Z115" i="26"/>
  <c r="Q115" i="26"/>
  <c r="Z114" i="26"/>
  <c r="Q114" i="26"/>
  <c r="Z113" i="26"/>
  <c r="Q113" i="26"/>
  <c r="Z112" i="26"/>
  <c r="Q112" i="26"/>
  <c r="Z111" i="26"/>
  <c r="Q111" i="26"/>
  <c r="Z110" i="26"/>
  <c r="Q110" i="26"/>
  <c r="Z109" i="26"/>
  <c r="Q109" i="26"/>
  <c r="Z108" i="26"/>
  <c r="Q108" i="26"/>
  <c r="Z107" i="26"/>
  <c r="Q107" i="26"/>
  <c r="Z106" i="26"/>
  <c r="Q106" i="26"/>
  <c r="Z105" i="26"/>
  <c r="Q105" i="26"/>
  <c r="Z104" i="26"/>
  <c r="Q104" i="26"/>
  <c r="Z103" i="26"/>
  <c r="Q103" i="26"/>
  <c r="Z102" i="26"/>
  <c r="Q102" i="26"/>
  <c r="Z101" i="26"/>
  <c r="Q101" i="26"/>
  <c r="Z100" i="26"/>
  <c r="Q100" i="26"/>
  <c r="Z99" i="26"/>
  <c r="Q99" i="26"/>
  <c r="Z98" i="26"/>
  <c r="Q98" i="26"/>
  <c r="Z97" i="26"/>
  <c r="Q97" i="26"/>
  <c r="Z96" i="26"/>
  <c r="Q96" i="26"/>
  <c r="Z95" i="26"/>
  <c r="Q95" i="26"/>
  <c r="Z94" i="26"/>
  <c r="Q94" i="26"/>
  <c r="Z93" i="26"/>
  <c r="Q93" i="26"/>
  <c r="Z92" i="26"/>
  <c r="Q92" i="26"/>
  <c r="Z91" i="26"/>
  <c r="Q91" i="26"/>
  <c r="Z90" i="26"/>
  <c r="Q90" i="26"/>
  <c r="Z89" i="26"/>
  <c r="Q89" i="26"/>
  <c r="Z88" i="26"/>
  <c r="Q88" i="26"/>
  <c r="Z86" i="26"/>
  <c r="Q86" i="26"/>
  <c r="Z85" i="26"/>
  <c r="Q85" i="26"/>
  <c r="Z83" i="26"/>
  <c r="Q83" i="26"/>
  <c r="Z82" i="26"/>
  <c r="Q82" i="26"/>
  <c r="Z81" i="26"/>
  <c r="Q81" i="26"/>
  <c r="Z80" i="26"/>
  <c r="Q80" i="26"/>
  <c r="Z78" i="26"/>
  <c r="Q78" i="26"/>
  <c r="Z77" i="26"/>
  <c r="Q77" i="26"/>
  <c r="Z76" i="26"/>
  <c r="Q76" i="26"/>
  <c r="Z73" i="26"/>
  <c r="Q73" i="26"/>
  <c r="Z72" i="26"/>
  <c r="Q72" i="26"/>
  <c r="Z71" i="26"/>
  <c r="Q71" i="26"/>
  <c r="Z70" i="26"/>
  <c r="Q70" i="26"/>
  <c r="Z69" i="26"/>
  <c r="Q69" i="26"/>
  <c r="Z68" i="26"/>
  <c r="Q68" i="26"/>
  <c r="Z67" i="26"/>
  <c r="Q67" i="26"/>
  <c r="Z66" i="26"/>
  <c r="Q66" i="26"/>
  <c r="Z65" i="26"/>
  <c r="Q65" i="26"/>
  <c r="Z64" i="26"/>
  <c r="Q64" i="26"/>
  <c r="Z63" i="26"/>
  <c r="Q63" i="26"/>
  <c r="Z62" i="26"/>
  <c r="Q62" i="26"/>
  <c r="Z61" i="26"/>
  <c r="Q61" i="26"/>
  <c r="Z60" i="26"/>
  <c r="Q60" i="26"/>
  <c r="Z59" i="26"/>
  <c r="Q59" i="26"/>
  <c r="Z58" i="26"/>
  <c r="Q58" i="26"/>
  <c r="Z57" i="26"/>
  <c r="Q57" i="26"/>
  <c r="Z56" i="26"/>
  <c r="Q56" i="26"/>
  <c r="Z55" i="26"/>
  <c r="Q55" i="26"/>
  <c r="Z54" i="26"/>
  <c r="Q54" i="26"/>
  <c r="Z53" i="26"/>
  <c r="Q53" i="26"/>
  <c r="Z52" i="26"/>
  <c r="Q52" i="26"/>
  <c r="Z51" i="26"/>
  <c r="Q51" i="26"/>
  <c r="Z50" i="26"/>
  <c r="Q50" i="26"/>
  <c r="Z49" i="26"/>
  <c r="Q49" i="26"/>
  <c r="Z48" i="26"/>
  <c r="Q48" i="26"/>
  <c r="Z47" i="26"/>
  <c r="Q47" i="26"/>
  <c r="Z46" i="26"/>
  <c r="Q46" i="26"/>
  <c r="Z45" i="26"/>
  <c r="Q45" i="26"/>
  <c r="Z44" i="26"/>
  <c r="Q44" i="26"/>
  <c r="Z43" i="26"/>
  <c r="Q43" i="26"/>
  <c r="Z42" i="26"/>
  <c r="Q42" i="26"/>
  <c r="Z41" i="26"/>
  <c r="Q41" i="26"/>
  <c r="Z40" i="26"/>
  <c r="Q40" i="26"/>
  <c r="Z39" i="26"/>
  <c r="Q39" i="26"/>
  <c r="Z38" i="26"/>
  <c r="Q38" i="26"/>
  <c r="Z37" i="26"/>
  <c r="Q37" i="26"/>
  <c r="Z36" i="26"/>
  <c r="Z35" i="26"/>
  <c r="Z33" i="26"/>
  <c r="Z32" i="26"/>
  <c r="Z31" i="26"/>
  <c r="Q31" i="26"/>
  <c r="Z30" i="26"/>
  <c r="Q30" i="26"/>
  <c r="Z29" i="26"/>
  <c r="Q29" i="26"/>
  <c r="Z28" i="26"/>
  <c r="Q28" i="26"/>
  <c r="Z27" i="26"/>
  <c r="Q27" i="26"/>
  <c r="Z26" i="26"/>
  <c r="Q26" i="26"/>
  <c r="Z25" i="26"/>
  <c r="Q25" i="26"/>
  <c r="Z24" i="26"/>
  <c r="Q24" i="26"/>
  <c r="Z23" i="26"/>
  <c r="Q23" i="26"/>
  <c r="Z22" i="26"/>
  <c r="Q22" i="26"/>
  <c r="Z21" i="26"/>
  <c r="Q21" i="26"/>
  <c r="Z20" i="26"/>
  <c r="Q20" i="26"/>
  <c r="Z19" i="26"/>
  <c r="Q19" i="26"/>
  <c r="Z18" i="26"/>
  <c r="Q18" i="26"/>
  <c r="Z17" i="26"/>
  <c r="Q17" i="26"/>
  <c r="Z16" i="26"/>
  <c r="Q16" i="26"/>
  <c r="Z15" i="26"/>
  <c r="Q15" i="26"/>
  <c r="Z14" i="26"/>
  <c r="Q14" i="26"/>
  <c r="Z13" i="26"/>
  <c r="Q13" i="26"/>
  <c r="Z12" i="26"/>
  <c r="Q12" i="26"/>
  <c r="Z11" i="26"/>
  <c r="Q11" i="26"/>
  <c r="Q147" i="26"/>
  <c r="Q148" i="26"/>
  <c r="Z8" i="26"/>
  <c r="Q8" i="26"/>
  <c r="G8" i="26"/>
  <c r="K8" i="26" s="1"/>
  <c r="O7" i="26"/>
  <c r="N7" i="26"/>
  <c r="M7" i="26"/>
  <c r="J7" i="26"/>
  <c r="I7" i="26"/>
  <c r="F7" i="26"/>
  <c r="E7" i="26"/>
  <c r="D7" i="26"/>
  <c r="D6" i="25"/>
  <c r="H13" i="25"/>
  <c r="H19" i="25"/>
  <c r="H22" i="25"/>
  <c r="H25" i="25"/>
  <c r="H31" i="25"/>
  <c r="H34" i="25"/>
  <c r="H37" i="25"/>
  <c r="H43" i="25"/>
  <c r="H46" i="25"/>
  <c r="H49" i="25"/>
  <c r="H55" i="25"/>
  <c r="H58" i="25"/>
  <c r="H61" i="25"/>
  <c r="H66" i="25"/>
  <c r="H68" i="25"/>
  <c r="H71" i="25"/>
  <c r="H77" i="25"/>
  <c r="H80" i="25"/>
  <c r="H84" i="25"/>
  <c r="H91" i="25"/>
  <c r="H94" i="25"/>
  <c r="H97" i="25"/>
  <c r="H103" i="25"/>
  <c r="H106" i="25"/>
  <c r="H109" i="25"/>
  <c r="H115" i="25"/>
  <c r="H118" i="25"/>
  <c r="H121" i="25"/>
  <c r="H124" i="25"/>
  <c r="H127" i="25"/>
  <c r="H130" i="25"/>
  <c r="H133" i="25"/>
  <c r="H136" i="25"/>
  <c r="H138" i="25"/>
  <c r="H139" i="25"/>
  <c r="H140" i="25"/>
  <c r="H141" i="25"/>
  <c r="H142" i="25"/>
  <c r="H144" i="25"/>
  <c r="H145" i="25"/>
  <c r="H146" i="25"/>
  <c r="H147" i="25"/>
  <c r="H143" i="25"/>
  <c r="H137" i="25"/>
  <c r="H135" i="25"/>
  <c r="H134" i="25"/>
  <c r="H132" i="25"/>
  <c r="H131" i="25"/>
  <c r="H129" i="25"/>
  <c r="H128" i="25"/>
  <c r="H126" i="25"/>
  <c r="H125" i="25"/>
  <c r="H123" i="25"/>
  <c r="H122" i="25"/>
  <c r="H120" i="25"/>
  <c r="H119" i="25"/>
  <c r="H117" i="25"/>
  <c r="H116" i="25"/>
  <c r="H114" i="25"/>
  <c r="H113" i="25"/>
  <c r="H112" i="25"/>
  <c r="H111" i="25"/>
  <c r="H110" i="25"/>
  <c r="H108" i="25"/>
  <c r="H107" i="25"/>
  <c r="H105" i="25"/>
  <c r="H104" i="25"/>
  <c r="H102" i="25"/>
  <c r="H101" i="25"/>
  <c r="H100" i="25"/>
  <c r="H99" i="25"/>
  <c r="H98" i="25"/>
  <c r="H96" i="25"/>
  <c r="H95" i="25"/>
  <c r="H93" i="25"/>
  <c r="H92" i="25"/>
  <c r="H90" i="25"/>
  <c r="H89" i="25"/>
  <c r="H88" i="25"/>
  <c r="H87" i="25"/>
  <c r="H85" i="25"/>
  <c r="H82" i="25"/>
  <c r="H81" i="25"/>
  <c r="H79" i="25"/>
  <c r="H78" i="25"/>
  <c r="H75" i="25"/>
  <c r="H72" i="25"/>
  <c r="H70" i="25"/>
  <c r="H69" i="25"/>
  <c r="H67" i="25"/>
  <c r="H65" i="25"/>
  <c r="H64" i="25"/>
  <c r="H63" i="25"/>
  <c r="H62" i="25"/>
  <c r="H60" i="25"/>
  <c r="H59" i="25"/>
  <c r="H57" i="25"/>
  <c r="H56" i="25"/>
  <c r="H54" i="25"/>
  <c r="H53" i="25"/>
  <c r="H52" i="25"/>
  <c r="H51" i="25"/>
  <c r="H50" i="25"/>
  <c r="H48" i="25"/>
  <c r="H47" i="25"/>
  <c r="H45" i="25"/>
  <c r="H44" i="25"/>
  <c r="H42" i="25"/>
  <c r="H41" i="25"/>
  <c r="H40" i="25"/>
  <c r="H39" i="25"/>
  <c r="H38" i="25"/>
  <c r="H36" i="25"/>
  <c r="H35" i="25"/>
  <c r="H33" i="25"/>
  <c r="H32" i="25"/>
  <c r="H30" i="25"/>
  <c r="H29" i="25"/>
  <c r="H28" i="25"/>
  <c r="H27" i="25"/>
  <c r="H26" i="25"/>
  <c r="H24" i="25"/>
  <c r="H23" i="25"/>
  <c r="H21" i="25"/>
  <c r="H20" i="25"/>
  <c r="H18" i="25"/>
  <c r="H17" i="25"/>
  <c r="H16" i="25"/>
  <c r="H15" i="25"/>
  <c r="H14" i="25"/>
  <c r="H12" i="25"/>
  <c r="H11" i="25"/>
  <c r="H7" i="25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5" i="24"/>
  <c r="P77" i="24"/>
  <c r="P78" i="24"/>
  <c r="P79" i="24"/>
  <c r="P80" i="24"/>
  <c r="P81" i="24"/>
  <c r="P82" i="24"/>
  <c r="P84" i="24"/>
  <c r="P85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0" i="24"/>
  <c r="M6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5" i="24"/>
  <c r="L77" i="24"/>
  <c r="L78" i="24"/>
  <c r="L79" i="24"/>
  <c r="L80" i="24"/>
  <c r="L81" i="24"/>
  <c r="L82" i="24"/>
  <c r="L84" i="24"/>
  <c r="L85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0" i="24"/>
  <c r="I6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5" i="24"/>
  <c r="H77" i="24"/>
  <c r="H78" i="24"/>
  <c r="H79" i="24"/>
  <c r="H80" i="24"/>
  <c r="H81" i="24"/>
  <c r="H82" i="24"/>
  <c r="H84" i="24"/>
  <c r="H85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0" i="24"/>
  <c r="E6" i="24"/>
  <c r="H7" i="24"/>
  <c r="L7" i="24"/>
  <c r="P7" i="24"/>
  <c r="H9" i="24" l="1"/>
  <c r="H6" i="24" s="1"/>
  <c r="P9" i="24"/>
  <c r="P6" i="24" s="1"/>
  <c r="L9" i="24"/>
  <c r="L6" i="24" s="1"/>
  <c r="Q146" i="26"/>
  <c r="Q10" i="26" s="1"/>
  <c r="P7" i="26"/>
  <c r="E6" i="25"/>
  <c r="F6" i="25"/>
  <c r="G6" i="25"/>
  <c r="H10" i="25"/>
  <c r="N6" i="24"/>
  <c r="O6" i="24"/>
  <c r="J6" i="24"/>
  <c r="K6" i="24"/>
  <c r="D6" i="24"/>
  <c r="F6" i="24"/>
  <c r="G6" i="24"/>
  <c r="E6" i="23"/>
  <c r="H9" i="25" l="1"/>
  <c r="H6" i="25" s="1"/>
  <c r="Q7" i="26"/>
  <c r="F6" i="23"/>
  <c r="R7" i="26" l="1"/>
  <c r="T7" i="26" l="1"/>
  <c r="S7" i="26"/>
  <c r="Z147" i="26"/>
  <c r="Z148" i="26" l="1"/>
  <c r="U7" i="26"/>
  <c r="Z146" i="26" l="1"/>
  <c r="Z10" i="26" s="1"/>
  <c r="V7" i="26" l="1"/>
  <c r="W7" i="26" l="1"/>
  <c r="Y7" i="26"/>
  <c r="Z7" i="26" l="1"/>
  <c r="X7" i="26"/>
  <c r="D53" i="6" l="1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27" i="6"/>
  <c r="D26" i="6"/>
  <c r="D25" i="6"/>
  <c r="D24" i="6"/>
  <c r="D23" i="6"/>
  <c r="D22" i="6"/>
  <c r="D21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19" i="6"/>
  <c r="D18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30" i="6"/>
  <c r="D16" i="6"/>
  <c r="D15" i="6"/>
  <c r="D14" i="6"/>
  <c r="D13" i="6"/>
  <c r="D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0" i="6"/>
  <c r="D9" i="6"/>
  <c r="T8" i="6"/>
  <c r="S8" i="6"/>
  <c r="R8" i="6"/>
  <c r="R55" i="6" s="1"/>
  <c r="Q8" i="6"/>
  <c r="Q55" i="6" s="1"/>
  <c r="P8" i="6"/>
  <c r="P55" i="6" s="1"/>
  <c r="O8" i="6"/>
  <c r="O55" i="6" s="1"/>
  <c r="N8" i="6"/>
  <c r="N55" i="6" s="1"/>
  <c r="M8" i="6"/>
  <c r="M55" i="6" s="1"/>
  <c r="L8" i="6"/>
  <c r="K8" i="6"/>
  <c r="J8" i="6"/>
  <c r="J55" i="6" s="1"/>
  <c r="I8" i="6"/>
  <c r="I55" i="6" s="1"/>
  <c r="H8" i="6"/>
  <c r="H55" i="6" s="1"/>
  <c r="G8" i="6"/>
  <c r="G55" i="6" s="1"/>
  <c r="F8" i="6"/>
  <c r="F55" i="6" s="1"/>
  <c r="E8" i="6"/>
  <c r="E55" i="6" s="1"/>
  <c r="D57" i="6" l="1"/>
  <c r="S55" i="6"/>
  <c r="K55" i="6"/>
  <c r="L55" i="6"/>
  <c r="T55" i="6"/>
  <c r="D56" i="6"/>
  <c r="D17" i="6"/>
  <c r="D11" i="6"/>
  <c r="D20" i="6"/>
  <c r="D8" i="6"/>
  <c r="D55" i="6" l="1"/>
  <c r="H39" i="5"/>
  <c r="F39" i="5"/>
  <c r="E39" i="5"/>
  <c r="K9" i="4"/>
  <c r="K7" i="4" s="1"/>
  <c r="J9" i="4"/>
  <c r="J7" i="4" s="1"/>
  <c r="I9" i="4"/>
  <c r="I7" i="4" s="1"/>
  <c r="H9" i="4"/>
  <c r="H7" i="4" s="1"/>
  <c r="G9" i="4"/>
  <c r="G7" i="4" s="1"/>
  <c r="F9" i="4"/>
  <c r="F7" i="4" s="1"/>
  <c r="E9" i="4"/>
  <c r="E7" i="4" s="1"/>
  <c r="E79" i="5" l="1"/>
  <c r="F79" i="5"/>
  <c r="H79" i="5"/>
  <c r="F8" i="3"/>
  <c r="E8" i="3"/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6" i="3"/>
  <c r="K78" i="3"/>
  <c r="K79" i="3"/>
  <c r="K80" i="3"/>
  <c r="K81" i="3"/>
  <c r="K82" i="3"/>
  <c r="K83" i="3"/>
  <c r="K85" i="3"/>
  <c r="K86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1" i="3"/>
  <c r="K10" i="3" l="1"/>
  <c r="K8" i="3" s="1"/>
  <c r="V148" i="3"/>
  <c r="S148" i="3" s="1"/>
  <c r="N148" i="3"/>
  <c r="V147" i="3"/>
  <c r="S147" i="3" s="1"/>
  <c r="N147" i="3"/>
  <c r="V146" i="3"/>
  <c r="S146" i="3" s="1"/>
  <c r="N146" i="3"/>
  <c r="V145" i="3"/>
  <c r="S145" i="3" s="1"/>
  <c r="N145" i="3"/>
  <c r="V144" i="3"/>
  <c r="S144" i="3" s="1"/>
  <c r="N144" i="3"/>
  <c r="V143" i="3"/>
  <c r="S143" i="3" s="1"/>
  <c r="N143" i="3"/>
  <c r="V142" i="3"/>
  <c r="S142" i="3" s="1"/>
  <c r="N142" i="3"/>
  <c r="V141" i="3"/>
  <c r="S141" i="3" s="1"/>
  <c r="N141" i="3"/>
  <c r="V140" i="3"/>
  <c r="S140" i="3" s="1"/>
  <c r="N140" i="3"/>
  <c r="V139" i="3"/>
  <c r="S139" i="3" s="1"/>
  <c r="N139" i="3"/>
  <c r="V138" i="3"/>
  <c r="S138" i="3" s="1"/>
  <c r="N138" i="3"/>
  <c r="V137" i="3"/>
  <c r="S137" i="3" s="1"/>
  <c r="N137" i="3"/>
  <c r="V136" i="3"/>
  <c r="S136" i="3" s="1"/>
  <c r="N136" i="3"/>
  <c r="V135" i="3"/>
  <c r="S135" i="3" s="1"/>
  <c r="N135" i="3"/>
  <c r="V134" i="3"/>
  <c r="S134" i="3" s="1"/>
  <c r="N134" i="3"/>
  <c r="V133" i="3"/>
  <c r="S133" i="3" s="1"/>
  <c r="N133" i="3"/>
  <c r="V132" i="3"/>
  <c r="S132" i="3" s="1"/>
  <c r="N132" i="3"/>
  <c r="V131" i="3"/>
  <c r="S131" i="3" s="1"/>
  <c r="N131" i="3"/>
  <c r="V130" i="3"/>
  <c r="S130" i="3" s="1"/>
  <c r="N130" i="3"/>
  <c r="V129" i="3"/>
  <c r="S129" i="3" s="1"/>
  <c r="N129" i="3"/>
  <c r="V128" i="3"/>
  <c r="S128" i="3" s="1"/>
  <c r="N128" i="3"/>
  <c r="V127" i="3"/>
  <c r="S127" i="3" s="1"/>
  <c r="N127" i="3"/>
  <c r="V126" i="3"/>
  <c r="S126" i="3" s="1"/>
  <c r="N126" i="3"/>
  <c r="V125" i="3"/>
  <c r="S125" i="3" s="1"/>
  <c r="N125" i="3"/>
  <c r="V124" i="3"/>
  <c r="S124" i="3" s="1"/>
  <c r="N124" i="3"/>
  <c r="V123" i="3"/>
  <c r="S123" i="3" s="1"/>
  <c r="N123" i="3"/>
  <c r="V122" i="3"/>
  <c r="S122" i="3" s="1"/>
  <c r="N122" i="3"/>
  <c r="V121" i="3"/>
  <c r="S121" i="3" s="1"/>
  <c r="N121" i="3"/>
  <c r="V120" i="3"/>
  <c r="S120" i="3" s="1"/>
  <c r="N120" i="3"/>
  <c r="V119" i="3"/>
  <c r="S119" i="3" s="1"/>
  <c r="N119" i="3"/>
  <c r="V118" i="3"/>
  <c r="S118" i="3" s="1"/>
  <c r="N118" i="3"/>
  <c r="V117" i="3"/>
  <c r="S117" i="3" s="1"/>
  <c r="N117" i="3"/>
  <c r="V116" i="3"/>
  <c r="S116" i="3" s="1"/>
  <c r="N116" i="3"/>
  <c r="V115" i="3"/>
  <c r="S115" i="3" s="1"/>
  <c r="N115" i="3"/>
  <c r="V114" i="3"/>
  <c r="S114" i="3" s="1"/>
  <c r="N114" i="3"/>
  <c r="V113" i="3"/>
  <c r="S113" i="3" s="1"/>
  <c r="N113" i="3"/>
  <c r="V112" i="3"/>
  <c r="S112" i="3" s="1"/>
  <c r="V111" i="3"/>
  <c r="S111" i="3" s="1"/>
  <c r="N111" i="3"/>
  <c r="V110" i="3"/>
  <c r="S110" i="3" s="1"/>
  <c r="N110" i="3"/>
  <c r="V109" i="3"/>
  <c r="S109" i="3" s="1"/>
  <c r="N109" i="3"/>
  <c r="V108" i="3"/>
  <c r="S108" i="3" s="1"/>
  <c r="N108" i="3"/>
  <c r="V107" i="3"/>
  <c r="S107" i="3" s="1"/>
  <c r="N107" i="3"/>
  <c r="V106" i="3"/>
  <c r="S106" i="3" s="1"/>
  <c r="N106" i="3"/>
  <c r="V105" i="3"/>
  <c r="S105" i="3" s="1"/>
  <c r="N105" i="3"/>
  <c r="V104" i="3"/>
  <c r="S104" i="3" s="1"/>
  <c r="N104" i="3"/>
  <c r="V103" i="3"/>
  <c r="S103" i="3" s="1"/>
  <c r="N103" i="3"/>
  <c r="V102" i="3"/>
  <c r="S102" i="3" s="1"/>
  <c r="N102" i="3"/>
  <c r="V101" i="3"/>
  <c r="S101" i="3" s="1"/>
  <c r="N101" i="3"/>
  <c r="V100" i="3"/>
  <c r="S100" i="3" s="1"/>
  <c r="N100" i="3"/>
  <c r="V99" i="3"/>
  <c r="S99" i="3" s="1"/>
  <c r="N99" i="3"/>
  <c r="V98" i="3"/>
  <c r="S98" i="3" s="1"/>
  <c r="N98" i="3"/>
  <c r="V97" i="3"/>
  <c r="S97" i="3" s="1"/>
  <c r="N97" i="3"/>
  <c r="V96" i="3"/>
  <c r="S96" i="3" s="1"/>
  <c r="N96" i="3"/>
  <c r="V95" i="3"/>
  <c r="S95" i="3" s="1"/>
  <c r="N95" i="3"/>
  <c r="V94" i="3"/>
  <c r="S94" i="3" s="1"/>
  <c r="N94" i="3"/>
  <c r="V93" i="3"/>
  <c r="S93" i="3" s="1"/>
  <c r="N93" i="3"/>
  <c r="V92" i="3"/>
  <c r="S92" i="3" s="1"/>
  <c r="N92" i="3"/>
  <c r="V91" i="3"/>
  <c r="S91" i="3" s="1"/>
  <c r="N91" i="3"/>
  <c r="V90" i="3"/>
  <c r="S90" i="3" s="1"/>
  <c r="N90" i="3"/>
  <c r="V89" i="3"/>
  <c r="S89" i="3" s="1"/>
  <c r="N89" i="3"/>
  <c r="V88" i="3"/>
  <c r="S88" i="3" s="1"/>
  <c r="N88" i="3"/>
  <c r="V86" i="3"/>
  <c r="S86" i="3" s="1"/>
  <c r="N86" i="3"/>
  <c r="V85" i="3"/>
  <c r="S85" i="3" s="1"/>
  <c r="N85" i="3"/>
  <c r="V83" i="3"/>
  <c r="S83" i="3" s="1"/>
  <c r="N83" i="3"/>
  <c r="V82" i="3"/>
  <c r="S82" i="3" s="1"/>
  <c r="N82" i="3"/>
  <c r="V81" i="3"/>
  <c r="S81" i="3" s="1"/>
  <c r="N81" i="3"/>
  <c r="X8" i="3"/>
  <c r="V80" i="3"/>
  <c r="S80" i="3" s="1"/>
  <c r="N80" i="3"/>
  <c r="V79" i="3"/>
  <c r="S79" i="3" s="1"/>
  <c r="N79" i="3"/>
  <c r="V78" i="3"/>
  <c r="N78" i="3"/>
  <c r="V76" i="3"/>
  <c r="S76" i="3" s="1"/>
  <c r="N76" i="3"/>
  <c r="V73" i="3"/>
  <c r="S73" i="3" s="1"/>
  <c r="N73" i="3"/>
  <c r="V72" i="3"/>
  <c r="S72" i="3" s="1"/>
  <c r="N72" i="3"/>
  <c r="H8" i="3"/>
  <c r="V71" i="3"/>
  <c r="S71" i="3" s="1"/>
  <c r="N71" i="3"/>
  <c r="V70" i="3"/>
  <c r="S70" i="3" s="1"/>
  <c r="N70" i="3"/>
  <c r="V69" i="3"/>
  <c r="S69" i="3" s="1"/>
  <c r="N69" i="3"/>
  <c r="V68" i="3"/>
  <c r="S68" i="3" s="1"/>
  <c r="N68" i="3"/>
  <c r="V67" i="3"/>
  <c r="S67" i="3" s="1"/>
  <c r="N67" i="3"/>
  <c r="V66" i="3"/>
  <c r="S66" i="3" s="1"/>
  <c r="N66" i="3"/>
  <c r="V65" i="3"/>
  <c r="S65" i="3" s="1"/>
  <c r="N65" i="3"/>
  <c r="V64" i="3"/>
  <c r="S64" i="3" s="1"/>
  <c r="N64" i="3"/>
  <c r="V63" i="3"/>
  <c r="S63" i="3" s="1"/>
  <c r="N63" i="3"/>
  <c r="V62" i="3"/>
  <c r="S62" i="3" s="1"/>
  <c r="N62" i="3"/>
  <c r="V61" i="3"/>
  <c r="S61" i="3" s="1"/>
  <c r="N61" i="3"/>
  <c r="V60" i="3"/>
  <c r="S60" i="3" s="1"/>
  <c r="N60" i="3"/>
  <c r="V59" i="3"/>
  <c r="S59" i="3" s="1"/>
  <c r="N59" i="3"/>
  <c r="V58" i="3"/>
  <c r="S58" i="3" s="1"/>
  <c r="N58" i="3"/>
  <c r="V57" i="3"/>
  <c r="S57" i="3" s="1"/>
  <c r="N57" i="3"/>
  <c r="V56" i="3"/>
  <c r="S56" i="3" s="1"/>
  <c r="N56" i="3"/>
  <c r="V55" i="3"/>
  <c r="S55" i="3" s="1"/>
  <c r="N55" i="3"/>
  <c r="V54" i="3"/>
  <c r="S54" i="3" s="1"/>
  <c r="N54" i="3"/>
  <c r="V53" i="3"/>
  <c r="S53" i="3" s="1"/>
  <c r="N53" i="3"/>
  <c r="V52" i="3"/>
  <c r="S52" i="3" s="1"/>
  <c r="N52" i="3"/>
  <c r="V51" i="3"/>
  <c r="S51" i="3" s="1"/>
  <c r="N51" i="3"/>
  <c r="V50" i="3"/>
  <c r="S50" i="3" s="1"/>
  <c r="N50" i="3"/>
  <c r="V49" i="3"/>
  <c r="S49" i="3" s="1"/>
  <c r="N49" i="3"/>
  <c r="V48" i="3"/>
  <c r="S48" i="3" s="1"/>
  <c r="N48" i="3"/>
  <c r="V47" i="3"/>
  <c r="S47" i="3" s="1"/>
  <c r="N47" i="3"/>
  <c r="V46" i="3"/>
  <c r="S46" i="3" s="1"/>
  <c r="N46" i="3"/>
  <c r="V45" i="3"/>
  <c r="S45" i="3" s="1"/>
  <c r="N45" i="3"/>
  <c r="V44" i="3"/>
  <c r="S44" i="3" s="1"/>
  <c r="N44" i="3"/>
  <c r="V43" i="3"/>
  <c r="S43" i="3" s="1"/>
  <c r="N43" i="3"/>
  <c r="V42" i="3"/>
  <c r="S42" i="3" s="1"/>
  <c r="N42" i="3"/>
  <c r="V41" i="3"/>
  <c r="S41" i="3" s="1"/>
  <c r="N41" i="3"/>
  <c r="V40" i="3"/>
  <c r="S40" i="3" s="1"/>
  <c r="N40" i="3"/>
  <c r="V39" i="3"/>
  <c r="S39" i="3" s="1"/>
  <c r="N39" i="3"/>
  <c r="V38" i="3"/>
  <c r="S38" i="3" s="1"/>
  <c r="N38" i="3"/>
  <c r="V37" i="3"/>
  <c r="S37" i="3" s="1"/>
  <c r="N37" i="3"/>
  <c r="V36" i="3"/>
  <c r="S36" i="3" s="1"/>
  <c r="N36" i="3"/>
  <c r="V35" i="3"/>
  <c r="S35" i="3" s="1"/>
  <c r="N35" i="3"/>
  <c r="V34" i="3"/>
  <c r="S34" i="3" s="1"/>
  <c r="N34" i="3"/>
  <c r="V33" i="3"/>
  <c r="S33" i="3" s="1"/>
  <c r="N33" i="3"/>
  <c r="V32" i="3"/>
  <c r="S32" i="3" s="1"/>
  <c r="N32" i="3"/>
  <c r="V31" i="3"/>
  <c r="S31" i="3" s="1"/>
  <c r="N31" i="3"/>
  <c r="V30" i="3"/>
  <c r="S30" i="3" s="1"/>
  <c r="N30" i="3"/>
  <c r="V29" i="3"/>
  <c r="S29" i="3" s="1"/>
  <c r="N29" i="3"/>
  <c r="V28" i="3"/>
  <c r="S28" i="3" s="1"/>
  <c r="N28" i="3"/>
  <c r="V27" i="3"/>
  <c r="S27" i="3" s="1"/>
  <c r="N27" i="3"/>
  <c r="V26" i="3"/>
  <c r="S26" i="3" s="1"/>
  <c r="N26" i="3"/>
  <c r="V25" i="3"/>
  <c r="S25" i="3" s="1"/>
  <c r="N25" i="3"/>
  <c r="V24" i="3"/>
  <c r="S24" i="3" s="1"/>
  <c r="N24" i="3"/>
  <c r="V23" i="3"/>
  <c r="S23" i="3" s="1"/>
  <c r="N23" i="3"/>
  <c r="V22" i="3"/>
  <c r="S22" i="3" s="1"/>
  <c r="N22" i="3"/>
  <c r="V21" i="3"/>
  <c r="S21" i="3" s="1"/>
  <c r="N21" i="3"/>
  <c r="V20" i="3"/>
  <c r="S20" i="3" s="1"/>
  <c r="N20" i="3"/>
  <c r="V19" i="3"/>
  <c r="S19" i="3" s="1"/>
  <c r="N19" i="3"/>
  <c r="V18" i="3"/>
  <c r="S18" i="3" s="1"/>
  <c r="N18" i="3"/>
  <c r="V17" i="3"/>
  <c r="S17" i="3" s="1"/>
  <c r="N17" i="3"/>
  <c r="V16" i="3"/>
  <c r="S16" i="3" s="1"/>
  <c r="N16" i="3"/>
  <c r="V15" i="3"/>
  <c r="S15" i="3" s="1"/>
  <c r="N15" i="3"/>
  <c r="V14" i="3"/>
  <c r="S14" i="3" s="1"/>
  <c r="N14" i="3"/>
  <c r="V13" i="3"/>
  <c r="S13" i="3" s="1"/>
  <c r="N13" i="3"/>
  <c r="V12" i="3"/>
  <c r="S12" i="3" s="1"/>
  <c r="N12" i="3"/>
  <c r="N11" i="3"/>
  <c r="U8" i="3"/>
  <c r="T8" i="3"/>
  <c r="Q8" i="3"/>
  <c r="P8" i="3"/>
  <c r="O8" i="3"/>
  <c r="J8" i="3"/>
  <c r="I8" i="3"/>
  <c r="G8" i="3"/>
  <c r="U1" i="3"/>
  <c r="N10" i="3" l="1"/>
  <c r="S78" i="3"/>
  <c r="D86" i="3"/>
  <c r="D103" i="3"/>
  <c r="D129" i="3"/>
  <c r="D115" i="3"/>
  <c r="D81" i="3"/>
  <c r="D119" i="3"/>
  <c r="D85" i="3"/>
  <c r="D90" i="3"/>
  <c r="D94" i="3"/>
  <c r="D98" i="3"/>
  <c r="D102" i="3"/>
  <c r="D106" i="3"/>
  <c r="D126" i="3"/>
  <c r="D21" i="3"/>
  <c r="D29" i="3"/>
  <c r="D123" i="3"/>
  <c r="D134" i="3"/>
  <c r="D76" i="3"/>
  <c r="D20" i="3"/>
  <c r="D24" i="3"/>
  <c r="D28" i="3"/>
  <c r="D32" i="3"/>
  <c r="D36" i="3"/>
  <c r="D15" i="3"/>
  <c r="D66" i="3"/>
  <c r="D68" i="3"/>
  <c r="D71" i="3"/>
  <c r="D82" i="3"/>
  <c r="D92" i="3"/>
  <c r="D100" i="3"/>
  <c r="D148" i="3"/>
  <c r="D48" i="3"/>
  <c r="D52" i="3"/>
  <c r="D56" i="3"/>
  <c r="D18" i="3"/>
  <c r="D22" i="3"/>
  <c r="D26" i="3"/>
  <c r="D30" i="3"/>
  <c r="D67" i="3"/>
  <c r="D138" i="3"/>
  <c r="D38" i="3"/>
  <c r="D42" i="3"/>
  <c r="D127" i="3"/>
  <c r="D12" i="3"/>
  <c r="D16" i="3"/>
  <c r="D46" i="3"/>
  <c r="D50" i="3"/>
  <c r="D108" i="3"/>
  <c r="D116" i="3"/>
  <c r="D120" i="3"/>
  <c r="D124" i="3"/>
  <c r="D47" i="3"/>
  <c r="D51" i="3"/>
  <c r="D55" i="3"/>
  <c r="D141" i="3"/>
  <c r="D142" i="3"/>
  <c r="D146" i="3"/>
  <c r="D131" i="3"/>
  <c r="D39" i="3"/>
  <c r="D62" i="3"/>
  <c r="D73" i="3"/>
  <c r="D99" i="3"/>
  <c r="D135" i="3"/>
  <c r="D147" i="3"/>
  <c r="D37" i="3"/>
  <c r="D59" i="3"/>
  <c r="D44" i="3"/>
  <c r="D136" i="3"/>
  <c r="D41" i="3"/>
  <c r="D60" i="3"/>
  <c r="D63" i="3"/>
  <c r="D128" i="3"/>
  <c r="D19" i="3"/>
  <c r="D23" i="3"/>
  <c r="D27" i="3"/>
  <c r="D31" i="3"/>
  <c r="D35" i="3"/>
  <c r="D45" i="3"/>
  <c r="D49" i="3"/>
  <c r="D57" i="3"/>
  <c r="D69" i="3"/>
  <c r="D72" i="3"/>
  <c r="D80" i="3"/>
  <c r="D117" i="3"/>
  <c r="D121" i="3"/>
  <c r="D132" i="3"/>
  <c r="D143" i="3"/>
  <c r="D114" i="3"/>
  <c r="D140" i="3"/>
  <c r="D110" i="3"/>
  <c r="D118" i="3"/>
  <c r="D13" i="3"/>
  <c r="D43" i="3"/>
  <c r="D91" i="3"/>
  <c r="D95" i="3"/>
  <c r="D107" i="3"/>
  <c r="D111" i="3"/>
  <c r="D130" i="3"/>
  <c r="D137" i="3"/>
  <c r="D139" i="3"/>
  <c r="D54" i="3"/>
  <c r="D58" i="3"/>
  <c r="D122" i="3"/>
  <c r="D33" i="3"/>
  <c r="D53" i="3"/>
  <c r="D78" i="3"/>
  <c r="D133" i="3"/>
  <c r="D25" i="3"/>
  <c r="D34" i="3"/>
  <c r="D40" i="3"/>
  <c r="D79" i="3"/>
  <c r="D88" i="3"/>
  <c r="D96" i="3"/>
  <c r="D104" i="3"/>
  <c r="D144" i="3"/>
  <c r="D64" i="3"/>
  <c r="D61" i="3"/>
  <c r="D83" i="3"/>
  <c r="D89" i="3"/>
  <c r="D93" i="3"/>
  <c r="D97" i="3"/>
  <c r="D101" i="3"/>
  <c r="D105" i="3"/>
  <c r="D109" i="3"/>
  <c r="D113" i="3"/>
  <c r="D145" i="3"/>
  <c r="D14" i="3"/>
  <c r="D17" i="3"/>
  <c r="D65" i="3"/>
  <c r="D70" i="3"/>
  <c r="D125" i="3"/>
  <c r="V11" i="3"/>
  <c r="V10" i="3" s="1"/>
  <c r="N8" i="3"/>
  <c r="W8" i="3"/>
  <c r="R8" i="3"/>
  <c r="S11" i="3" l="1"/>
  <c r="V8" i="3"/>
  <c r="S10" i="3" l="1"/>
  <c r="S8" i="3" s="1"/>
  <c r="D11" i="3"/>
  <c r="D10" i="3" s="1"/>
  <c r="E19" i="1"/>
  <c r="E18" i="1"/>
  <c r="E17" i="1"/>
  <c r="E16" i="1"/>
  <c r="E15" i="1"/>
  <c r="E14" i="1"/>
  <c r="E13" i="1"/>
  <c r="E12" i="1"/>
  <c r="E11" i="1"/>
  <c r="K10" i="1"/>
  <c r="K8" i="1" s="1"/>
  <c r="J10" i="1"/>
  <c r="J8" i="1" s="1"/>
  <c r="I10" i="1"/>
  <c r="I8" i="1" s="1"/>
  <c r="H10" i="1"/>
  <c r="H8" i="1" s="1"/>
  <c r="G10" i="1"/>
  <c r="G8" i="1" s="1"/>
  <c r="F10" i="1"/>
  <c r="F8" i="1" s="1"/>
  <c r="E9" i="1"/>
  <c r="D8" i="3" l="1"/>
  <c r="E10" i="1"/>
  <c r="E8" i="1" s="1"/>
  <c r="G147" i="26" l="1"/>
  <c r="H7" i="26"/>
  <c r="G148" i="26"/>
  <c r="G146" i="26"/>
  <c r="G10" i="26" s="1"/>
  <c r="G7" i="26" s="1"/>
  <c r="K146" i="26" l="1"/>
  <c r="K10" i="26" s="1"/>
  <c r="K148" i="26"/>
  <c r="K147" i="26"/>
  <c r="L7" i="26"/>
  <c r="K7" i="26" l="1"/>
</calcChain>
</file>

<file path=xl/sharedStrings.xml><?xml version="1.0" encoding="utf-8"?>
<sst xmlns="http://schemas.openxmlformats.org/spreadsheetml/2006/main" count="7350" uniqueCount="803">
  <si>
    <t>№ п/п</t>
  </si>
  <si>
    <t>Реестровый номер</t>
  </si>
  <si>
    <t>Наименование медицинской организации</t>
  </si>
  <si>
    <t xml:space="preserve">Уровень </t>
  </si>
  <si>
    <t xml:space="preserve">Скорая медицинская помощь </t>
  </si>
  <si>
    <t>Всего вызовов</t>
  </si>
  <si>
    <t>в том числе:</t>
  </si>
  <si>
    <t>в том числе эвакуация, не менее 5%</t>
  </si>
  <si>
    <t>Фельдшерские</t>
  </si>
  <si>
    <t>из них фельдшерские с применением тромболи-тических препаратов</t>
  </si>
  <si>
    <t>Врачебные</t>
  </si>
  <si>
    <t>из них врачебные с применением тромболи-тических препаратов</t>
  </si>
  <si>
    <t xml:space="preserve">Специализ.  вызовы </t>
  </si>
  <si>
    <t>ВСЕГО</t>
  </si>
  <si>
    <t>Медицинская помощь за пределами РБ</t>
  </si>
  <si>
    <t>Итого по МО</t>
  </si>
  <si>
    <t>025001</t>
  </si>
  <si>
    <t>ГБУЗ РБ Бирская ЦРБ</t>
  </si>
  <si>
    <t>021201</t>
  </si>
  <si>
    <t>ГБУЗ РБ ГБ г.Нефтекамск</t>
  </si>
  <si>
    <t>024005</t>
  </si>
  <si>
    <t>ГБУЗ РБ Белорецкая ЦРКБ</t>
  </si>
  <si>
    <t>021502</t>
  </si>
  <si>
    <t>ГБУЗ РБ ЦГБ г.Сибай</t>
  </si>
  <si>
    <t>024006</t>
  </si>
  <si>
    <t>ФГБУЗ МСЧ №142 ФМБА России</t>
  </si>
  <si>
    <t>021111</t>
  </si>
  <si>
    <t>ГБУЗ РБ ГБ г.Кумертау</t>
  </si>
  <si>
    <t>021303</t>
  </si>
  <si>
    <t>ГБУЗ РБ ГБ №1 г.Октябрьский</t>
  </si>
  <si>
    <t>020159</t>
  </si>
  <si>
    <t>(ГБУЗ РБ ЦСМП и МК</t>
  </si>
  <si>
    <t>026001</t>
  </si>
  <si>
    <t>ГБУЗ РБ Месягутовская ЦРБ</t>
  </si>
  <si>
    <t>Плановые объемы скорой медицинской помощи в рамках базовой Программы ОМС на 2026 год</t>
  </si>
  <si>
    <t>В амбулаторных условиях обращения по поводу заболевания.</t>
  </si>
  <si>
    <t>Всего объемы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</si>
  <si>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</si>
  <si>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</si>
  <si>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 xml:space="preserve"> Обращения для проведения 2 этапа диспансеризации взрослого населения по оценке репродуктивного здоровья</t>
  </si>
  <si>
    <t>ЦАОП</t>
  </si>
  <si>
    <r>
      <t xml:space="preserve">Обращения для проведения диспансерного наблюдения </t>
    </r>
    <r>
      <rPr>
        <b/>
        <sz val="9"/>
        <color theme="1"/>
        <rFont val="Times New Roman"/>
        <family val="1"/>
        <charset val="204"/>
      </rPr>
      <t xml:space="preserve">детского населения  </t>
    </r>
    <r>
      <rPr>
        <sz val="9"/>
        <color theme="1"/>
        <rFont val="Times New Roman"/>
        <family val="1"/>
        <charset val="204"/>
      </rPr>
      <t xml:space="preserve">
(приказ Минздрава России от 11.04.2025 № 192н)</t>
    </r>
  </si>
  <si>
    <t>Объемы обращений по заболеваниям на долечивание в травматологических пунктах</t>
  </si>
  <si>
    <t xml:space="preserve">Обращения МО, имеющие прикрепленное население </t>
  </si>
  <si>
    <t>Всего</t>
  </si>
  <si>
    <t xml:space="preserve">финансируемые по реестрам </t>
  </si>
  <si>
    <t>всего</t>
  </si>
  <si>
    <t>из них:</t>
  </si>
  <si>
    <t>финансируемые по реестрам</t>
  </si>
  <si>
    <t>по подушевому нормативу финансирования на прикрепившихся лиц</t>
  </si>
  <si>
    <t>по другим профилям</t>
  </si>
  <si>
    <t>по профилю "стоматология"</t>
  </si>
  <si>
    <t xml:space="preserve"> стоматология детская - ортодонтия</t>
  </si>
  <si>
    <t>по профилю "акушерство и гинекология"</t>
  </si>
  <si>
    <t>025004</t>
  </si>
  <si>
    <t>ГБУЗ РБ Аскинская ЦРБ</t>
  </si>
  <si>
    <t>022103</t>
  </si>
  <si>
    <t>ГБУЗ РБ Балтачевская ЦРБ</t>
  </si>
  <si>
    <t>025005</t>
  </si>
  <si>
    <t>ГБУЗ РБ Бураевская ЦРБ</t>
  </si>
  <si>
    <t>022102</t>
  </si>
  <si>
    <t>ГБУЗ РБ Верхне-Татышлинская ЦРБ</t>
  </si>
  <si>
    <t>027001</t>
  </si>
  <si>
    <t>ГБУЗ РБ Дюртюлинская ЦРБ</t>
  </si>
  <si>
    <t>021206</t>
  </si>
  <si>
    <t>ГБУЗ РБ Калтасинская ЦРБ</t>
  </si>
  <si>
    <t>025003</t>
  </si>
  <si>
    <t>ГБУЗ РБ Караидельская ЦРБ</t>
  </si>
  <si>
    <t>021205</t>
  </si>
  <si>
    <t>ГБУЗ РБ Краснокамская ЦРБ</t>
  </si>
  <si>
    <t>025002</t>
  </si>
  <si>
    <t>ГБУЗ РБ Мишкинская ЦРБ</t>
  </si>
  <si>
    <t>022104</t>
  </si>
  <si>
    <t>ГБУЗ РБ Янаульская ЦРБ</t>
  </si>
  <si>
    <t>020163</t>
  </si>
  <si>
    <t>ООО "АВИЦЕННА" г.Нефтекамск</t>
  </si>
  <si>
    <t>021501</t>
  </si>
  <si>
    <t>ГБУЗ РБ Акъярская ЦРБ</t>
  </si>
  <si>
    <t>024001</t>
  </si>
  <si>
    <t>ГБУЗ РБ Аскаровская ЦРБ</t>
  </si>
  <si>
    <t>022001</t>
  </si>
  <si>
    <t>ГБУЗ РБ Баймакская ЦРБ</t>
  </si>
  <si>
    <t>024002</t>
  </si>
  <si>
    <t>ГБУЗ РБ Бурзянская ЦРБ</t>
  </si>
  <si>
    <t>022012</t>
  </si>
  <si>
    <t>ГБУЗ РБ Зилаирская ЦРБ</t>
  </si>
  <si>
    <t>021901</t>
  </si>
  <si>
    <t>ГБУЗ РБ Учалинская ЦРБ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</si>
  <si>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</si>
  <si>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</si>
  <si>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</si>
  <si>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</si>
  <si>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</si>
  <si>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</si>
  <si>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</si>
  <si>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</si>
  <si>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</si>
  <si>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</si>
  <si>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021424</t>
  </si>
  <si>
    <t>ГБУЗ РБ ГБ г.Салават</t>
  </si>
  <si>
    <t>021105</t>
  </si>
  <si>
    <t>ГБУЗ РБ Исянгуловская ЦРБ</t>
  </si>
  <si>
    <t>029001</t>
  </si>
  <si>
    <t>ГБУЗ РБ Ишимбайская ЦРБ</t>
  </si>
  <si>
    <t>021605</t>
  </si>
  <si>
    <t>ГБУЗ РБ Красноусольская ЦРБ</t>
  </si>
  <si>
    <t>021104</t>
  </si>
  <si>
    <t>ГБУЗ РБ Мелеузовская ЦРБ</t>
  </si>
  <si>
    <t>021102</t>
  </si>
  <si>
    <t>ГБУЗ РБ Мраковская ЦРБ</t>
  </si>
  <si>
    <t>021606</t>
  </si>
  <si>
    <t>ГБУЗ РБ Стерлибашевская ЦРБ</t>
  </si>
  <si>
    <t>021607</t>
  </si>
  <si>
    <t>ГБУЗ РБ Толбазинская ЦРБ</t>
  </si>
  <si>
    <t>021405</t>
  </si>
  <si>
    <t>ГБУЗ РБ Федоровская ЦРБ</t>
  </si>
  <si>
    <t>021401</t>
  </si>
  <si>
    <t>ООО "Медсервис" г.Салават</t>
  </si>
  <si>
    <t>028004</t>
  </si>
  <si>
    <t>ГБУЗ РБ Бакалинская ЦРБ</t>
  </si>
  <si>
    <t>023002</t>
  </si>
  <si>
    <t>ГБУЗ РБ Белебеевская ЦРБ</t>
  </si>
  <si>
    <t>023005</t>
  </si>
  <si>
    <t>ГБУЗ РБ Бижбулякская ЦРБ</t>
  </si>
  <si>
    <t>022002</t>
  </si>
  <si>
    <t>ГБУЗ РБ Буздякская ЦРБ</t>
  </si>
  <si>
    <t>028002</t>
  </si>
  <si>
    <t>ГБУЗ РБ Верхнеяркеевская ЦРБ</t>
  </si>
  <si>
    <t>021002</t>
  </si>
  <si>
    <t>ГБУЗ РБ Давлекановская ЦРБ</t>
  </si>
  <si>
    <t>023006</t>
  </si>
  <si>
    <t>ГБУЗ РБ Ермекеевская ЦРБ</t>
  </si>
  <si>
    <t>021001</t>
  </si>
  <si>
    <t>ГБУЗ РБ Миякинская ЦРБ</t>
  </si>
  <si>
    <t>021003</t>
  </si>
  <si>
    <t>ГБУЗ РБ Раевская ЦРБ</t>
  </si>
  <si>
    <t>021701</t>
  </si>
  <si>
    <t>ГБУЗ РБ Туймазинская ЦРБ</t>
  </si>
  <si>
    <t>027002</t>
  </si>
  <si>
    <t>ГБУЗ РБ Чекмагушевская ЦРБ</t>
  </si>
  <si>
    <t>021706</t>
  </si>
  <si>
    <t>ГБУЗ РБ Шаранская ЦРБ</t>
  </si>
  <si>
    <t>022003</t>
  </si>
  <si>
    <t>ГБУЗ РБ Языковская ЦРБ</t>
  </si>
  <si>
    <t>021322</t>
  </si>
  <si>
    <t>ООО "ОСЦ"</t>
  </si>
  <si>
    <t>029179</t>
  </si>
  <si>
    <t>ГАУЗ РБ Санаторий "Дуслык" г.Уфа</t>
  </si>
  <si>
    <t>021110</t>
  </si>
  <si>
    <t>ГБУЗ РБ Детская поликлиника №2 г.Уфа</t>
  </si>
  <si>
    <t>021100</t>
  </si>
  <si>
    <t>ГБУЗ РБ Детская поликлиника №3 г.Уфа</t>
  </si>
  <si>
    <t>027000</t>
  </si>
  <si>
    <t>ГБУЗ РБ Детская поликлиника  №4 г.Уфа</t>
  </si>
  <si>
    <t>021120</t>
  </si>
  <si>
    <t>ГБУЗ РБ Детская поликлиника №5 г.Уфа</t>
  </si>
  <si>
    <t>021130</t>
  </si>
  <si>
    <t>ГБУЗ РБ Детская поликлиника №6 г.Уфа</t>
  </si>
  <si>
    <t>021140</t>
  </si>
  <si>
    <t>ГАУЗ РБ Детская стоматологическая поликлиника №3 г.Уфа</t>
  </si>
  <si>
    <t>021150</t>
  </si>
  <si>
    <t>ГБУЗ РБ Детская стоматологическая поликлиника  №7 г.Уфа</t>
  </si>
  <si>
    <t>029100</t>
  </si>
  <si>
    <t>ГБУЗ РБ Поликлиника №43 г.Уфа</t>
  </si>
  <si>
    <t>029300</t>
  </si>
  <si>
    <t>ГБУЗ РБ Поликлиника №46 г.Уфа</t>
  </si>
  <si>
    <t>029700</t>
  </si>
  <si>
    <t>ГБУЗ РБ Поликлиника №50 г.Уфа</t>
  </si>
  <si>
    <t>021040</t>
  </si>
  <si>
    <t>ГБУЗ РБ Стоматологическая поликлиника №1 г.Уфа</t>
  </si>
  <si>
    <t>021050</t>
  </si>
  <si>
    <t>ГБУЗ РБ Стоматологическая поликлиника №2 г.Уфа</t>
  </si>
  <si>
    <t>021060</t>
  </si>
  <si>
    <t>ГБУЗ РБ Стоматологическая поликлиника №4 г.Уфа</t>
  </si>
  <si>
    <t>021070</t>
  </si>
  <si>
    <t>ГБУЗ РБ Стоматологическая поликлиника №5 г.Уфа</t>
  </si>
  <si>
    <t>021080</t>
  </si>
  <si>
    <t>ГБУЗ РБ Стоматологическая поликлиника №6 г.Уфа</t>
  </si>
  <si>
    <t>021160</t>
  </si>
  <si>
    <t>ГАУЗ РБ Стоматологическая поликлиника №8 г.Уфа</t>
  </si>
  <si>
    <t>021310</t>
  </si>
  <si>
    <t>ГАУЗ РБ Стоматологическая поликлиника №9 г.Уфа</t>
  </si>
  <si>
    <t>029400</t>
  </si>
  <si>
    <t>ГБУЗ РБ ГКБ Демского района г.Уфы</t>
  </si>
  <si>
    <t>023500</t>
  </si>
  <si>
    <t>ГБУЗ РБ ГКБ №5 г.Уфа</t>
  </si>
  <si>
    <t>021800</t>
  </si>
  <si>
    <t>ГБУЗ РБ ГКБ №8 г.Уфа</t>
  </si>
  <si>
    <t>024200</t>
  </si>
  <si>
    <t>ГБУЗ РБ ГКБ №9 г.Уфа</t>
  </si>
  <si>
    <t>022300</t>
  </si>
  <si>
    <t>ГБУЗ РБ ГКБ №13 г.Уфа</t>
  </si>
  <si>
    <t>021200</t>
  </si>
  <si>
    <t>ГБУЗ РБ ГДКБ №17 г.Уфа</t>
  </si>
  <si>
    <t>028000</t>
  </si>
  <si>
    <t>ГБУЗ РБ ГКБ №18 г.Уфы</t>
  </si>
  <si>
    <t>023200</t>
  </si>
  <si>
    <t>ГБУЗ РБ ГКПЦ г.Уфы</t>
  </si>
  <si>
    <t>ГБУЗ РБ ЦСМП и МК</t>
  </si>
  <si>
    <t>022800</t>
  </si>
  <si>
    <t>ФГБОУ ВО БГМУ Минздрава России всего, в том числе: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</si>
  <si>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</si>
  <si>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(стоматология)</t>
  </si>
  <si>
    <t>ФГБОУ ВО БГМУ Минздрава России (офтальмология для отдельных структурных подразделений)</t>
  </si>
  <si>
    <t>025000</t>
  </si>
  <si>
    <t>ФКУЗ "МСЧ МВД России по Республике Башкортостан"</t>
  </si>
  <si>
    <t>020171</t>
  </si>
  <si>
    <t>УФИЦ РАН</t>
  </si>
  <si>
    <t>022117</t>
  </si>
  <si>
    <t>ЧУЗ "КБ "РЖД-Медицина"г.Уфа</t>
  </si>
  <si>
    <t>022204</t>
  </si>
  <si>
    <t>ГБУЗ РБ Архангельская ЦРБ</t>
  </si>
  <si>
    <t>026005</t>
  </si>
  <si>
    <t>ГБУЗ РБ Белокатайская ЦРБ</t>
  </si>
  <si>
    <t>022202</t>
  </si>
  <si>
    <t>ГБУЗ РБ Благовещенская ЦРБ</t>
  </si>
  <si>
    <t>026002</t>
  </si>
  <si>
    <t>ГБУЗ РБ Большеустьикинская ЦРБ</t>
  </si>
  <si>
    <t>022201</t>
  </si>
  <si>
    <t>ГБУЗ РБ Иглинская ЦРБ</t>
  </si>
  <si>
    <t>022205</t>
  </si>
  <si>
    <t>ГБУЗ РБ Кармаскалинская ЦРБ</t>
  </si>
  <si>
    <t>026004</t>
  </si>
  <si>
    <t>ГБУЗ РБ Кигинская ЦРБ</t>
  </si>
  <si>
    <t>022208</t>
  </si>
  <si>
    <t>ГБУЗ РБ Кушнаренковская ЦРБ</t>
  </si>
  <si>
    <t>026003</t>
  </si>
  <si>
    <t>ГБУЗ РБ Малоязовская ЦРБ</t>
  </si>
  <si>
    <t>022203</t>
  </si>
  <si>
    <t>ГБУЗ РБ Нуримановская ЦРБ</t>
  </si>
  <si>
    <t>022000</t>
  </si>
  <si>
    <t>ГБУЗ РБ Чишминская ЦРБ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</si>
  <si>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</si>
  <si>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</si>
  <si>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</si>
  <si>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</si>
  <si>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</si>
  <si>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</si>
  <si>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</si>
  <si>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</si>
  <si>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</si>
  <si>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</si>
  <si>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</si>
  <si>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</si>
  <si>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</si>
  <si>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</si>
  <si>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</si>
  <si>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</si>
  <si>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</si>
  <si>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</si>
  <si>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</si>
  <si>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</si>
  <si>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</si>
  <si>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</si>
  <si>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</si>
  <si>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ООО "Медси-Уфа"</t>
  </si>
  <si>
    <t>020172</t>
  </si>
  <si>
    <t>ООО "МЦ МЕГИ"</t>
  </si>
  <si>
    <t>020066</t>
  </si>
  <si>
    <t xml:space="preserve">АО "Санаторий "Зеленая роща" </t>
  </si>
  <si>
    <t>020170</t>
  </si>
  <si>
    <t>ООО "Клиника Фомина Уфа"</t>
  </si>
  <si>
    <t>020161</t>
  </si>
  <si>
    <t>ООО "Экома"</t>
  </si>
  <si>
    <t>020248</t>
  </si>
  <si>
    <t>ООО "Клиника эстетической медицины "Юхелф"</t>
  </si>
  <si>
    <t>022120</t>
  </si>
  <si>
    <t>ГБУЗ РКБ им. Г.Г.Куватова</t>
  </si>
  <si>
    <t>022100</t>
  </si>
  <si>
    <t>ГАУЗ РКОД Минздрава РБ</t>
  </si>
  <si>
    <t>022130</t>
  </si>
  <si>
    <t>ГБУЗ РКЦ</t>
  </si>
  <si>
    <t>022113</t>
  </si>
  <si>
    <t>ГБУЗ РДКБ</t>
  </si>
  <si>
    <t xml:space="preserve">022112 </t>
  </si>
  <si>
    <t xml:space="preserve">ГБУЗ РКВД </t>
  </si>
  <si>
    <t>026000</t>
  </si>
  <si>
    <t>ГБУЗ РКПЦ МЗ РБ</t>
  </si>
  <si>
    <t>022132</t>
  </si>
  <si>
    <t>ГБУЗ РМГЦ</t>
  </si>
  <si>
    <t>022124</t>
  </si>
  <si>
    <t>ГБУЗ РВФД</t>
  </si>
  <si>
    <t>022220</t>
  </si>
  <si>
    <t>022400</t>
  </si>
  <si>
    <t>ГБУЗ РБ КБСМП г.Уфа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</si>
  <si>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</si>
  <si>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</si>
  <si>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</si>
  <si>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</si>
  <si>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</si>
  <si>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</si>
  <si>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</si>
  <si>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020005</t>
  </si>
  <si>
    <t>ГБУЗ РКНД Минздрава РБ</t>
  </si>
  <si>
    <t>020006</t>
  </si>
  <si>
    <t>ГБУЗ РКПЦ Минздрава РБ</t>
  </si>
  <si>
    <t>020007</t>
  </si>
  <si>
    <t>ГБУЗ РКФПЦ  (противотуберкулезный)</t>
  </si>
  <si>
    <t>020164</t>
  </si>
  <si>
    <t>ГАУЗ РПНС Акбузат</t>
  </si>
  <si>
    <t>020051</t>
  </si>
  <si>
    <t>АНМО "Уфимский хоспис"</t>
  </si>
  <si>
    <t>020052</t>
  </si>
  <si>
    <t>ГБУЗ РЦПБ СО СПИДОМ И ИЗ</t>
  </si>
  <si>
    <t>020058</t>
  </si>
  <si>
    <t>ООО "ДОКТОР ВЕН"</t>
  </si>
  <si>
    <t>Обращения МО, не имеющих прикрепленное население</t>
  </si>
  <si>
    <t>Плановые объемы исследований и иных медицинских вмешательств, проводимых в рамках углубленной диспансеризации на 2026 год</t>
  </si>
  <si>
    <t>№п/п</t>
  </si>
  <si>
    <t>Наименование МО</t>
  </si>
  <si>
    <t>Исследования и медицинские вмешательства в рамках углубленной диспансеризации (оплата осуществляется за единицу объема медицинской помощи)</t>
  </si>
  <si>
    <t>1 этап углубленной диспансеризации (комплексные посещения)</t>
  </si>
  <si>
    <t>2 этап  углубленной диспансеризации (обращени в связи с заболеваниями)</t>
  </si>
  <si>
    <t>комплексное посещение</t>
  </si>
  <si>
    <t>в том числе услуги
 в объеме:</t>
  </si>
  <si>
    <t>посещение терапевта</t>
  </si>
  <si>
    <t>в том числе услуги
 в объеме :</t>
  </si>
  <si>
    <t>проведение теста с 6 минутной ходьбой *</t>
  </si>
  <si>
    <t>определение концентрации Д-димера в крови*</t>
  </si>
  <si>
    <t>эхокардиография*</t>
  </si>
  <si>
    <t>КТ легких*</t>
  </si>
  <si>
    <t>проведение дуплексного сканирования вен нижних конечностей*</t>
  </si>
  <si>
    <t>Всего, в том числе по МО</t>
  </si>
  <si>
    <t>ГБУЗ РКФПЦ</t>
  </si>
  <si>
    <t>*углубленная диспансеризация включает проведение отдельных диагностических исследований (услуг) в объеме указанного в графах 5,6,8,9,10. Руководитель медицинской организации обязан обеспечить в полном объеме проведение углубленной диспансеризации, в том числе путем заключения договоров с другими медицинскими организациями на оказание диагностических услуг (в случае отсутствия специального оборудования, лицензии и др.).</t>
  </si>
  <si>
    <t>Плановые объемы диспансеризации для оценки репродуктивного здоровья женщин и мужчин на 2026 год</t>
  </si>
  <si>
    <t>Реестровый номер МО</t>
  </si>
  <si>
    <t>1 этап - комплексные посещения</t>
  </si>
  <si>
    <t>2 этап - обращени в связи с заболеванием и исследования</t>
  </si>
  <si>
    <t>женщины</t>
  </si>
  <si>
    <t>мужчины</t>
  </si>
  <si>
    <t xml:space="preserve">возраст
 18-29 </t>
  </si>
  <si>
    <t xml:space="preserve">возраст 
30-49 </t>
  </si>
  <si>
    <t xml:space="preserve">всего, прием (осмотр) врачом акушером-гинекологом </t>
  </si>
  <si>
    <t xml:space="preserve">возраст 
18-29 </t>
  </si>
  <si>
    <t xml:space="preserve">УЗИ органов малого таза </t>
  </si>
  <si>
    <t xml:space="preserve">УЗИ молочных желез </t>
  </si>
  <si>
    <t>исследование мазков методом ПЦР для женщин в возрасте 30-49 лет</t>
  </si>
  <si>
    <t>прием (осмотр) врачом-урологом (при его отсутствии врачом-хирургом)</t>
  </si>
  <si>
    <t xml:space="preserve">УЗИ предстательной железы и органов мошонки </t>
  </si>
  <si>
    <t xml:space="preserve">микроскопическое исследование микрофлоры или проведение лабораторных исследований методом ПЦР </t>
  </si>
  <si>
    <t xml:space="preserve">спермограмма
</t>
  </si>
  <si>
    <t>ГБУЗ РБ МИЯКИНСКАЯ ЦРБ</t>
  </si>
  <si>
    <t>ГБУЗ РБ ДАВЛЕКАНОВСКАЯ ЦРБ</t>
  </si>
  <si>
    <t>ГБУЗ РБ РАЕВСКАЯ ЦРБ</t>
  </si>
  <si>
    <t>ГБУЗ РБ МРАКОВСКАЯ ЦРБ</t>
  </si>
  <si>
    <t>ГБУЗ РБ МЕЛЕУЗОВСКАЯ ЦРБ</t>
  </si>
  <si>
    <t>ГБУЗ РБ ИСЯНГУЛОВСКАЯ ЦРБ</t>
  </si>
  <si>
    <t>ГБУЗ РБ ГБ Г.КУМЕРТАУ</t>
  </si>
  <si>
    <t>ГБУЗ РБ ГБ Г.НЕФТЕКАМСК</t>
  </si>
  <si>
    <t>ГБУЗ РБ КРАСНОКАМСКАЯ ЦРБ</t>
  </si>
  <si>
    <t>ГБУЗ РБ КАЛТАСИНСКАЯ ЦРБ</t>
  </si>
  <si>
    <t>ГБУЗ РБ ГБ №1 Г. ОКТЯБРЬСКИЙ</t>
  </si>
  <si>
    <t>ООО "МЕДСЕРВИС"</t>
  </si>
  <si>
    <t>ГБУЗ РБ ФЕДОРОВСКАЯ ЦРБ</t>
  </si>
  <si>
    <t>ГБУЗ РБ ГБ Г.САЛАВАТ</t>
  </si>
  <si>
    <t>ГБУЗ РБ АКЪЯРСКАЯ ЦРБ</t>
  </si>
  <si>
    <t>ГБУЗ РБ ЦГБ Г.СИБАЙ</t>
  </si>
  <si>
    <t>ГБУЗ РБ ГКБ №1 Г.СТЕРЛИТАМАК</t>
  </si>
  <si>
    <t>ГБУЗ РБ КРАСНОУСОЛЬСКАЯ ЦРБ</t>
  </si>
  <si>
    <t>ГБУЗ РБ СТЕРЛИБАШЕВСКАЯ ЦРБ</t>
  </si>
  <si>
    <t>ГБУЗ РБ ТОЛБАЗИНСКАЯ ЦРБ</t>
  </si>
  <si>
    <t>ГБУЗ РБ ТУЙМАЗИНСКАЯ ЦРБ</t>
  </si>
  <si>
    <t>ГБУЗ РБ ШАРАНСКАЯ ЦРБ</t>
  </si>
  <si>
    <t>ГБУЗ РБ ГКБ №8 Г.УФА</t>
  </si>
  <si>
    <t>ГАУЗ РБ УЧАЛИНСКАЯ ЦРБ</t>
  </si>
  <si>
    <t>ГБУЗ РБ ЧИШМИНСКАЯ ЦРБ</t>
  </si>
  <si>
    <t>ГБУЗ РБ БАЙМАКСКАЯ ЦРБ</t>
  </si>
  <si>
    <t>ГБУЗ РБ БУЗДЯКСКАЯ ЦРБ</t>
  </si>
  <si>
    <t>ГБУЗ РБ ЯЗЫКОВСКАЯ ЦРБ</t>
  </si>
  <si>
    <t>ГБУЗ РБ ЗИЛАИРСКАЯ ЦРБ</t>
  </si>
  <si>
    <t>ГБУЗ РБ ВЕРХНЕ-ТАТЫШЛИНСКАЯ ЦРБ</t>
  </si>
  <si>
    <t>ГБУЗ РБ БАЛТАЧЕВСКАЯ ЦРБ</t>
  </si>
  <si>
    <t>ГБУЗ РБ ЯНАУЛЬСКАЯ ЦРБ</t>
  </si>
  <si>
    <t>ЧУЗ "КБ "РЖД-Медицина" г. Уфа</t>
  </si>
  <si>
    <t>ГБУЗ РБ ИГЛИНСКАЯ ЦРБ</t>
  </si>
  <si>
    <t>ГБУЗ РБ БЛАГОВЕЩЕНСКАЯ ЦРБ</t>
  </si>
  <si>
    <t>ГБУЗ РБ НУРИМАНОВСКАЯ ЦРБ</t>
  </si>
  <si>
    <t>ГБУЗ РБ АРХАНГЕЛЬСКАЯ ЦРБ</t>
  </si>
  <si>
    <t>ГБУЗ РБ КАРМАСКАЛИНСКАЯ ЦРБ</t>
  </si>
  <si>
    <t>ГБУЗ РБ КУШНАРЕНКОВСКАЯ ЦРБ</t>
  </si>
  <si>
    <t>ГБУЗ РБ ГКБ №13 Г.УФА</t>
  </si>
  <si>
    <t>ГБУЗ РБ БСМП Г.УФА</t>
  </si>
  <si>
    <t>ФГБОУ ВО БГМУ МИНЗДРАВА РОССИИ</t>
  </si>
  <si>
    <t>ГБУЗ РБ БЕЛЕБЕЕВСКАЯ ЦРБ</t>
  </si>
  <si>
    <t>ГБУЗ РБ БИЖБУЛЯКСКАЯ ЦРБ</t>
  </si>
  <si>
    <t>ГБУЗ РБ ЕРМЕКЕЕВСКАЯ ЦРБ</t>
  </si>
  <si>
    <t>ГБУЗ РБ ГКБ №5 Г.УФЫ</t>
  </si>
  <si>
    <t>ГБУЗ РБ АСКАРОВСКАЯ ЦРБ</t>
  </si>
  <si>
    <t>ГБУЗ РБ БУРЗЯНСКАЯ ЦРБ</t>
  </si>
  <si>
    <t>ГБУЗ РБ БЕЛОРЕЦКАЯ ЦРКБ</t>
  </si>
  <si>
    <t>ФГБУЗ МСЧ №142 ФМБА РОССИИ</t>
  </si>
  <si>
    <t>ГБУЗ РБ ГКБ №9 Г.УФЫ</t>
  </si>
  <si>
    <t>ГБУЗ РБ БИРСКАЯ ЦРБ</t>
  </si>
  <si>
    <t>ГБУЗ РБ МИШКИНСКАЯ ЦРБ</t>
  </si>
  <si>
    <t>ГБУЗ РБ КАРАИДЕЛЬСКАЯ ЦРБ</t>
  </si>
  <si>
    <t>ГБУЗ РБ АСКИНСКАЯ ЦРБ</t>
  </si>
  <si>
    <t>ГБУЗ РБ БУРАЕВСКАЯ ЦРБ</t>
  </si>
  <si>
    <t>ГБУЗ РБ МЕСЯГУТОВСКАЯ ЦРБ</t>
  </si>
  <si>
    <t>ГБУЗ РБ БОЛЬШЕУСТЬИКИНСКАЯ ЦРБ</t>
  </si>
  <si>
    <t>ГБУЗ РБ МАЛОЯЗОВСКАЯ ЦРБ</t>
  </si>
  <si>
    <t>ГБУЗ РБ КИГИНСКАЯ ЦРБ</t>
  </si>
  <si>
    <t>ГБУЗ РБ БЕЛОКАТАЙСКАЯ ЦРБ</t>
  </si>
  <si>
    <t>ГБУЗ РБ ДЮРТЮЛИНСКАЯ ЦРБ</t>
  </si>
  <si>
    <t>ГБУЗ РБ ЧЕКМАГУШЕВСКАЯ ЦРБ</t>
  </si>
  <si>
    <t>ГБУЗ РБ ГКБ №18 Г.УФА</t>
  </si>
  <si>
    <t>ГБУЗ РБ ВЕРХНЕЯРКЕЕВСКАЯ ЦРБ</t>
  </si>
  <si>
    <t>ГБУЗ РБ БАКАЛИНСКАЯ ЦРБ</t>
  </si>
  <si>
    <t>ГБУЗ РБ ИШИМБАЙСКАЯ ЦРБ</t>
  </si>
  <si>
    <t>ГБУЗ РБ ПОЛИКЛИНИКА №43 Г. УФА</t>
  </si>
  <si>
    <t>ГБУЗ РБ ПОЛИКЛИНИКА №46 Г.УФА</t>
  </si>
  <si>
    <t>ГБУЗ РБ ГКБ ДЕМСКОГО РАЙОНА Г.УФА</t>
  </si>
  <si>
    <t>ГБУЗ РБ ПОЛИКЛИНИКА №50 Г.УФА</t>
  </si>
  <si>
    <t>ИТОГО</t>
  </si>
  <si>
    <t>при нарушениях функций центральной нервной системы</t>
  </si>
  <si>
    <t>при нарушениях функций периферической нервной системы</t>
  </si>
  <si>
    <t>для травматологического профиля</t>
  </si>
  <si>
    <t>при  соматических заболеваниях</t>
  </si>
  <si>
    <t>после перенесенной новой коронавирусной инфекции COVID-19</t>
  </si>
  <si>
    <t>при кардиологических заболеваниях</t>
  </si>
  <si>
    <t>при онкологических заболеваниях</t>
  </si>
  <si>
    <t>для пациентов урологического/гинекологического профиля</t>
  </si>
  <si>
    <t>2 балла  по ШРМ</t>
  </si>
  <si>
    <t>3 балла  по ШРМ</t>
  </si>
  <si>
    <t>2 балла по ШРМ</t>
  </si>
  <si>
    <t>3 балла по ШРМ</t>
  </si>
  <si>
    <t>взрослые</t>
  </si>
  <si>
    <t>дети</t>
  </si>
  <si>
    <t>ГБУЗ РБ ГКБ № 18 г. Уфа</t>
  </si>
  <si>
    <t>ГБУЗ РБ ГКБ № 5 г. Уфа</t>
  </si>
  <si>
    <t>ГБУЗ РБ ГКБ № 8 г. Уфа</t>
  </si>
  <si>
    <t>ГБУЗ РБ ГКБ № 13 г. Уфа</t>
  </si>
  <si>
    <t>ГБУЗ РБ КБСМП г. Уфы</t>
  </si>
  <si>
    <t>ГБУЗ РБ Поликлиника № 43 г. Уфа</t>
  </si>
  <si>
    <t>ГБУЗ РБ Поликлиника № 46 г. Уфа</t>
  </si>
  <si>
    <t>ГБУЗ РБ Поликлиника № 50 г. Уфа</t>
  </si>
  <si>
    <t>ГБУЗ РКОД</t>
  </si>
  <si>
    <t>ЧУЗ РЖД Медицина г.Уфа</t>
  </si>
  <si>
    <t>Итого</t>
  </si>
  <si>
    <t>Объемы комплексных посещений при оказании медицинской помощи по профилю "Медицинская реабилитация" на 2026 год в рамках базовой Программы ОМС</t>
  </si>
  <si>
    <t xml:space="preserve">Плановые объемы амбулаторно-поликлинической помощи в части посещений с профилактическими и иными целями  в рамках базовой программы ОМС на 2026 год </t>
  </si>
  <si>
    <t>Посещения с профилактическими и иными целями</t>
  </si>
  <si>
    <t>Итого посещений</t>
  </si>
  <si>
    <t>в  том числе</t>
  </si>
  <si>
    <t>1.Комплексные посещения в рамках проведения профилактических медицинских осмотров</t>
  </si>
  <si>
    <t>2.Комплексные посещения в рамках проведения диспансеризации (1 этап)</t>
  </si>
  <si>
    <t>3.Комплексные посещения по диспансеризация для оценки репродуктивного здоровья женщин и мужчин (1 этап)</t>
  </si>
  <si>
    <t>4.Посещения с иными целями</t>
  </si>
  <si>
    <t>в том числе</t>
  </si>
  <si>
    <t>в том числе по месту работы или учебы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</si>
  <si>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</si>
  <si>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</si>
  <si>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наблюдения, всего</t>
  </si>
  <si>
    <t xml:space="preserve">Профилактический медосмотр несовершеннолетних </t>
  </si>
  <si>
    <t xml:space="preserve">Посещения для проведения диспансерного наблюдения (взрослое население  по диагнозам, не вошедшим в приказы Минздрава России от 15.03.2022 № 168н, от 04.06.2020 №548н, посещения для исполнения целевого показателя по БСК, а также диспансерного наблюдения по заболеваниям, мониторируемым по инциденту 9)
</t>
  </si>
  <si>
    <t xml:space="preserve"> Разовые посещения в связи с заболеванием</t>
  </si>
  <si>
    <t xml:space="preserve"> Посещения медицинских работников, имеющих среднее медицинское образование, ведущих самостоятельный прием</t>
  </si>
  <si>
    <t xml:space="preserve"> Посещения с другими целями (патронаж, выдача справок и иных медицинских документов и др.)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</si>
  <si>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</si>
  <si>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</si>
  <si>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ГБУЗ РБ ГКБ №9 г.Уфы</t>
  </si>
  <si>
    <t xml:space="preserve">ГБУЗ РКФПЦ </t>
  </si>
  <si>
    <t xml:space="preserve"> Диспансеризация определенных групп взрослого населения, всего</t>
  </si>
  <si>
    <t xml:space="preserve">Плановые объемы амбулаторно-поликлинической помощи в части профилактических посещений для проведения диспансерного наблюдения на 2026 год </t>
  </si>
  <si>
    <t xml:space="preserve">Посещения с иными целями для проведения диспансерного наблюдения </t>
  </si>
  <si>
    <t>взрослое население  
(по диагнозам, не вошедшим в приказы Минздрава России от 15.03.2022 № 168н, от 04.06.2020 №548н, посещения для исполнения целевого показателя по БСК, 
а также диспансерного наблюдения по заболеваниям, мониторируемым по инциденту 9)</t>
  </si>
  <si>
    <t>Посещения МО, не имеющих прикрепленного населения</t>
  </si>
  <si>
    <t>Посещения МО,  имеющих прикрепленное население</t>
  </si>
  <si>
    <t>финансируемые по реестрам  по профилю "акушерство и гинекология"</t>
  </si>
  <si>
    <t xml:space="preserve">по профилю "стоматология" </t>
  </si>
  <si>
    <t>Всего, в том числе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</si>
  <si>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</si>
  <si>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</si>
  <si>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</si>
  <si>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</si>
  <si>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</si>
  <si>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</si>
  <si>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</si>
  <si>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</si>
  <si>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</si>
  <si>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амбулаторно-поликлинической  помощи в части профилактических посещений по разовым посещениям в связи с заболеванием на 2026 год </t>
  </si>
  <si>
    <t xml:space="preserve">Разовые посещения в связи с заболеванием
</t>
  </si>
  <si>
    <t>Гериатрия</t>
  </si>
  <si>
    <t>Консультативные посещения</t>
  </si>
  <si>
    <t>первичный прием</t>
  </si>
  <si>
    <t>повторная консультация</t>
  </si>
  <si>
    <t>стоматология детская - ортодонтия</t>
  </si>
  <si>
    <t>в том числе  посещение для диспансерного наблюдения пациентов после трансплантации сердца</t>
  </si>
  <si>
    <t xml:space="preserve">Плановые объемы амбулаторно-поликлинической помощи  в части  профилактических посещений  с другими целями (патронаж, выдача справок и иных медицинских документов и др.) на 2026 год </t>
  </si>
  <si>
    <t xml:space="preserve">Профилактические посещения  с другими целями (патронаж, выдача справок и иных медицинских документов и др.) </t>
  </si>
  <si>
    <t>Посещения центров здоровья   для детского населения</t>
  </si>
  <si>
    <t>посещения для проведения комплексного обследования</t>
  </si>
  <si>
    <t xml:space="preserve">посещения для динамического наблюдения </t>
  </si>
  <si>
    <t>ГБУЗ РВФД*</t>
  </si>
  <si>
    <t xml:space="preserve">Плановые объемы амбулаторно-поликлинической помощи в части профилактических посещений  медицинских работников,
 имеющих среднее медицинское образование,ведущих самостоятельный прием на 2026 год </t>
  </si>
  <si>
    <t>Посещения  медицинских работников, имеющих среднее медицинское образование,ведущих самостоятельный прием</t>
  </si>
  <si>
    <t>Компьютерная томография</t>
  </si>
  <si>
    <t>Магнитно-резонансная томография</t>
  </si>
  <si>
    <t>КТ/ПЭТ</t>
  </si>
  <si>
    <t>ОФЭКТ-ОФЭКТ/КТ</t>
  </si>
  <si>
    <t>без К для АЦКТ</t>
  </si>
  <si>
    <t>без К</t>
  </si>
  <si>
    <t>с К</t>
  </si>
  <si>
    <t>с К  и исп. АИ</t>
  </si>
  <si>
    <t>ОФЭКТ</t>
  </si>
  <si>
    <t>ОФЭКТ/КТ</t>
  </si>
  <si>
    <t xml:space="preserve"> УЗИ сердечно-сосудистой системы</t>
  </si>
  <si>
    <t>Эхо-кардиография</t>
  </si>
  <si>
    <t>УЗДС магистральных артерий и вен нижних конечностей</t>
  </si>
  <si>
    <t>Эндоскопические диагностические исследования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</si>
  <si>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</si>
  <si>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Молекулярно-биологические исследования с целью диагностики онкологических заболеваний</t>
  </si>
  <si>
    <t>Гастро-скопия</t>
  </si>
  <si>
    <t>Бронхо-скопия</t>
  </si>
  <si>
    <t>2 категория</t>
  </si>
  <si>
    <t>3 категория</t>
  </si>
  <si>
    <t>4 категория</t>
  </si>
  <si>
    <t>5 категория без ИГХ</t>
  </si>
  <si>
    <t>5 категория с ИГХ</t>
  </si>
  <si>
    <t>Молекулярно-генетические исследования мутаций в гене EGFR в биопсийном (операционном) материале</t>
  </si>
  <si>
    <t>Молекулярно-генетические исследования мутаций в гене BRAF в биопсийном (операционном) материале</t>
  </si>
  <si>
    <t>Молекулярно-генетические исследования мутаций в гене KRAS в биопсийном (операционном) материале</t>
  </si>
  <si>
    <t>Молекулярно-генетические исследования мутаций в гене NRAS в биопсийном (операционном) материале</t>
  </si>
  <si>
    <t>Молекулярно-генетические исследования мутаций в гене BRCA1/2 в биопсийном (операционном) материале</t>
  </si>
  <si>
    <t>Исследования с применением молекулярно-генетических методов in situ гибридизации FISH</t>
  </si>
  <si>
    <t>Иные**
( молекулярно-генетические исследования мутаций в гене MSI, IDH 1/ 2, TP53, MGMT (метил-е), MLH1 (метил-е), стандартные кариотипирование  костного мозга)</t>
  </si>
  <si>
    <t>Секвени-рование NGS</t>
  </si>
  <si>
    <t>Колоноскопия</t>
  </si>
  <si>
    <t>Колоно-скопия</t>
  </si>
  <si>
    <t>Колоно-скопия с наркозом</t>
  </si>
  <si>
    <t>Колоно-скопия с полип-эктомией</t>
  </si>
  <si>
    <t>Школа для больных с хроническими заболеваниями, школа для беременных и по вопросам грудного вскармливания</t>
  </si>
  <si>
    <t>В том числе школа для больных  сахарным диабетом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</si>
  <si>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</si>
  <si>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</si>
  <si>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</si>
  <si>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</si>
  <si>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</si>
  <si>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</si>
  <si>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Объемы </t>
  </si>
  <si>
    <t>в том числе на травматологические пункты:</t>
  </si>
  <si>
    <t>по профилю                         "травматология и ортопедия"</t>
  </si>
  <si>
    <t>по профилю             "офтальмология"</t>
  </si>
  <si>
    <t>020083</t>
  </si>
  <si>
    <t>АО санаторий "Юматово"</t>
  </si>
  <si>
    <t>Всего, в том числе по МО:</t>
  </si>
  <si>
    <t>Ресурсные объемы медицинской помощи</t>
  </si>
  <si>
    <t>Объемы медицинской помощи в амбулаторно-поликлинических условиях в неотложной форме на 2026 год.</t>
  </si>
  <si>
    <t xml:space="preserve">Объемы отдельных диагностических исследований, оказываемых в амбулаторно-поликлинических условиях на 2026 год        </t>
  </si>
  <si>
    <t>ГБУЗ РБ Детская поликлиника №4 г.Уфа</t>
  </si>
  <si>
    <t>УЗДС 
брахиоцефальных артерий</t>
  </si>
  <si>
    <t>Эхокардиография с физической нагрузкой</t>
  </si>
  <si>
    <t>№ пп</t>
  </si>
  <si>
    <t>Наименование медицинской организации, код (подразделения, отделения)</t>
  </si>
  <si>
    <t>Уровень МО</t>
  </si>
  <si>
    <t>Всего в рамках базовой программы ОМС (КСГ+ВМП)</t>
  </si>
  <si>
    <t>профиль "Медицинская реабилитация"</t>
  </si>
  <si>
    <t>КСГ с онкологическими заболеваниями</t>
  </si>
  <si>
    <t xml:space="preserve">КСГ по COVID-19 </t>
  </si>
  <si>
    <t>Имплантация частотно-адаптированного кардиостимулятора взрослым (st.25.022)</t>
  </si>
  <si>
    <t>профиль "Онкология"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</si>
  <si>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</si>
  <si>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</si>
  <si>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</si>
  <si>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по КСГ</t>
  </si>
  <si>
    <t>по МКБ</t>
  </si>
  <si>
    <t>1 А</t>
  </si>
  <si>
    <t>2 А</t>
  </si>
  <si>
    <t>2 Б</t>
  </si>
  <si>
    <t xml:space="preserve">ГБУЗ РБ ГКБ Демского района г.Уфы </t>
  </si>
  <si>
    <t xml:space="preserve">ЧУЗ "КБ "РЖД-Медицина" г. Уфа" </t>
  </si>
  <si>
    <t xml:space="preserve">ГБУЗ РБ ГКБ N 5 г. Уфа </t>
  </si>
  <si>
    <t>2В</t>
  </si>
  <si>
    <t xml:space="preserve">ООО "Октябрьский сосудистый центр" </t>
  </si>
  <si>
    <t>3А</t>
  </si>
  <si>
    <t>отделения уровня</t>
  </si>
  <si>
    <t>1А</t>
  </si>
  <si>
    <t>3 А</t>
  </si>
  <si>
    <t xml:space="preserve">ООО "Медсервис" (г. Салават) </t>
  </si>
  <si>
    <t xml:space="preserve">ГБУЗ РБ ГБ г. Кумертау </t>
  </si>
  <si>
    <t xml:space="preserve">3 А </t>
  </si>
  <si>
    <t xml:space="preserve">ГБУЗ РБ ГБ N 1 г. Октябрьский </t>
  </si>
  <si>
    <t>ГБУЗ РБ ГБ г. Нефтекамск</t>
  </si>
  <si>
    <t xml:space="preserve">ГБУЗ РБ ГБ г. Салават </t>
  </si>
  <si>
    <t>ГБУЗ РБ ГКБ № 1 г. Стерлитамак</t>
  </si>
  <si>
    <t xml:space="preserve">ГБУЗ РБ ГКБ N 8 г. Уфа </t>
  </si>
  <si>
    <t xml:space="preserve">ГБУЗ РБ ЦГБг. Сибай </t>
  </si>
  <si>
    <t xml:space="preserve">ГАУЗ РКОД МЗ РБ </t>
  </si>
  <si>
    <t>3 Б</t>
  </si>
  <si>
    <t xml:space="preserve">ГБУЗ РКЦ </t>
  </si>
  <si>
    <t>3Б</t>
  </si>
  <si>
    <t xml:space="preserve">ГБУЗ РКПЦ МЗ РБ </t>
  </si>
  <si>
    <t xml:space="preserve">ГБУЗ РБ КБСМП г. Уфа </t>
  </si>
  <si>
    <t xml:space="preserve">ГБУЗ РБ ГДКБ N 17 г. Уфа </t>
  </si>
  <si>
    <t>ГБУЗ РБ ГКБ № 18 г. Уфы</t>
  </si>
  <si>
    <t xml:space="preserve">ООО "МД Проект 2010" </t>
  </si>
  <si>
    <t>3 В</t>
  </si>
  <si>
    <t>3 Г</t>
  </si>
  <si>
    <t>Объемы медицинской помощи за пределами РБ</t>
  </si>
  <si>
    <t>В рамках базовой программы ОМС (КСГ) , без ВМП,МР</t>
  </si>
  <si>
    <t>Объемы оказания медицинской помощи в условиях круглосуточного стационара на 2026 год.</t>
  </si>
  <si>
    <t xml:space="preserve">Приложение 1 к Протоколу </t>
  </si>
  <si>
    <t>заседания Комиссии по разработке</t>
  </si>
  <si>
    <t>территориальной программы ОМС в РБ</t>
  </si>
  <si>
    <t>КСГ (за исключением КСГ с онкологическими заболеваниями, COVID-19, ССХ)</t>
  </si>
  <si>
    <t>№ группы ВМП</t>
  </si>
  <si>
    <t>ГАУЗ РКОД МЗ РБ</t>
  </si>
  <si>
    <t xml:space="preserve">ГБУЗ РДКБ </t>
  </si>
  <si>
    <t>ГБУЗ РБ ГДКБ № 17 г. Уфа</t>
  </si>
  <si>
    <t>ГБУЗ РБ ГКБ №8  г.Уфа</t>
  </si>
  <si>
    <t>ГБУЗ РБ ГКБ №1  г.Стерлитамак</t>
  </si>
  <si>
    <t>ГБУЗ РБ ГБ  г.Кумертау</t>
  </si>
  <si>
    <t>ГБУЗ РБ ГБ  г.Нефтекамск</t>
  </si>
  <si>
    <t>ГБУЗ РБ ГБ  Белорецкая ЦРКБ</t>
  </si>
  <si>
    <t>ГБУЗ ЦГБ г.Сибай</t>
  </si>
  <si>
    <t>ООО "МД-Проект 2010"</t>
  </si>
  <si>
    <t>ИТОГО по МО</t>
  </si>
  <si>
    <t>МТР</t>
  </si>
  <si>
    <t>ИТОГО с МТР</t>
  </si>
  <si>
    <t xml:space="preserve">Количество случаев  госпитализации </t>
  </si>
  <si>
    <t xml:space="preserve">Акушерство и гинекология </t>
  </si>
  <si>
    <t xml:space="preserve">Гастроэнтерология </t>
  </si>
  <si>
    <t xml:space="preserve">Гематология </t>
  </si>
  <si>
    <t xml:space="preserve">Детская хирургия в период новорожденности </t>
  </si>
  <si>
    <t xml:space="preserve">Дерматовенерология </t>
  </si>
  <si>
    <t xml:space="preserve">Комбустиология </t>
  </si>
  <si>
    <t xml:space="preserve">Нейрохирургия </t>
  </si>
  <si>
    <t xml:space="preserve">Неонатология </t>
  </si>
  <si>
    <t xml:space="preserve">Онкология </t>
  </si>
  <si>
    <t xml:space="preserve">Оториноларингология </t>
  </si>
  <si>
    <t xml:space="preserve">Офтальмология </t>
  </si>
  <si>
    <t xml:space="preserve">Педиатрия </t>
  </si>
  <si>
    <t>Ревматология</t>
  </si>
  <si>
    <t xml:space="preserve">Сердечно-сосудистая хирургия </t>
  </si>
  <si>
    <t xml:space="preserve">Торакальная хирургия </t>
  </si>
  <si>
    <t xml:space="preserve">Травматология и ортопедия </t>
  </si>
  <si>
    <t xml:space="preserve">Урология </t>
  </si>
  <si>
    <t>Хирургия</t>
  </si>
  <si>
    <t xml:space="preserve">Челюстно-лицевая хирургия </t>
  </si>
  <si>
    <t xml:space="preserve">Эндокринология </t>
  </si>
  <si>
    <t>Объем, перечень видов ВМП, финансовое обеспечение которых осуществляется за счет средств ОМС, установленные Комиссией на 2026 год</t>
  </si>
  <si>
    <t xml:space="preserve">по профилю "акушерство и гинекология" </t>
  </si>
  <si>
    <t xml:space="preserve">по подушевому нормативу финансирования на прикрепившихся лиц </t>
  </si>
  <si>
    <t xml:space="preserve">Плановые объемы по  программе ОМС на 2026 год специализированной медицинской помощи в условиях дневного стационара. </t>
  </si>
  <si>
    <t>ВМП  профиль "онкология"</t>
  </si>
  <si>
    <t>профиль "медицинская реабилитация"</t>
  </si>
  <si>
    <t>профиль "онкология"</t>
  </si>
  <si>
    <t>КСГ для случаев проведения ЭКО</t>
  </si>
  <si>
    <t>Объем, перечень видов ВМП, финансовое обеспечение которых осуществляется за счет средств ОМС, установленные Комиссией по дневному стационару на 2026 год.</t>
  </si>
  <si>
    <t>Объемы сеансов (услуг) заместительной почечной терапии методами гемодиализа и перитонеального диализа на 2026 год.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</si>
  <si>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</si>
  <si>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</si>
  <si>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</si>
  <si>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</si>
  <si>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</si>
  <si>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</si>
  <si>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</si>
  <si>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</si>
  <si>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</si>
  <si>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</si>
  <si>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</si>
  <si>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</si>
  <si>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</si>
  <si>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</si>
  <si>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</si>
  <si>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</si>
  <si>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</si>
  <si>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</si>
  <si>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</si>
  <si>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</si>
  <si>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</si>
  <si>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Прирост регистра пациентов (на 10%)</t>
  </si>
  <si>
    <t>ИТОГО с учетом прироста регистра пациентов на 10%</t>
  </si>
  <si>
    <t>для пациентов с сахарным диабетом</t>
  </si>
  <si>
    <t>для пациентов с артериальной гипертензией</t>
  </si>
  <si>
    <t>в том числе по поводу:</t>
  </si>
  <si>
    <t>из них</t>
  </si>
  <si>
    <t>дети, проживающие в организациях социального обслуживания</t>
  </si>
  <si>
    <t xml:space="preserve"> онкологических заболеваний </t>
  </si>
  <si>
    <t>сахарного диабета</t>
  </si>
  <si>
    <t>болезней системы кровообращения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</si>
  <si>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</si>
  <si>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</si>
  <si>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 xml:space="preserve">отдельные категории граждан из числа взрослого населения </t>
  </si>
  <si>
    <t>ГБУЗ РКПТД</t>
  </si>
  <si>
    <t xml:space="preserve">Объемы по дополнительным видам и условиям оказания медицинской помощи, не установленным базовой программой ОМС на 2026 год.                                                                                          </t>
  </si>
  <si>
    <t>В стационарных условиях</t>
  </si>
  <si>
    <t>В дневном стационаре</t>
  </si>
  <si>
    <t>Объемы комплекса процессных мероприятий «Осуществление медицинской реабилитации и санаторно-курортного лечения, в том числе детей» на 2025 год</t>
  </si>
  <si>
    <t>Объемы комплекса процессных мероприятий «Оказание медицинской помощи населению Республики Башкортостан (кибер-нож)» на 2025 год.</t>
  </si>
  <si>
    <t>-операции с имплантацией референсных маркеров</t>
  </si>
  <si>
    <t>-операции без имплантации референсных маркеров</t>
  </si>
  <si>
    <t>Объемы комплекса процессных мероприятий «Организация медицинской помощи по профилю «Венерология»» на 2026 год.</t>
  </si>
  <si>
    <t>Реестро-вый номер</t>
  </si>
  <si>
    <t>В амбулаторных условиях</t>
  </si>
  <si>
    <t xml:space="preserve">В условиях круглосуточного стационара </t>
  </si>
  <si>
    <t xml:space="preserve">В условиях дневного стационара </t>
  </si>
  <si>
    <t>Обращения в связи с заболеваниями</t>
  </si>
  <si>
    <t>Случаи госпита-лизации</t>
  </si>
  <si>
    <t>Койко-дни</t>
  </si>
  <si>
    <t>Случаи лечения</t>
  </si>
  <si>
    <t>Пациенто-дни</t>
  </si>
  <si>
    <t>Объемы комплекса процессных мероприятий «Оказание паллиативной медицинской помощи,  в том числе на дому» на 2026 год.</t>
  </si>
  <si>
    <t>в амбулаторных условиях</t>
  </si>
  <si>
    <t>в  условиях круглосуточного стационара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</si>
  <si>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</si>
  <si>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</si>
  <si>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Посещения всего</t>
  </si>
  <si>
    <t>Объемы комплекса процессных мероприятий «Организация медицинской помощи по профилю «Наркология»»                                                                                                                                                         на 2026 год.</t>
  </si>
  <si>
    <t>Объемы комплекса процессных мероприятий «Улучшение уровня психологического здоровья населения» на 2026 год.</t>
  </si>
  <si>
    <t xml:space="preserve">Объемы комплекса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</si>
  <si>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 xml:space="preserve">в условиях круглосуточных стационаров </t>
  </si>
  <si>
    <t xml:space="preserve">в условиях дневных стационаров </t>
  </si>
  <si>
    <t>Консультативные посещения (ГБУЗ РКФПЦ )</t>
  </si>
  <si>
    <t>Случаи госпитали-зации</t>
  </si>
  <si>
    <t>ВМП 2026</t>
  </si>
  <si>
    <t xml:space="preserve">План в рамках Приказа МЗ РБ от 14.08.2025  г. № 1581-ТД (2 этап скрининга КРР) </t>
  </si>
  <si>
    <t>План в рамках Приказа МЗ РБ от 14.10.2025 г. № 1844-Д</t>
  </si>
  <si>
    <t xml:space="preserve">Плановые объемы обращений в связи с заболеваниями в амбулаторных условиях по базовой программе ОМС на 2026 год </t>
  </si>
  <si>
    <t>резерв</t>
  </si>
  <si>
    <t>Профиль "Наркология"</t>
  </si>
  <si>
    <t>Медицинская реабилитация</t>
  </si>
  <si>
    <t>Комплексные посещения для диспансерного наблюдения отдельных категорий граждан из числа взрослого населения и детей, проживающих в организациях социального обслуживания (приказ Минздрава России от 15.03.2022 № 168н, от 04.06.2020 № 548н, от 11.04.2025 № 192н)</t>
  </si>
  <si>
    <t>ds18.003 "Формирование, имплантация, удаление, смена доступа для диализа"</t>
  </si>
  <si>
    <t>ds36.012-ds36.013 (иммунизация недоношенных)</t>
  </si>
  <si>
    <t>всего по БП</t>
  </si>
  <si>
    <t>по КСГ без мед.реабил., ВМП, гемод.</t>
  </si>
  <si>
    <t>ООО "МЦ "Агидель"</t>
  </si>
  <si>
    <t>ГБУЗ РБ ГКБ №21 г.Уфы им. В.Г. Сахаутдинова</t>
  </si>
  <si>
    <t>Стентирование коронарных артерий МО (st.25.013-st.25.021)</t>
  </si>
  <si>
    <t>Стентирование коронарных артерий МО (гр.48-50)</t>
  </si>
  <si>
    <t xml:space="preserve">Посещения  по дистанционному наблюдению за состоянием здоровья пациентов </t>
  </si>
  <si>
    <t>посещения МО,  имеющих прикрепленное население</t>
  </si>
  <si>
    <t>комплексные посещения</t>
  </si>
  <si>
    <t>посещения</t>
  </si>
  <si>
    <t>посещения 
(кратность 12,00)</t>
  </si>
  <si>
    <t>посещения (кратность 3,6299)</t>
  </si>
  <si>
    <t>Плановые объемы амбулаторно-поликлинической помощи  по дистанционному наблюдению за состоянием здоровья пациентов на 2026 год.</t>
  </si>
  <si>
    <t xml:space="preserve">Консультация с применением телемедицинских технологий при дистанционном взаимодействий медицинских работников между собой </t>
  </si>
  <si>
    <t>Консультация с применением телемедицинских технологий  при дистационном взаимодействии медицинских работников с пациентами или их законным</t>
  </si>
  <si>
    <t>Школы 
по 4 занятия</t>
  </si>
  <si>
    <t>Школы 
по 5 занятий</t>
  </si>
  <si>
    <t>Другие школы 
(план январь-февраль)</t>
  </si>
  <si>
    <t>1. Школа для пациентов с ишемической болезнью сердца
2. Школа для пациентов с установленным диагнозом фибрилляция предсердий
3. Школа для пациентов с хронической болезнью почек 
4. Школа для пациентов с хроническим гастритом и язвенной болезнью
5. Школа для пациентов с избыточной массой тела и ожирением 
6. Школа для пациентов по здоровому образу жизни 
7. Школа активного долголетия</t>
  </si>
  <si>
    <t xml:space="preserve">1. Школа для больных с артериальной гипертензией
2. Школа для пациентов с сердечной недостаточностью
3. Школа для пациентов с хронической обструктивной болезнью легких
4. Школа для пациентов с бронхиальной астмой </t>
  </si>
  <si>
    <t>Стентирование или эндартерэктомия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</si>
  <si>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</si>
  <si>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Медицинская помощь с риском развития синдрома диабетической стопы  в кабинете "Диабетическая стопа" (комплексные посещения)</t>
  </si>
  <si>
    <t>второй диспансерный прием (повторное посещение) без осмотра (консультации) врачом-диетологом, через 6 месяцев с момента постановки на диспансерное наблюдение</t>
  </si>
  <si>
    <t xml:space="preserve">для раннего выявления предрисков развития нарушения обмена веществ, ожирения и связанных с этим заболеваний </t>
  </si>
  <si>
    <t>по другим профилям, в т.ч. консультации с применением телемедицинских технологий</t>
  </si>
  <si>
    <t xml:space="preserve">Проектные объемы амбулаторно-поликлинической помощи в части комплексных посещений  для проведения диспансерного наблюдения на 2026 год </t>
  </si>
  <si>
    <t>ГБУЗ РБ ГКБ №21 г.Уфа</t>
  </si>
  <si>
    <r>
      <rPr>
        <b/>
        <sz val="7.8"/>
        <color theme="1"/>
        <rFont val="Times New Roman"/>
        <family val="1"/>
        <charset val="204"/>
      </rPr>
      <t>st25.010</t>
    </r>
    <r>
      <rPr>
        <sz val="7.8"/>
        <color theme="1"/>
        <rFont val="Times New Roman"/>
        <family val="1"/>
        <charset val="204"/>
      </rPr>
      <t xml:space="preserve"> (A.16.12.008.004; A.16.12.008.009; A16.12.028.007);                  </t>
    </r>
    <r>
      <rPr>
        <b/>
        <sz val="7.8"/>
        <color theme="1"/>
        <rFont val="Times New Roman"/>
        <family val="1"/>
        <charset val="204"/>
      </rPr>
      <t>st25.011</t>
    </r>
    <r>
      <rPr>
        <sz val="7.8"/>
        <color theme="1"/>
        <rFont val="Times New Roman"/>
        <family val="1"/>
        <charset val="204"/>
      </rPr>
      <t xml:space="preserve"> (A16.12.008; A16.12.008.001; A16.12.008.002; A16.23.034.012);               </t>
    </r>
    <r>
      <rPr>
        <b/>
        <sz val="7.8"/>
        <color theme="1"/>
        <rFont val="Times New Roman"/>
        <family val="1"/>
        <charset val="204"/>
      </rPr>
      <t>st25.023</t>
    </r>
    <r>
      <rPr>
        <sz val="7.8"/>
        <color theme="1"/>
        <rFont val="Times New Roman"/>
        <family val="1"/>
        <charset val="204"/>
      </rPr>
      <t xml:space="preserve"> (A16.12.026.005; A16.12.026.006)</t>
    </r>
  </si>
  <si>
    <t>Плановые объемы комплексных посещений с профилактическими целями центров здоровья для взрослого населения (центров медицины здорового долголетия) на 2026 год</t>
  </si>
  <si>
    <t>Плановые объемы комплексных посещений по центрам здоровья (центрам медицины здорового долголетия)  на 2026 год</t>
  </si>
  <si>
    <t xml:space="preserve"> Центры здоровья</t>
  </si>
  <si>
    <t>Центры медицины здорового долголетия</t>
  </si>
  <si>
    <t>Первичное посещение</t>
  </si>
  <si>
    <t xml:space="preserve">Динамическое наблюдение пациентов с факторами риска развития хронических неинфекционных заболеваний </t>
  </si>
  <si>
    <t xml:space="preserve">Объемы обследований, направленных на выявление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 </t>
  </si>
  <si>
    <t xml:space="preserve">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</t>
  </si>
  <si>
    <t>в том числе по видам диспансерного приема</t>
  </si>
  <si>
    <t>1 этап</t>
  </si>
  <si>
    <t xml:space="preserve"> 2 этап</t>
  </si>
  <si>
    <t>в том числе по программам</t>
  </si>
  <si>
    <t xml:space="preserve">Плановые объемы по школам для больных с хроническими неинфекционными заболеваниями, в том числе с сахарным диабетом, школ для беременных и по вопросам грудного вскармливания, оказываемых в амбулаторно-поликлинических условиях на 2026 год        </t>
  </si>
  <si>
    <t>Госпитализация маломобильных граждан в целях прохождения диспансеризации, первый этап (второй этап при наличии показаний), (st36.049)</t>
  </si>
  <si>
    <t>ds12.022-ds12.028 (вирусные гепатиты С)</t>
  </si>
  <si>
    <t>определение генотипа ВГС и эластометрия печени</t>
  </si>
  <si>
    <t>определение генотипа ВГС и АЛТ, АСТ,тромбоциты в крови</t>
  </si>
  <si>
    <t>4=5+9+14+17</t>
  </si>
  <si>
    <t>ГБУЗ РКГВВ им. М.В. Каменева</t>
  </si>
  <si>
    <t>Школа для беременных и по вопросам грудного вскармливания</t>
  </si>
  <si>
    <t>ГБУЗ РБ Стоматологическая поликлиника №2 г.Уфа всего, в том числе</t>
  </si>
  <si>
    <t>ГБУЗ РБ ГКБ №1 г.Стерлитамак всего, в том числе</t>
  </si>
  <si>
    <t>ГБУЗ РБ ГДКБ №17 г.Уфа всего, в том числе</t>
  </si>
  <si>
    <t>ГБУЗ РБ Стоматологическая поликлиника №6 г.Уфа всего, в том числе</t>
  </si>
  <si>
    <t>ГБУЗ РБ ГКБ №9 г.Уфы всего, в том числе:</t>
  </si>
  <si>
    <t>ГБУЗ РБ ГКБ №1 г.Стерлитамак всего, в том числе:</t>
  </si>
  <si>
    <t>ГБУЗ РБ ГДКБ №17 г.Уфа всего, в том числе:</t>
  </si>
  <si>
    <t>ГБУЗ РБ Стоматологическая поликлиника №2 г.Уфа всего, в том числе:</t>
  </si>
  <si>
    <t>ГБУЗ РБ Стоматологическая поликлиника №6 г.Уфа всего, в том числе:</t>
  </si>
  <si>
    <t>ГБУЗ РБ ГБ 9 г. Уфы всего, в том числе</t>
  </si>
  <si>
    <t>ГБУЗ РБ Детская поликлиника №6 г.Уфа (дети)</t>
  </si>
  <si>
    <t>ГБУЗ РБ ГКБ №9 г.Уфа всего, в том числе</t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</si>
  <si>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</si>
  <si>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</si>
  <si>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</si>
  <si>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</si>
  <si>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№9 г.Уфа</t>
    </r>
  </si>
  <si>
    <t>ГБУЗ РКГВВ</t>
  </si>
  <si>
    <t>ГБУЗ РБ ГКБ №1 г.Стерлитамак
 всего, в том числе</t>
  </si>
  <si>
    <t>ГБУЗ РБ Стоматологическая поликлиника №2 г.Уфа 
всего, в том числе</t>
  </si>
  <si>
    <t>ГБУЗ РБ ГДКБ №17 г.Уфа 
всего, в том числе</t>
  </si>
  <si>
    <t>ГБУЗ РБ ГКБ №9 г.Уфы
всего, в том числе</t>
  </si>
  <si>
    <t>ГБУЗ РБ Стоматологическая поликлиника №6 г.Уфа 
всего, в том числе</t>
  </si>
  <si>
    <t>ФГБОУ ВО БГМУ Минздрава России 
всего, в том числе:</t>
  </si>
  <si>
    <t>ФГБОУ ВО БГМУ Минздрава России
всего, в том числе:</t>
  </si>
  <si>
    <t>в т.ч. ГБУЗ РБ ДБ г.Стерлитамак</t>
  </si>
  <si>
    <t>2А</t>
  </si>
  <si>
    <t xml:space="preserve">   от 24.06.2026 № 8-26</t>
  </si>
  <si>
    <t>ГБУЗ  ЦСМК и 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</si>
</sst>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sz val="8"/>
      <color theme="1"/>
      <name val="Times New Roman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9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7.8"/>
      <color theme="1"/>
      <name val="Times New Roman"/>
      <family val="1"/>
      <charset val="204"/>
    </font>
    <font>
      <b/>
      <sz val="7.8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8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0" fillId="0" borderId="0" applyFill="0" applyProtection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0" fontId="50" fillId="0" borderId="0" applyFill="0" applyProtection="0"/>
    <xf numFmtId="0" fontId="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7" fillId="0" borderId="0"/>
    <xf numFmtId="0" fontId="12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0" fillId="0" borderId="0"/>
  </cellStyleXfs>
  <cellXfs count="1378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2" fillId="3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3" fontId="4" fillId="3" borderId="0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3" fontId="2" fillId="3" borderId="0" xfId="1" applyNumberFormat="1" applyFont="1" applyFill="1" applyAlignment="1">
      <alignment horizontal="right" vertical="center"/>
    </xf>
    <xf numFmtId="4" fontId="2" fillId="3" borderId="0" xfId="1" applyNumberFormat="1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3" fontId="2" fillId="2" borderId="0" xfId="3" applyNumberFormat="1" applyFont="1" applyFill="1" applyAlignment="1">
      <alignment horizontal="left" vertical="center"/>
    </xf>
    <xf numFmtId="0" fontId="2" fillId="2" borderId="0" xfId="3" applyFont="1" applyFill="1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0" fontId="2" fillId="2" borderId="0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3" fontId="5" fillId="2" borderId="1" xfId="3" applyNumberFormat="1" applyFont="1" applyFill="1" applyBorder="1" applyAlignment="1">
      <alignment horizontal="right" vertical="center"/>
    </xf>
    <xf numFmtId="0" fontId="5" fillId="2" borderId="1" xfId="3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Alignment="1">
      <alignment horizontal="right" vertical="center"/>
    </xf>
    <xf numFmtId="3" fontId="2" fillId="2" borderId="1" xfId="3" applyNumberFormat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5" borderId="0" xfId="3" applyFont="1" applyFill="1" applyAlignment="1">
      <alignment horizontal="right" vertical="center"/>
    </xf>
    <xf numFmtId="3" fontId="2" fillId="2" borderId="1" xfId="2" applyNumberFormat="1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3" fontId="2" fillId="2" borderId="1" xfId="2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left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3" fontId="2" fillId="2" borderId="5" xfId="2" applyNumberFormat="1" applyFont="1" applyFill="1" applyBorder="1" applyAlignment="1">
      <alignment horizontal="center" vertical="center"/>
    </xf>
    <xf numFmtId="3" fontId="8" fillId="2" borderId="5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/>
    </xf>
    <xf numFmtId="0" fontId="2" fillId="2" borderId="1" xfId="3" quotePrefix="1" applyFont="1" applyFill="1" applyBorder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3" fontId="7" fillId="2" borderId="10" xfId="3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3" fontId="16" fillId="0" borderId="5" xfId="9" applyNumberFormat="1" applyFont="1" applyFill="1" applyBorder="1" applyAlignment="1">
      <alignment horizontal="left" vertical="center" wrapText="1"/>
    </xf>
    <xf numFmtId="0" fontId="2" fillId="0" borderId="1" xfId="6" quotePrefix="1" applyFont="1" applyFill="1" applyBorder="1" applyAlignment="1">
      <alignment horizontal="center" vertical="center"/>
    </xf>
    <xf numFmtId="0" fontId="2" fillId="2" borderId="1" xfId="9" quotePrefix="1" applyFont="1" applyFill="1" applyBorder="1" applyAlignment="1">
      <alignment horizontal="center" vertical="center"/>
    </xf>
    <xf numFmtId="0" fontId="14" fillId="0" borderId="0" xfId="10" applyFont="1" applyFill="1" applyAlignment="1">
      <alignment horizontal="center" vertical="center" wrapText="1"/>
    </xf>
    <xf numFmtId="0" fontId="17" fillId="0" borderId="0" xfId="10" applyFont="1" applyFill="1"/>
    <xf numFmtId="0" fontId="14" fillId="0" borderId="1" xfId="9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/>
    </xf>
    <xf numFmtId="3" fontId="14" fillId="0" borderId="1" xfId="10" applyNumberFormat="1" applyFont="1" applyFill="1" applyBorder="1" applyAlignment="1">
      <alignment horizontal="center"/>
    </xf>
    <xf numFmtId="3" fontId="17" fillId="0" borderId="0" xfId="10" applyNumberFormat="1" applyFont="1" applyFill="1"/>
    <xf numFmtId="0" fontId="21" fillId="0" borderId="0" xfId="10" applyFont="1" applyFill="1"/>
    <xf numFmtId="4" fontId="17" fillId="0" borderId="0" xfId="10" applyNumberFormat="1" applyFont="1" applyFill="1"/>
    <xf numFmtId="0" fontId="17" fillId="0" borderId="0" xfId="10" applyFont="1" applyFill="1" applyAlignment="1">
      <alignment horizontal="center"/>
    </xf>
    <xf numFmtId="1" fontId="17" fillId="0" borderId="0" xfId="10" applyNumberFormat="1" applyFont="1" applyFill="1"/>
    <xf numFmtId="0" fontId="14" fillId="0" borderId="1" xfId="11" applyFont="1" applyFill="1" applyBorder="1" applyAlignment="1">
      <alignment horizontal="center"/>
    </xf>
    <xf numFmtId="3" fontId="17" fillId="0" borderId="0" xfId="10" applyNumberFormat="1" applyFont="1" applyFill="1" applyAlignment="1">
      <alignment horizontal="center"/>
    </xf>
    <xf numFmtId="0" fontId="23" fillId="2" borderId="0" xfId="12" applyFont="1" applyFill="1" applyProtection="1"/>
    <xf numFmtId="0" fontId="10" fillId="2" borderId="0" xfId="12" applyFill="1" applyProtection="1"/>
    <xf numFmtId="0" fontId="27" fillId="2" borderId="1" xfId="13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horizontal="center" vertical="center"/>
    </xf>
    <xf numFmtId="49" fontId="21" fillId="2" borderId="1" xfId="13" applyNumberFormat="1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vertical="center" wrapText="1"/>
    </xf>
    <xf numFmtId="3" fontId="24" fillId="2" borderId="1" xfId="12" applyNumberFormat="1" applyFont="1" applyFill="1" applyBorder="1" applyProtection="1"/>
    <xf numFmtId="0" fontId="29" fillId="2" borderId="0" xfId="12" applyFont="1" applyFill="1" applyProtection="1"/>
    <xf numFmtId="49" fontId="17" fillId="2" borderId="1" xfId="1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right" vertical="center" wrapText="1"/>
    </xf>
    <xf numFmtId="3" fontId="23" fillId="2" borderId="1" xfId="12" applyNumberFormat="1" applyFont="1" applyFill="1" applyBorder="1" applyProtection="1"/>
    <xf numFmtId="0" fontId="25" fillId="2" borderId="1" xfId="13" applyFont="1" applyFill="1" applyBorder="1" applyAlignment="1">
      <alignment vertical="center" wrapText="1"/>
    </xf>
    <xf numFmtId="49" fontId="17" fillId="2" borderId="1" xfId="14" applyNumberFormat="1" applyFont="1" applyFill="1" applyBorder="1" applyAlignment="1">
      <alignment horizontal="center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7" fillId="2" borderId="1" xfId="14" applyFont="1" applyFill="1" applyBorder="1" applyAlignment="1">
      <alignment horizontal="center" vertical="center" wrapText="1"/>
    </xf>
    <xf numFmtId="0" fontId="23" fillId="2" borderId="1" xfId="12" applyFont="1" applyFill="1" applyBorder="1" applyProtection="1"/>
    <xf numFmtId="0" fontId="23" fillId="2" borderId="1" xfId="12" applyFont="1" applyFill="1" applyBorder="1" applyAlignment="1" applyProtection="1">
      <alignment horizontal="right"/>
    </xf>
    <xf numFmtId="0" fontId="10" fillId="2" borderId="0" xfId="12" applyFont="1" applyFill="1" applyProtection="1"/>
    <xf numFmtId="0" fontId="17" fillId="0" borderId="0" xfId="0" applyFont="1"/>
    <xf numFmtId="3" fontId="7" fillId="0" borderId="0" xfId="15" applyNumberFormat="1" applyFont="1" applyFill="1"/>
    <xf numFmtId="3" fontId="26" fillId="0" borderId="1" xfId="15" applyNumberFormat="1" applyFont="1" applyFill="1" applyBorder="1" applyAlignment="1">
      <alignment horizontal="center" vertical="center" wrapText="1"/>
    </xf>
    <xf numFmtId="3" fontId="26" fillId="0" borderId="1" xfId="15" applyNumberFormat="1" applyFont="1" applyFill="1" applyBorder="1" applyAlignment="1">
      <alignment horizontal="center" vertical="center"/>
    </xf>
    <xf numFmtId="3" fontId="33" fillId="0" borderId="1" xfId="15" applyNumberFormat="1" applyFont="1" applyFill="1" applyBorder="1" applyAlignment="1">
      <alignment horizontal="center"/>
    </xf>
    <xf numFmtId="3" fontId="33" fillId="0" borderId="0" xfId="15" applyNumberFormat="1" applyFont="1" applyFill="1"/>
    <xf numFmtId="3" fontId="32" fillId="0" borderId="1" xfId="15" applyNumberFormat="1" applyFont="1" applyFill="1" applyBorder="1" applyAlignment="1">
      <alignment horizontal="center" vertical="center"/>
    </xf>
    <xf numFmtId="3" fontId="7" fillId="0" borderId="1" xfId="15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center" vertical="center"/>
    </xf>
    <xf numFmtId="3" fontId="16" fillId="0" borderId="1" xfId="9" applyNumberFormat="1" applyFont="1" applyFill="1" applyBorder="1" applyAlignment="1">
      <alignment horizontal="left" vertical="center" wrapText="1"/>
    </xf>
    <xf numFmtId="164" fontId="13" fillId="0" borderId="1" xfId="2" applyNumberFormat="1" applyFont="1" applyFill="1" applyBorder="1" applyAlignment="1">
      <alignment horizontal="center" vertical="center"/>
    </xf>
    <xf numFmtId="3" fontId="13" fillId="0" borderId="1" xfId="9" applyNumberFormat="1" applyFont="1" applyFill="1" applyBorder="1" applyAlignment="1">
      <alignment horizontal="left" vertical="center" wrapText="1"/>
    </xf>
    <xf numFmtId="3" fontId="13" fillId="0" borderId="5" xfId="2" applyNumberFormat="1" applyFont="1" applyFill="1" applyBorder="1" applyAlignment="1">
      <alignment horizontal="center" vertical="center"/>
    </xf>
    <xf numFmtId="0" fontId="13" fillId="0" borderId="0" xfId="18" applyFont="1" applyFill="1"/>
    <xf numFmtId="0" fontId="2" fillId="0" borderId="1" xfId="9" applyFont="1" applyFill="1" applyBorder="1" applyAlignment="1">
      <alignment horizontal="left" vertical="center"/>
    </xf>
    <xf numFmtId="0" fontId="2" fillId="0" borderId="1" xfId="9" quotePrefix="1" applyFont="1" applyFill="1" applyBorder="1" applyAlignment="1">
      <alignment horizontal="center" vertical="center"/>
    </xf>
    <xf numFmtId="0" fontId="2" fillId="0" borderId="1" xfId="19" quotePrefix="1" applyFont="1" applyFill="1" applyBorder="1" applyAlignment="1">
      <alignment horizontal="center" vertical="center"/>
    </xf>
    <xf numFmtId="0" fontId="2" fillId="0" borderId="1" xfId="19" applyFont="1" applyFill="1" applyBorder="1" applyAlignment="1">
      <alignment horizontal="left" vertical="center"/>
    </xf>
    <xf numFmtId="3" fontId="18" fillId="0" borderId="0" xfId="16" applyNumberFormat="1" applyFont="1" applyFill="1" applyAlignment="1"/>
    <xf numFmtId="3" fontId="32" fillId="0" borderId="1" xfId="16" applyNumberFormat="1" applyFont="1" applyFill="1" applyBorder="1" applyAlignment="1">
      <alignment horizontal="center" vertical="center" wrapText="1"/>
    </xf>
    <xf numFmtId="3" fontId="34" fillId="6" borderId="1" xfId="15" applyNumberFormat="1" applyFont="1" applyFill="1" applyBorder="1" applyAlignment="1">
      <alignment horizontal="center" vertical="center"/>
    </xf>
    <xf numFmtId="3" fontId="34" fillId="6" borderId="1" xfId="15" applyNumberFormat="1" applyFont="1" applyFill="1" applyBorder="1" applyAlignment="1">
      <alignment horizontal="center" vertical="center" wrapText="1"/>
    </xf>
    <xf numFmtId="3" fontId="9" fillId="6" borderId="1" xfId="15" applyNumberFormat="1" applyFont="1" applyFill="1" applyBorder="1" applyAlignment="1">
      <alignment horizontal="center" vertical="center"/>
    </xf>
    <xf numFmtId="3" fontId="32" fillId="6" borderId="1" xfId="15" applyNumberFormat="1" applyFont="1" applyFill="1" applyBorder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6" applyNumberFormat="1" applyFont="1" applyFill="1" applyBorder="1" applyAlignment="1">
      <alignment horizontal="left" vertical="center" wrapText="1"/>
    </xf>
    <xf numFmtId="0" fontId="2" fillId="0" borderId="1" xfId="6" applyFont="1" applyFill="1" applyBorder="1" applyAlignment="1">
      <alignment horizontal="left" vertical="center"/>
    </xf>
    <xf numFmtId="0" fontId="2" fillId="2" borderId="1" xfId="9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3" fontId="43" fillId="0" borderId="1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7" fillId="0" borderId="0" xfId="9" applyFont="1"/>
    <xf numFmtId="0" fontId="7" fillId="0" borderId="0" xfId="9" applyFont="1" applyFill="1"/>
    <xf numFmtId="0" fontId="2" fillId="2" borderId="1" xfId="9" applyFont="1" applyFill="1" applyBorder="1" applyAlignment="1">
      <alignment horizontal="center" vertical="center"/>
    </xf>
    <xf numFmtId="49" fontId="2" fillId="2" borderId="1" xfId="9" applyNumberFormat="1" applyFont="1" applyFill="1" applyBorder="1" applyAlignment="1">
      <alignment horizontal="center" vertical="center" wrapText="1"/>
    </xf>
    <xf numFmtId="49" fontId="2" fillId="2" borderId="1" xfId="9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0" fontId="22" fillId="0" borderId="0" xfId="13" applyFont="1" applyBorder="1" applyAlignment="1">
      <alignment wrapText="1"/>
    </xf>
    <xf numFmtId="0" fontId="2" fillId="3" borderId="5" xfId="1" applyFont="1" applyFill="1" applyBorder="1" applyAlignment="1">
      <alignment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13" fillId="2" borderId="0" xfId="36" applyFont="1" applyFill="1"/>
    <xf numFmtId="3" fontId="13" fillId="2" borderId="0" xfId="36" applyNumberFormat="1" applyFont="1" applyFill="1" applyAlignment="1">
      <alignment horizontal="center" vertical="center"/>
    </xf>
    <xf numFmtId="3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center" vertical="center"/>
    </xf>
    <xf numFmtId="3" fontId="13" fillId="2" borderId="1" xfId="36" applyNumberFormat="1" applyFont="1" applyFill="1" applyBorder="1" applyAlignment="1">
      <alignment horizontal="center" vertical="center"/>
    </xf>
    <xf numFmtId="3" fontId="13" fillId="2" borderId="0" xfId="36" applyNumberFormat="1" applyFont="1" applyFill="1"/>
    <xf numFmtId="0" fontId="2" fillId="2" borderId="1" xfId="4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 wrapText="1"/>
    </xf>
    <xf numFmtId="49" fontId="2" fillId="2" borderId="5" xfId="4" applyNumberFormat="1" applyFont="1" applyFill="1" applyBorder="1" applyAlignment="1">
      <alignment horizontal="center" vertical="center"/>
    </xf>
    <xf numFmtId="49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justify" vertical="center" wrapText="1"/>
    </xf>
    <xf numFmtId="0" fontId="53" fillId="2" borderId="1" xfId="36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3" fillId="2" borderId="1" xfId="36" applyFont="1" applyFill="1" applyBorder="1" applyAlignment="1">
      <alignment horizontal="left" vertical="center" wrapText="1"/>
    </xf>
    <xf numFmtId="0" fontId="53" fillId="2" borderId="1" xfId="36" applyFont="1" applyFill="1" applyBorder="1" applyAlignment="1">
      <alignment horizontal="center" vertical="center"/>
    </xf>
    <xf numFmtId="3" fontId="53" fillId="2" borderId="1" xfId="36" applyNumberFormat="1" applyFont="1" applyFill="1" applyBorder="1" applyAlignment="1">
      <alignment horizontal="center" vertical="center"/>
    </xf>
    <xf numFmtId="0" fontId="53" fillId="2" borderId="0" xfId="36" applyFont="1" applyFill="1"/>
    <xf numFmtId="0" fontId="13" fillId="2" borderId="1" xfId="36" applyFont="1" applyFill="1" applyBorder="1" applyAlignment="1">
      <alignment horizontal="right" vertical="center" wrapText="1"/>
    </xf>
    <xf numFmtId="0" fontId="13" fillId="2" borderId="5" xfId="36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3" fontId="53" fillId="2" borderId="0" xfId="36" applyNumberFormat="1" applyFont="1" applyFill="1"/>
    <xf numFmtId="3" fontId="13" fillId="2" borderId="5" xfId="36" applyNumberFormat="1" applyFont="1" applyFill="1" applyBorder="1" applyAlignment="1">
      <alignment horizontal="center" vertical="center"/>
    </xf>
    <xf numFmtId="0" fontId="13" fillId="2" borderId="5" xfId="36" applyFont="1" applyFill="1" applyBorder="1" applyAlignment="1">
      <alignment horizontal="center" vertical="center"/>
    </xf>
    <xf numFmtId="1" fontId="13" fillId="2" borderId="5" xfId="36" applyNumberFormat="1" applyFont="1" applyFill="1" applyBorder="1" applyAlignment="1">
      <alignment horizontal="center" vertical="center"/>
    </xf>
    <xf numFmtId="1" fontId="13" fillId="2" borderId="1" xfId="36" applyNumberFormat="1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3" fontId="13" fillId="2" borderId="5" xfId="36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 applyProtection="1">
      <alignment horizontal="center" vertical="center" wrapText="1"/>
      <protection locked="0"/>
    </xf>
    <xf numFmtId="0" fontId="53" fillId="2" borderId="1" xfId="37" applyFont="1" applyFill="1" applyBorder="1" applyAlignment="1">
      <alignment horizontal="left" vertical="center" wrapText="1"/>
    </xf>
    <xf numFmtId="0" fontId="53" fillId="2" borderId="9" xfId="36" applyFont="1" applyFill="1" applyBorder="1" applyAlignment="1">
      <alignment horizontal="center" vertical="center" wrapText="1"/>
    </xf>
    <xf numFmtId="0" fontId="13" fillId="2" borderId="0" xfId="36" applyFont="1" applyFill="1" applyAlignment="1">
      <alignment horizontal="center" vertical="center"/>
    </xf>
    <xf numFmtId="0" fontId="55" fillId="2" borderId="1" xfId="36" applyFont="1" applyFill="1" applyBorder="1" applyAlignment="1">
      <alignment horizontal="left" vertical="center" wrapText="1"/>
    </xf>
    <xf numFmtId="3" fontId="13" fillId="2" borderId="0" xfId="38" applyNumberFormat="1" applyFont="1" applyFill="1" applyAlignment="1">
      <alignment horizontal="right"/>
    </xf>
    <xf numFmtId="0" fontId="13" fillId="2" borderId="0" xfId="36" applyFont="1" applyFill="1" applyAlignment="1">
      <alignment vertical="top"/>
    </xf>
    <xf numFmtId="3" fontId="13" fillId="2" borderId="0" xfId="36" applyNumberFormat="1" applyFont="1" applyFill="1" applyAlignment="1">
      <alignment horizontal="center" vertical="top"/>
    </xf>
    <xf numFmtId="3" fontId="15" fillId="2" borderId="1" xfId="36" applyNumberFormat="1" applyFont="1" applyFill="1" applyBorder="1" applyAlignment="1">
      <alignment horizontal="center" vertical="center"/>
    </xf>
    <xf numFmtId="0" fontId="13" fillId="0" borderId="0" xfId="39" applyFont="1"/>
    <xf numFmtId="3" fontId="13" fillId="0" borderId="0" xfId="39" applyNumberFormat="1" applyFont="1"/>
    <xf numFmtId="0" fontId="2" fillId="0" borderId="0" xfId="39" applyFont="1" applyAlignment="1">
      <alignment horizontal="center" vertical="center"/>
    </xf>
    <xf numFmtId="2" fontId="2" fillId="0" borderId="3" xfId="39" applyNumberFormat="1" applyFont="1" applyBorder="1" applyAlignment="1">
      <alignment horizontal="center" vertical="center" wrapText="1"/>
    </xf>
    <xf numFmtId="2" fontId="2" fillId="0" borderId="3" xfId="39" applyNumberFormat="1" applyFont="1" applyBorder="1" applyAlignment="1">
      <alignment horizontal="center" vertical="center"/>
    </xf>
    <xf numFmtId="3" fontId="2" fillId="0" borderId="0" xfId="39" applyNumberFormat="1" applyFont="1" applyAlignment="1">
      <alignment horizontal="center" vertical="center"/>
    </xf>
    <xf numFmtId="0" fontId="43" fillId="2" borderId="0" xfId="39" applyFont="1" applyFill="1" applyProtection="1">
      <protection locked="0"/>
    </xf>
    <xf numFmtId="0" fontId="42" fillId="2" borderId="7" xfId="39" applyFont="1" applyFill="1" applyBorder="1" applyAlignment="1" applyProtection="1">
      <alignment horizontal="center" vertical="center" wrapText="1"/>
      <protection locked="0"/>
    </xf>
    <xf numFmtId="0" fontId="56" fillId="2" borderId="7" xfId="39" applyFont="1" applyFill="1" applyBorder="1" applyAlignment="1" applyProtection="1">
      <alignment horizontal="center" vertical="center" wrapText="1"/>
      <protection locked="0"/>
    </xf>
    <xf numFmtId="0" fontId="42" fillId="2" borderId="1" xfId="39" applyFont="1" applyFill="1" applyBorder="1" applyAlignment="1" applyProtection="1">
      <alignment horizontal="center" vertical="center" wrapText="1"/>
      <protection locked="0"/>
    </xf>
    <xf numFmtId="3" fontId="43" fillId="2" borderId="0" xfId="39" applyNumberFormat="1" applyFont="1" applyFill="1" applyProtection="1">
      <protection locked="0"/>
    </xf>
    <xf numFmtId="0" fontId="42" fillId="2" borderId="1" xfId="39" applyFont="1" applyFill="1" applyBorder="1" applyAlignment="1" applyProtection="1">
      <alignment horizontal="center" vertical="center" textRotation="90" wrapText="1"/>
      <protection locked="0"/>
    </xf>
    <xf numFmtId="0" fontId="2" fillId="0" borderId="0" xfId="39" applyFont="1" applyProtection="1">
      <protection locked="0"/>
    </xf>
    <xf numFmtId="0" fontId="7" fillId="2" borderId="1" xfId="39" applyFont="1" applyFill="1" applyBorder="1" applyAlignment="1" applyProtection="1">
      <alignment horizontal="center" vertical="center" wrapText="1"/>
      <protection locked="0"/>
    </xf>
    <xf numFmtId="3" fontId="2" fillId="0" borderId="0" xfId="39" applyNumberFormat="1" applyFont="1" applyProtection="1">
      <protection locked="0"/>
    </xf>
    <xf numFmtId="0" fontId="5" fillId="0" borderId="0" xfId="39" applyFont="1" applyProtection="1">
      <protection locked="0"/>
    </xf>
    <xf numFmtId="0" fontId="9" fillId="8" borderId="7" xfId="39" applyFont="1" applyFill="1" applyBorder="1" applyAlignment="1" applyProtection="1">
      <alignment horizontal="center" vertical="center" wrapText="1"/>
      <protection locked="0"/>
    </xf>
    <xf numFmtId="3" fontId="9" fillId="8" borderId="1" xfId="39" applyNumberFormat="1" applyFont="1" applyFill="1" applyBorder="1" applyAlignment="1" applyProtection="1">
      <alignment horizontal="center" vertical="center"/>
      <protection locked="0"/>
    </xf>
    <xf numFmtId="3" fontId="5" fillId="0" borderId="0" xfId="39" applyNumberFormat="1" applyFont="1" applyProtection="1">
      <protection locked="0"/>
    </xf>
    <xf numFmtId="3" fontId="7" fillId="2" borderId="5" xfId="39" applyNumberFormat="1" applyFont="1" applyFill="1" applyBorder="1" applyAlignment="1" applyProtection="1">
      <alignment horizontal="center" vertical="center"/>
      <protection locked="0"/>
    </xf>
    <xf numFmtId="3" fontId="7" fillId="2" borderId="1" xfId="39" applyNumberFormat="1" applyFont="1" applyFill="1" applyBorder="1" applyAlignment="1" applyProtection="1">
      <alignment horizontal="center" vertical="center"/>
      <protection locked="0"/>
    </xf>
    <xf numFmtId="0" fontId="7" fillId="0" borderId="1" xfId="39" applyFont="1" applyBorder="1" applyAlignment="1" applyProtection="1">
      <alignment horizontal="center"/>
      <protection locked="0"/>
    </xf>
    <xf numFmtId="3" fontId="7" fillId="0" borderId="5" xfId="39" applyNumberFormat="1" applyFont="1" applyBorder="1" applyAlignment="1" applyProtection="1">
      <alignment horizontal="center" vertical="center"/>
      <protection locked="0"/>
    </xf>
    <xf numFmtId="3" fontId="7" fillId="0" borderId="1" xfId="39" applyNumberFormat="1" applyFont="1" applyBorder="1" applyAlignment="1" applyProtection="1">
      <alignment horizontal="center"/>
      <protection locked="0"/>
    </xf>
    <xf numFmtId="3" fontId="7" fillId="2" borderId="1" xfId="39" applyNumberFormat="1" applyFont="1" applyFill="1" applyBorder="1" applyAlignment="1" applyProtection="1">
      <alignment vertical="center"/>
      <protection locked="0"/>
    </xf>
    <xf numFmtId="0" fontId="2" fillId="2" borderId="0" xfId="39" applyFont="1" applyFill="1" applyProtection="1">
      <protection locked="0"/>
    </xf>
    <xf numFmtId="0" fontId="7" fillId="2" borderId="1" xfId="39" applyFont="1" applyFill="1" applyBorder="1" applyAlignment="1" applyProtection="1">
      <alignment horizontal="center"/>
      <protection locked="0"/>
    </xf>
    <xf numFmtId="3" fontId="2" fillId="2" borderId="0" xfId="39" applyNumberFormat="1" applyFont="1" applyFill="1" applyProtection="1">
      <protection locked="0"/>
    </xf>
    <xf numFmtId="3" fontId="7" fillId="2" borderId="2" xfId="39" applyNumberFormat="1" applyFont="1" applyFill="1" applyBorder="1" applyAlignment="1" applyProtection="1">
      <alignment horizontal="center" vertical="center"/>
      <protection locked="0"/>
    </xf>
    <xf numFmtId="3" fontId="7" fillId="2" borderId="2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Fill="1" applyBorder="1" applyAlignment="1" applyProtection="1">
      <alignment horizontal="center" vertical="center"/>
      <protection locked="0"/>
    </xf>
    <xf numFmtId="3" fontId="7" fillId="2" borderId="5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Border="1" applyAlignment="1" applyProtection="1">
      <alignment horizontal="center" vertical="center"/>
      <protection locked="0"/>
    </xf>
    <xf numFmtId="3" fontId="7" fillId="0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 vertical="center" wrapText="1"/>
      <protection locked="0"/>
    </xf>
    <xf numFmtId="0" fontId="9" fillId="8" borderId="7" xfId="39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vertical="center"/>
      <protection locked="0"/>
    </xf>
    <xf numFmtId="0" fontId="7" fillId="0" borderId="1" xfId="39" applyFont="1" applyFill="1" applyBorder="1" applyAlignment="1" applyProtection="1">
      <alignment horizontal="center"/>
      <protection locked="0"/>
    </xf>
    <xf numFmtId="0" fontId="7" fillId="2" borderId="7" xfId="39" applyFont="1" applyFill="1" applyBorder="1" applyAlignment="1" applyProtection="1">
      <alignment horizontal="center" vertical="center" wrapText="1"/>
      <protection locked="0"/>
    </xf>
    <xf numFmtId="0" fontId="7" fillId="2" borderId="5" xfId="39" applyFont="1" applyFill="1" applyBorder="1" applyAlignment="1" applyProtection="1">
      <alignment horizontal="center" vertical="center" wrapText="1"/>
      <protection locked="0"/>
    </xf>
    <xf numFmtId="3" fontId="9" fillId="8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/>
      <protection locked="0"/>
    </xf>
    <xf numFmtId="0" fontId="9" fillId="9" borderId="7" xfId="39" applyFont="1" applyFill="1" applyBorder="1" applyAlignment="1" applyProtection="1">
      <alignment horizontal="center" vertical="center" wrapText="1"/>
      <protection locked="0"/>
    </xf>
    <xf numFmtId="3" fontId="9" fillId="9" borderId="1" xfId="39" applyNumberFormat="1" applyFont="1" applyFill="1" applyBorder="1" applyAlignment="1" applyProtection="1">
      <alignment horizontal="center" vertical="center"/>
      <protection locked="0"/>
    </xf>
    <xf numFmtId="0" fontId="53" fillId="2" borderId="0" xfId="39" applyFont="1" applyFill="1" applyAlignment="1">
      <alignment horizontal="center" vertical="center"/>
    </xf>
    <xf numFmtId="0" fontId="13" fillId="2" borderId="0" xfId="39" applyFont="1" applyFill="1" applyAlignment="1">
      <alignment horizontal="center"/>
    </xf>
    <xf numFmtId="0" fontId="13" fillId="2" borderId="0" xfId="39" applyFont="1" applyFill="1"/>
    <xf numFmtId="0" fontId="13" fillId="2" borderId="0" xfId="39" applyFont="1" applyFill="1" applyAlignment="1">
      <alignment horizontal="center" vertical="center"/>
    </xf>
    <xf numFmtId="0" fontId="13" fillId="0" borderId="0" xfId="39" applyFont="1" applyAlignment="1">
      <alignment horizontal="center"/>
    </xf>
    <xf numFmtId="3" fontId="43" fillId="2" borderId="0" xfId="36" applyNumberFormat="1" applyFont="1" applyFill="1"/>
    <xf numFmtId="0" fontId="43" fillId="2" borderId="0" xfId="36" applyFont="1" applyFill="1"/>
    <xf numFmtId="0" fontId="43" fillId="2" borderId="0" xfId="36" applyFont="1" applyFill="1" applyAlignment="1">
      <alignment horizontal="center" vertical="center"/>
    </xf>
    <xf numFmtId="3" fontId="43" fillId="2" borderId="0" xfId="36" applyNumberFormat="1" applyFont="1" applyFill="1" applyAlignment="1">
      <alignment horizontal="center" vertical="center"/>
    </xf>
    <xf numFmtId="0" fontId="2" fillId="2" borderId="0" xfId="18" applyFont="1" applyFill="1" applyAlignment="1">
      <alignment horizontal="right" vertical="center"/>
    </xf>
    <xf numFmtId="3" fontId="7" fillId="2" borderId="1" xfId="14" applyNumberFormat="1" applyFont="1" applyFill="1" applyBorder="1" applyAlignment="1">
      <alignment horizontal="center" vertical="center" wrapText="1"/>
    </xf>
    <xf numFmtId="49" fontId="2" fillId="2" borderId="1" xfId="14" applyNumberFormat="1" applyFont="1" applyFill="1" applyBorder="1" applyAlignment="1">
      <alignment horizontal="center" vertical="center"/>
    </xf>
    <xf numFmtId="0" fontId="2" fillId="2" borderId="1" xfId="14" applyFont="1" applyFill="1" applyBorder="1" applyAlignment="1">
      <alignment horizontal="left" vertical="center" wrapText="1"/>
    </xf>
    <xf numFmtId="3" fontId="15" fillId="2" borderId="9" xfId="14" applyNumberFormat="1" applyFont="1" applyFill="1" applyBorder="1" applyAlignment="1">
      <alignment horizontal="center" vertical="center"/>
    </xf>
    <xf numFmtId="3" fontId="5" fillId="2" borderId="0" xfId="18" applyNumberFormat="1" applyFont="1" applyFill="1" applyAlignment="1">
      <alignment horizontal="right" vertical="center"/>
    </xf>
    <xf numFmtId="3" fontId="5" fillId="2" borderId="9" xfId="18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vertical="center" wrapText="1"/>
    </xf>
    <xf numFmtId="0" fontId="18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35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0" xfId="42" applyFont="1" applyFill="1" applyAlignment="1" applyProtection="1">
      <alignment vertical="center"/>
      <protection locked="0"/>
    </xf>
    <xf numFmtId="0" fontId="58" fillId="0" borderId="1" xfId="42" applyFont="1" applyFill="1" applyBorder="1" applyAlignment="1" applyProtection="1">
      <alignment horizontal="center" vertical="center" wrapText="1"/>
      <protection locked="0"/>
    </xf>
    <xf numFmtId="3" fontId="14" fillId="0" borderId="1" xfId="42" applyNumberFormat="1" applyFont="1" applyFill="1" applyBorder="1" applyAlignment="1" applyProtection="1">
      <alignment horizontal="center" vertical="center"/>
      <protection locked="0"/>
    </xf>
    <xf numFmtId="0" fontId="14" fillId="0" borderId="1" xfId="42" applyFont="1" applyBorder="1" applyAlignment="1">
      <alignment horizontal="center" vertical="center"/>
    </xf>
    <xf numFmtId="0" fontId="59" fillId="0" borderId="1" xfId="42" applyFont="1" applyFill="1" applyBorder="1" applyAlignment="1" applyProtection="1">
      <alignment horizontal="center" vertical="center" wrapText="1"/>
      <protection locked="0"/>
    </xf>
    <xf numFmtId="3" fontId="59" fillId="0" borderId="1" xfId="42" applyNumberFormat="1" applyFont="1" applyFill="1" applyBorder="1" applyAlignment="1" applyProtection="1">
      <alignment horizontal="center" vertical="center" wrapText="1"/>
      <protection locked="0"/>
    </xf>
    <xf numFmtId="0" fontId="60" fillId="0" borderId="0" xfId="42" applyFont="1" applyFill="1" applyAlignment="1">
      <alignment vertical="center"/>
    </xf>
    <xf numFmtId="0" fontId="61" fillId="0" borderId="0" xfId="42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14" fillId="0" borderId="0" xfId="42" applyFont="1" applyFill="1" applyAlignment="1">
      <alignment vertical="center"/>
    </xf>
    <xf numFmtId="0" fontId="15" fillId="0" borderId="0" xfId="42" applyFont="1" applyFill="1" applyAlignment="1">
      <alignment vertical="center"/>
    </xf>
    <xf numFmtId="0" fontId="14" fillId="0" borderId="1" xfId="42" applyFont="1" applyFill="1" applyBorder="1" applyAlignment="1">
      <alignment vertical="center"/>
    </xf>
    <xf numFmtId="3" fontId="14" fillId="0" borderId="1" xfId="42" applyNumberFormat="1" applyFont="1" applyFill="1" applyBorder="1" applyAlignment="1">
      <alignment horizontal="center" vertical="center"/>
    </xf>
    <xf numFmtId="3" fontId="14" fillId="2" borderId="0" xfId="0" applyNumberFormat="1" applyFont="1" applyFill="1"/>
    <xf numFmtId="0" fontId="14" fillId="2" borderId="0" xfId="0" applyFont="1" applyFill="1"/>
    <xf numFmtId="3" fontId="33" fillId="2" borderId="0" xfId="0" applyNumberFormat="1" applyFont="1" applyFill="1"/>
    <xf numFmtId="0" fontId="33" fillId="2" borderId="0" xfId="0" applyFont="1" applyFill="1"/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2" borderId="1" xfId="2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vertical="center" wrapText="1"/>
      <protection locked="0"/>
    </xf>
    <xf numFmtId="3" fontId="4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>
      <alignment horizontal="center"/>
    </xf>
    <xf numFmtId="3" fontId="4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1" xfId="2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vertical="center"/>
      <protection locked="0"/>
    </xf>
    <xf numFmtId="3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1" xfId="2" applyNumberFormat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vertical="center"/>
      <protection locked="0"/>
    </xf>
    <xf numFmtId="0" fontId="42" fillId="0" borderId="1" xfId="0" applyFont="1" applyFill="1" applyBorder="1" applyAlignment="1" applyProtection="1">
      <alignment vertical="center" wrapText="1"/>
      <protection locked="0"/>
    </xf>
    <xf numFmtId="0" fontId="33" fillId="2" borderId="0" xfId="0" applyFont="1" applyFill="1" applyAlignment="1">
      <alignment horizontal="center"/>
    </xf>
    <xf numFmtId="0" fontId="13" fillId="0" borderId="0" xfId="6" applyFont="1" applyFill="1"/>
    <xf numFmtId="3" fontId="13" fillId="0" borderId="0" xfId="6" applyNumberFormat="1" applyFont="1" applyFill="1"/>
    <xf numFmtId="0" fontId="2" fillId="0" borderId="0" xfId="6" applyFont="1" applyFill="1"/>
    <xf numFmtId="3" fontId="2" fillId="0" borderId="0" xfId="6" applyNumberFormat="1" applyFont="1" applyFill="1"/>
    <xf numFmtId="49" fontId="13" fillId="0" borderId="1" xfId="2" applyNumberFormat="1" applyFont="1" applyFill="1" applyBorder="1" applyAlignment="1">
      <alignment horizontal="center" vertical="center" wrapText="1"/>
    </xf>
    <xf numFmtId="3" fontId="13" fillId="0" borderId="1" xfId="28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3" fontId="53" fillId="0" borderId="1" xfId="28" applyNumberFormat="1" applyFont="1" applyFill="1" applyBorder="1" applyAlignment="1">
      <alignment horizontal="center" vertical="center"/>
    </xf>
    <xf numFmtId="49" fontId="13" fillId="0" borderId="1" xfId="9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 wrapText="1"/>
    </xf>
    <xf numFmtId="0" fontId="13" fillId="0" borderId="1" xfId="9" quotePrefix="1" applyFont="1" applyFill="1" applyBorder="1" applyAlignment="1">
      <alignment horizontal="center" vertical="center"/>
    </xf>
    <xf numFmtId="0" fontId="13" fillId="0" borderId="1" xfId="28" quotePrefix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quotePrefix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wrapText="1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0" borderId="19" xfId="6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3" fontId="53" fillId="10" borderId="1" xfId="0" applyNumberFormat="1" applyFont="1" applyFill="1" applyBorder="1" applyAlignment="1">
      <alignment horizontal="center" vertical="center" wrapText="1"/>
    </xf>
    <xf numFmtId="0" fontId="53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5" fillId="0" borderId="0" xfId="0" applyFont="1"/>
    <xf numFmtId="3" fontId="66" fillId="0" borderId="0" xfId="0" applyNumberFormat="1" applyFont="1" applyAlignment="1">
      <alignment horizontal="center"/>
    </xf>
    <xf numFmtId="0" fontId="66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center"/>
    </xf>
    <xf numFmtId="4" fontId="53" fillId="0" borderId="0" xfId="0" applyNumberFormat="1" applyFont="1" applyFill="1" applyAlignment="1">
      <alignment horizontal="center"/>
    </xf>
    <xf numFmtId="3" fontId="53" fillId="0" borderId="24" xfId="0" applyNumberFormat="1" applyFont="1" applyFill="1" applyBorder="1" applyAlignment="1">
      <alignment horizontal="center"/>
    </xf>
    <xf numFmtId="3" fontId="53" fillId="0" borderId="13" xfId="0" applyNumberFormat="1" applyFont="1" applyFill="1" applyBorder="1" applyAlignment="1">
      <alignment horizontal="center"/>
    </xf>
    <xf numFmtId="3" fontId="53" fillId="0" borderId="14" xfId="0" applyNumberFormat="1" applyFont="1" applyFill="1" applyBorder="1" applyAlignment="1">
      <alignment horizontal="center"/>
    </xf>
    <xf numFmtId="3" fontId="53" fillId="0" borderId="46" xfId="0" applyNumberFormat="1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7" xfId="14" applyFont="1" applyFill="1" applyBorder="1" applyAlignment="1">
      <alignment horizontal="left" vertical="center" wrapText="1"/>
    </xf>
    <xf numFmtId="3" fontId="13" fillId="0" borderId="24" xfId="0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4" fontId="53" fillId="0" borderId="19" xfId="0" applyNumberFormat="1" applyFont="1" applyFill="1" applyBorder="1" applyAlignment="1">
      <alignment horizontal="center"/>
    </xf>
    <xf numFmtId="3" fontId="13" fillId="0" borderId="23" xfId="0" applyNumberFormat="1" applyFont="1" applyFill="1" applyBorder="1" applyAlignment="1">
      <alignment horizontal="center"/>
    </xf>
    <xf numFmtId="3" fontId="13" fillId="0" borderId="19" xfId="14" applyNumberFormat="1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49" fontId="13" fillId="2" borderId="1" xfId="14" applyNumberFormat="1" applyFont="1" applyFill="1" applyBorder="1" applyAlignment="1">
      <alignment horizontal="center" vertical="center"/>
    </xf>
    <xf numFmtId="0" fontId="63" fillId="2" borderId="19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53" fillId="2" borderId="1" xfId="14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center" wrapText="1"/>
    </xf>
    <xf numFmtId="3" fontId="13" fillId="0" borderId="22" xfId="6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3" xfId="14" applyNumberFormat="1" applyFont="1" applyFill="1" applyBorder="1" applyAlignment="1">
      <alignment horizontal="left" vertical="center" wrapText="1"/>
    </xf>
    <xf numFmtId="3" fontId="13" fillId="0" borderId="9" xfId="0" applyNumberFormat="1" applyFont="1" applyFill="1" applyBorder="1" applyAlignment="1">
      <alignment horizontal="center"/>
    </xf>
    <xf numFmtId="0" fontId="13" fillId="2" borderId="23" xfId="14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 wrapText="1"/>
    </xf>
    <xf numFmtId="0" fontId="39" fillId="10" borderId="23" xfId="0" applyFont="1" applyFill="1" applyBorder="1" applyAlignment="1">
      <alignment vertical="center" wrapText="1"/>
    </xf>
    <xf numFmtId="3" fontId="13" fillId="2" borderId="23" xfId="14" applyNumberFormat="1" applyFont="1" applyFill="1" applyBorder="1" applyAlignment="1">
      <alignment horizontal="left" vertical="center" wrapText="1"/>
    </xf>
    <xf numFmtId="3" fontId="13" fillId="2" borderId="1" xfId="14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 wrapText="1"/>
    </xf>
    <xf numFmtId="164" fontId="13" fillId="2" borderId="1" xfId="1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center" vertical="center" wrapText="1"/>
    </xf>
    <xf numFmtId="0" fontId="13" fillId="0" borderId="7" xfId="44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/>
    </xf>
    <xf numFmtId="4" fontId="53" fillId="0" borderId="9" xfId="0" applyNumberFormat="1" applyFont="1" applyFill="1" applyBorder="1" applyAlignment="1">
      <alignment horizontal="center"/>
    </xf>
    <xf numFmtId="0" fontId="13" fillId="2" borderId="27" xfId="0" quotePrefix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/>
    </xf>
    <xf numFmtId="3" fontId="13" fillId="0" borderId="29" xfId="0" applyNumberFormat="1" applyFont="1" applyFill="1" applyBorder="1" applyAlignment="1">
      <alignment horizontal="center"/>
    </xf>
    <xf numFmtId="4" fontId="53" fillId="0" borderId="45" xfId="0" applyNumberFormat="1" applyFont="1" applyFill="1" applyBorder="1" applyAlignment="1">
      <alignment horizontal="center"/>
    </xf>
    <xf numFmtId="3" fontId="13" fillId="0" borderId="26" xfId="1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3" fillId="0" borderId="0" xfId="0" applyNumberFormat="1" applyFont="1" applyFill="1" applyAlignment="1">
      <alignment horizontal="center" vertical="center"/>
    </xf>
    <xf numFmtId="3" fontId="2" fillId="0" borderId="29" xfId="0" applyNumberFormat="1" applyFont="1" applyFill="1" applyBorder="1" applyAlignment="1">
      <alignment horizontal="center" vertical="center" wrapText="1"/>
    </xf>
    <xf numFmtId="3" fontId="53" fillId="0" borderId="1" xfId="0" applyNumberFormat="1" applyFont="1" applyFill="1" applyBorder="1" applyAlignment="1">
      <alignment horizontal="center" vertical="center"/>
    </xf>
    <xf numFmtId="3" fontId="53" fillId="0" borderId="21" xfId="0" applyNumberFormat="1" applyFont="1" applyFill="1" applyBorder="1" applyAlignment="1">
      <alignment horizontal="center" vertical="center"/>
    </xf>
    <xf numFmtId="0" fontId="13" fillId="0" borderId="23" xfId="4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53" fillId="0" borderId="27" xfId="0" applyNumberFormat="1" applyFont="1" applyFill="1" applyBorder="1" applyAlignment="1">
      <alignment horizontal="center" vertical="center"/>
    </xf>
    <xf numFmtId="3" fontId="13" fillId="0" borderId="29" xfId="0" applyNumberFormat="1" applyFont="1" applyFill="1" applyBorder="1" applyAlignment="1">
      <alignment horizontal="center" vertical="center"/>
    </xf>
    <xf numFmtId="3" fontId="53" fillId="0" borderId="51" xfId="0" applyNumberFormat="1" applyFont="1" applyFill="1" applyBorder="1" applyAlignment="1">
      <alignment horizontal="center" vertical="center"/>
    </xf>
    <xf numFmtId="3" fontId="53" fillId="0" borderId="13" xfId="0" applyNumberFormat="1" applyFont="1" applyFill="1" applyBorder="1" applyAlignment="1">
      <alignment horizontal="center" vertical="center"/>
    </xf>
    <xf numFmtId="3" fontId="53" fillId="0" borderId="24" xfId="0" applyNumberFormat="1" applyFont="1" applyFill="1" applyBorder="1" applyAlignment="1">
      <alignment horizontal="center" vertical="center"/>
    </xf>
    <xf numFmtId="3" fontId="53" fillId="0" borderId="25" xfId="0" applyNumberFormat="1" applyFont="1" applyFill="1" applyBorder="1" applyAlignment="1">
      <alignment horizontal="center" vertical="center"/>
    </xf>
    <xf numFmtId="3" fontId="53" fillId="0" borderId="9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9" xfId="44" applyNumberFormat="1" applyFont="1" applyFill="1" applyBorder="1" applyAlignment="1">
      <alignment horizontal="center" vertical="center"/>
    </xf>
    <xf numFmtId="0" fontId="13" fillId="2" borderId="1" xfId="44" applyFont="1" applyFill="1" applyBorder="1" applyAlignment="1">
      <alignment horizontal="center" vertical="center" wrapText="1"/>
    </xf>
    <xf numFmtId="0" fontId="13" fillId="2" borderId="1" xfId="44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center" vertical="center"/>
    </xf>
    <xf numFmtId="164" fontId="13" fillId="2" borderId="1" xfId="44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 vertical="center"/>
    </xf>
    <xf numFmtId="3" fontId="13" fillId="0" borderId="28" xfId="0" applyNumberFormat="1" applyFont="1" applyFill="1" applyBorder="1" applyAlignment="1">
      <alignment horizontal="center" vertical="center"/>
    </xf>
    <xf numFmtId="3" fontId="13" fillId="0" borderId="45" xfId="44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3" fontId="53" fillId="0" borderId="19" xfId="0" applyNumberFormat="1" applyFont="1" applyFill="1" applyBorder="1" applyAlignment="1">
      <alignment horizontal="center" vertical="center"/>
    </xf>
    <xf numFmtId="3" fontId="53" fillId="0" borderId="8" xfId="0" applyNumberFormat="1" applyFont="1" applyFill="1" applyBorder="1" applyAlignment="1">
      <alignment horizontal="center" vertical="center"/>
    </xf>
    <xf numFmtId="0" fontId="13" fillId="2" borderId="23" xfId="44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/>
    </xf>
    <xf numFmtId="3" fontId="13" fillId="0" borderId="19" xfId="0" applyNumberFormat="1" applyFont="1" applyBorder="1" applyAlignment="1">
      <alignment horizontal="center" vertical="center"/>
    </xf>
    <xf numFmtId="0" fontId="53" fillId="2" borderId="23" xfId="44" applyFont="1" applyFill="1" applyBorder="1" applyAlignment="1">
      <alignment horizontal="left" vertical="center" wrapText="1"/>
    </xf>
    <xf numFmtId="0" fontId="13" fillId="2" borderId="23" xfId="4" applyFont="1" applyFill="1" applyBorder="1" applyAlignment="1">
      <alignment horizontal="left" vertical="center" wrapText="1"/>
    </xf>
    <xf numFmtId="49" fontId="13" fillId="2" borderId="23" xfId="44" applyNumberFormat="1" applyFont="1" applyFill="1" applyBorder="1" applyAlignment="1">
      <alignment horizontal="left" vertical="center" wrapText="1"/>
    </xf>
    <xf numFmtId="3" fontId="13" fillId="2" borderId="23" xfId="44" applyNumberFormat="1" applyFont="1" applyFill="1" applyBorder="1" applyAlignment="1">
      <alignment horizontal="left" vertical="center" wrapText="1"/>
    </xf>
    <xf numFmtId="3" fontId="13" fillId="2" borderId="23" xfId="0" applyNumberFormat="1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center"/>
    </xf>
    <xf numFmtId="3" fontId="13" fillId="2" borderId="5" xfId="44" applyNumberFormat="1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/>
    </xf>
    <xf numFmtId="3" fontId="13" fillId="0" borderId="45" xfId="0" applyNumberFormat="1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3" fontId="53" fillId="0" borderId="23" xfId="0" applyNumberFormat="1" applyFont="1" applyFill="1" applyBorder="1" applyAlignment="1">
      <alignment horizontal="center" vertical="center"/>
    </xf>
    <xf numFmtId="3" fontId="53" fillId="0" borderId="7" xfId="0" applyNumberFormat="1" applyFont="1" applyFill="1" applyBorder="1" applyAlignment="1">
      <alignment horizontal="center" vertical="center"/>
    </xf>
    <xf numFmtId="4" fontId="53" fillId="0" borderId="9" xfId="0" applyNumberFormat="1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>
      <alignment horizontal="center" vertical="center"/>
    </xf>
    <xf numFmtId="4" fontId="53" fillId="0" borderId="19" xfId="0" applyNumberFormat="1" applyFont="1" applyFill="1" applyBorder="1" applyAlignment="1">
      <alignment horizontal="center" vertical="center"/>
    </xf>
    <xf numFmtId="0" fontId="53" fillId="2" borderId="1" xfId="44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left" vertical="center" wrapText="1"/>
    </xf>
    <xf numFmtId="0" fontId="13" fillId="0" borderId="0" xfId="0" applyFont="1"/>
    <xf numFmtId="4" fontId="53" fillId="0" borderId="45" xfId="0" applyNumberFormat="1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>
      <alignment horizontal="center" vertical="center"/>
    </xf>
    <xf numFmtId="4" fontId="2" fillId="2" borderId="0" xfId="3" applyNumberFormat="1" applyFont="1" applyFill="1" applyAlignment="1">
      <alignment horizontal="right" vertical="center"/>
    </xf>
    <xf numFmtId="49" fontId="13" fillId="2" borderId="1" xfId="44" applyNumberFormat="1" applyFont="1" applyFill="1" applyBorder="1" applyAlignment="1">
      <alignment horizontal="center" vertical="center"/>
    </xf>
    <xf numFmtId="3" fontId="53" fillId="0" borderId="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26" xfId="44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4" fontId="2" fillId="0" borderId="27" xfId="44" applyNumberFormat="1" applyFont="1" applyFill="1" applyBorder="1" applyAlignment="1">
      <alignment horizontal="center" vertical="center" wrapText="1"/>
    </xf>
    <xf numFmtId="3" fontId="13" fillId="0" borderId="19" xfId="44" applyNumberFormat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/>
    </xf>
    <xf numFmtId="0" fontId="70" fillId="2" borderId="0" xfId="0" applyFont="1" applyFill="1" applyBorder="1" applyAlignment="1">
      <alignment horizontal="center" vertical="center"/>
    </xf>
    <xf numFmtId="3" fontId="66" fillId="0" borderId="0" xfId="0" applyNumberFormat="1" applyFont="1" applyFill="1" applyAlignment="1">
      <alignment horizontal="center" vertical="center"/>
    </xf>
    <xf numFmtId="3" fontId="66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3" fontId="71" fillId="0" borderId="0" xfId="0" applyNumberFormat="1" applyFont="1" applyFill="1" applyAlignment="1">
      <alignment horizontal="center" vertical="center"/>
    </xf>
    <xf numFmtId="0" fontId="71" fillId="0" borderId="0" xfId="0" applyFont="1" applyFill="1" applyAlignment="1">
      <alignment horizontal="center" vertical="center"/>
    </xf>
    <xf numFmtId="3" fontId="5" fillId="2" borderId="1" xfId="18" applyNumberFormat="1" applyFont="1" applyFill="1" applyBorder="1" applyAlignment="1">
      <alignment horizontal="center" vertical="center"/>
    </xf>
    <xf numFmtId="3" fontId="2" fillId="2" borderId="1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vertical="center" wrapText="1"/>
    </xf>
    <xf numFmtId="3" fontId="43" fillId="2" borderId="0" xfId="18" applyNumberFormat="1" applyFont="1" applyFill="1" applyAlignment="1">
      <alignment horizontal="center" vertical="center" wrapText="1"/>
    </xf>
    <xf numFmtId="3" fontId="3" fillId="2" borderId="0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right" vertical="center"/>
    </xf>
    <xf numFmtId="4" fontId="2" fillId="2" borderId="0" xfId="18" applyNumberFormat="1" applyFont="1" applyFill="1" applyAlignment="1">
      <alignment horizontal="right" vertical="center"/>
    </xf>
    <xf numFmtId="3" fontId="43" fillId="2" borderId="0" xfId="18" applyNumberFormat="1" applyFont="1" applyFill="1" applyAlignment="1">
      <alignment horizontal="right" vertical="center"/>
    </xf>
    <xf numFmtId="4" fontId="43" fillId="2" borderId="0" xfId="18" applyNumberFormat="1" applyFont="1" applyFill="1" applyAlignment="1">
      <alignment horizontal="right" vertical="center"/>
    </xf>
    <xf numFmtId="3" fontId="8" fillId="2" borderId="1" xfId="14" applyNumberFormat="1" applyFont="1" applyFill="1" applyBorder="1" applyAlignment="1">
      <alignment horizontal="left" vertical="center" wrapText="1"/>
    </xf>
    <xf numFmtId="3" fontId="8" fillId="2" borderId="1" xfId="14" applyNumberFormat="1" applyFont="1" applyFill="1" applyBorder="1" applyAlignment="1">
      <alignment horizontal="center" vertical="center" wrapText="1"/>
    </xf>
    <xf numFmtId="3" fontId="8" fillId="2" borderId="7" xfId="14" applyNumberFormat="1" applyFont="1" applyFill="1" applyBorder="1" applyAlignment="1">
      <alignment horizontal="left" vertical="center" wrapText="1"/>
    </xf>
    <xf numFmtId="3" fontId="7" fillId="2" borderId="1" xfId="14" applyNumberFormat="1" applyFont="1" applyFill="1" applyBorder="1" applyAlignment="1">
      <alignment horizontal="center" vertical="center"/>
    </xf>
    <xf numFmtId="3" fontId="7" fillId="2" borderId="7" xfId="14" applyNumberFormat="1" applyFont="1" applyFill="1" applyBorder="1" applyAlignment="1">
      <alignment horizontal="left" vertical="center" wrapText="1"/>
    </xf>
    <xf numFmtId="3" fontId="2" fillId="2" borderId="1" xfId="14" applyNumberFormat="1" applyFont="1" applyFill="1" applyBorder="1" applyAlignment="1">
      <alignment horizontal="center" vertical="center" wrapText="1"/>
    </xf>
    <xf numFmtId="3" fontId="2" fillId="2" borderId="7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 wrapText="1"/>
    </xf>
    <xf numFmtId="3" fontId="8" fillId="2" borderId="7" xfId="18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/>
    </xf>
    <xf numFmtId="3" fontId="7" fillId="2" borderId="10" xfId="14" applyNumberFormat="1" applyFont="1" applyFill="1" applyBorder="1" applyAlignment="1">
      <alignment horizontal="left" vertical="center" wrapText="1"/>
    </xf>
    <xf numFmtId="3" fontId="8" fillId="2" borderId="10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/>
    </xf>
    <xf numFmtId="3" fontId="2" fillId="2" borderId="9" xfId="18" applyNumberFormat="1" applyFont="1" applyFill="1" applyBorder="1" applyAlignment="1">
      <alignment horizontal="center" vertical="center"/>
    </xf>
    <xf numFmtId="3" fontId="2" fillId="2" borderId="9" xfId="34" applyNumberFormat="1" applyFont="1" applyFill="1" applyBorder="1" applyAlignment="1">
      <alignment horizontal="center" vertical="center" wrapText="1"/>
    </xf>
    <xf numFmtId="0" fontId="2" fillId="2" borderId="1" xfId="41" quotePrefix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/>
    </xf>
    <xf numFmtId="0" fontId="2" fillId="2" borderId="7" xfId="41" applyFont="1" applyFill="1" applyBorder="1" applyAlignment="1">
      <alignment horizontal="left" vertical="center"/>
    </xf>
    <xf numFmtId="3" fontId="9" fillId="2" borderId="8" xfId="18" applyNumberFormat="1" applyFont="1" applyFill="1" applyBorder="1" applyAlignment="1" applyProtection="1">
      <alignment horizontal="left" vertical="center" wrapText="1"/>
      <protection locked="0"/>
    </xf>
    <xf numFmtId="3" fontId="5" fillId="2" borderId="1" xfId="18" applyNumberFormat="1" applyFont="1" applyFill="1" applyBorder="1" applyAlignment="1">
      <alignment horizontal="center" vertical="center" wrapText="1"/>
    </xf>
    <xf numFmtId="3" fontId="15" fillId="2" borderId="8" xfId="14" applyNumberFormat="1" applyFont="1" applyFill="1" applyBorder="1" applyAlignment="1">
      <alignment horizontal="center" vertical="center"/>
    </xf>
    <xf numFmtId="3" fontId="2" fillId="2" borderId="0" xfId="18" applyNumberFormat="1" applyFont="1" applyFill="1" applyAlignment="1">
      <alignment horizontal="center" vertical="center"/>
    </xf>
    <xf numFmtId="3" fontId="2" fillId="2" borderId="0" xfId="18" applyNumberFormat="1" applyFont="1" applyFill="1" applyAlignment="1">
      <alignment horizontal="left" vertical="center"/>
    </xf>
    <xf numFmtId="0" fontId="2" fillId="0" borderId="1" xfId="6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 vertical="center"/>
    </xf>
    <xf numFmtId="0" fontId="11" fillId="0" borderId="0" xfId="7" applyFill="1"/>
    <xf numFmtId="0" fontId="15" fillId="0" borderId="0" xfId="6" applyFont="1" applyFill="1"/>
    <xf numFmtId="0" fontId="7" fillId="0" borderId="1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3" fontId="7" fillId="0" borderId="1" xfId="7" applyNumberFormat="1" applyFont="1" applyFill="1" applyBorder="1" applyAlignment="1">
      <alignment horizontal="center" vertical="center" wrapText="1"/>
    </xf>
    <xf numFmtId="3" fontId="9" fillId="0" borderId="1" xfId="7" applyNumberFormat="1" applyFont="1" applyFill="1" applyBorder="1" applyAlignment="1">
      <alignment horizontal="center"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left" vertical="center" wrapText="1"/>
    </xf>
    <xf numFmtId="49" fontId="2" fillId="0" borderId="1" xfId="6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7" quotePrefix="1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center" vertical="center"/>
    </xf>
    <xf numFmtId="0" fontId="18" fillId="0" borderId="0" xfId="6" applyFont="1" applyFill="1"/>
    <xf numFmtId="3" fontId="11" fillId="0" borderId="0" xfId="7" applyNumberFormat="1" applyFill="1"/>
    <xf numFmtId="3" fontId="33" fillId="2" borderId="1" xfId="0" applyNumberFormat="1" applyFont="1" applyFill="1" applyBorder="1" applyAlignment="1">
      <alignment horizontal="center" vertical="center" wrapText="1"/>
    </xf>
    <xf numFmtId="3" fontId="6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44" applyNumberFormat="1" applyFont="1" applyFill="1" applyBorder="1" applyAlignment="1">
      <alignment horizontal="center" vertical="center"/>
    </xf>
    <xf numFmtId="0" fontId="2" fillId="2" borderId="1" xfId="44" applyFont="1" applyFill="1" applyBorder="1" applyAlignment="1">
      <alignment horizontal="left" vertical="center" wrapText="1"/>
    </xf>
    <xf numFmtId="0" fontId="2" fillId="2" borderId="1" xfId="44" applyFont="1" applyFill="1" applyBorder="1" applyAlignment="1">
      <alignment horizontal="center" vertical="center" wrapText="1"/>
    </xf>
    <xf numFmtId="49" fontId="2" fillId="2" borderId="1" xfId="44" applyNumberFormat="1" applyFont="1" applyFill="1" applyBorder="1" applyAlignment="1">
      <alignment horizontal="center" vertical="center" wrapText="1"/>
    </xf>
    <xf numFmtId="0" fontId="5" fillId="2" borderId="1" xfId="44" applyFont="1" applyFill="1" applyBorder="1" applyAlignment="1">
      <alignment horizontal="left" vertical="center" wrapText="1"/>
    </xf>
    <xf numFmtId="49" fontId="2" fillId="2" borderId="1" xfId="41" applyNumberFormat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 wrapText="1"/>
    </xf>
    <xf numFmtId="3" fontId="2" fillId="2" borderId="1" xfId="44" applyNumberFormat="1" applyFont="1" applyFill="1" applyBorder="1" applyAlignment="1">
      <alignment horizontal="center" vertical="center"/>
    </xf>
    <xf numFmtId="3" fontId="8" fillId="2" borderId="1" xfId="41" applyNumberFormat="1" applyFont="1" applyFill="1" applyBorder="1" applyAlignment="1">
      <alignment horizontal="left" vertical="center" wrapText="1"/>
    </xf>
    <xf numFmtId="164" fontId="2" fillId="2" borderId="1" xfId="44" applyNumberFormat="1" applyFont="1" applyFill="1" applyBorder="1" applyAlignment="1">
      <alignment horizontal="center" vertical="center"/>
    </xf>
    <xf numFmtId="3" fontId="2" fillId="2" borderId="1" xfId="41" applyNumberFormat="1" applyFont="1" applyFill="1" applyBorder="1" applyAlignment="1">
      <alignment horizontal="left" vertical="center" wrapText="1"/>
    </xf>
    <xf numFmtId="3" fontId="2" fillId="2" borderId="5" xfId="44" applyNumberFormat="1" applyFont="1" applyFill="1" applyBorder="1" applyAlignment="1">
      <alignment horizontal="center" vertical="center"/>
    </xf>
    <xf numFmtId="0" fontId="2" fillId="2" borderId="0" xfId="41" applyFont="1" applyFill="1"/>
    <xf numFmtId="0" fontId="2" fillId="2" borderId="1" xfId="41" applyFont="1" applyFill="1" applyBorder="1" applyAlignment="1">
      <alignment horizontal="center" vertical="center"/>
    </xf>
    <xf numFmtId="3" fontId="7" fillId="2" borderId="1" xfId="44" applyNumberFormat="1" applyFont="1" applyFill="1" applyBorder="1" applyAlignment="1">
      <alignment horizontal="left" vertical="center" wrapText="1"/>
    </xf>
    <xf numFmtId="3" fontId="7" fillId="2" borderId="1" xfId="44" applyNumberFormat="1" applyFont="1" applyFill="1" applyBorder="1" applyAlignment="1">
      <alignment horizontal="center" vertical="center"/>
    </xf>
    <xf numFmtId="0" fontId="2" fillId="0" borderId="1" xfId="31" applyFont="1" applyFill="1" applyBorder="1" applyAlignment="1">
      <alignment horizontal="center" vertical="center" wrapText="1"/>
    </xf>
    <xf numFmtId="0" fontId="2" fillId="0" borderId="1" xfId="28" applyFont="1" applyFill="1" applyBorder="1" applyAlignment="1">
      <alignment horizontal="center" vertical="center" wrapText="1"/>
    </xf>
    <xf numFmtId="0" fontId="13" fillId="0" borderId="1" xfId="9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53" fillId="0" borderId="1" xfId="2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left" vertical="center"/>
    </xf>
    <xf numFmtId="0" fontId="13" fillId="0" borderId="1" xfId="28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 wrapText="1"/>
    </xf>
    <xf numFmtId="0" fontId="17" fillId="2" borderId="1" xfId="14" quotePrefix="1" applyFont="1" applyFill="1" applyBorder="1" applyAlignment="1">
      <alignment horizontal="center" vertical="center" wrapText="1"/>
    </xf>
    <xf numFmtId="0" fontId="2" fillId="2" borderId="1" xfId="45" applyFont="1" applyFill="1" applyBorder="1" applyAlignment="1">
      <alignment horizontal="center" vertical="center" wrapText="1"/>
    </xf>
    <xf numFmtId="3" fontId="2" fillId="0" borderId="1" xfId="45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0" fontId="2" fillId="2" borderId="0" xfId="36" applyFont="1" applyFill="1"/>
    <xf numFmtId="0" fontId="2" fillId="2" borderId="0" xfId="36" applyFont="1" applyFill="1" applyAlignment="1">
      <alignment horizontal="center" vertical="center"/>
    </xf>
    <xf numFmtId="3" fontId="2" fillId="2" borderId="0" xfId="36" applyNumberFormat="1" applyFont="1" applyFill="1" applyAlignment="1">
      <alignment horizontal="center" vertical="center"/>
    </xf>
    <xf numFmtId="0" fontId="33" fillId="0" borderId="1" xfId="9" applyFont="1" applyBorder="1" applyAlignment="1">
      <alignment horizontal="center"/>
    </xf>
    <xf numFmtId="0" fontId="2" fillId="2" borderId="0" xfId="1" applyFont="1" applyFill="1" applyAlignment="1">
      <alignment horizontal="right" vertical="center" wrapText="1"/>
    </xf>
    <xf numFmtId="0" fontId="21" fillId="0" borderId="39" xfId="10" applyFont="1" applyFill="1" applyBorder="1"/>
    <xf numFmtId="0" fontId="22" fillId="0" borderId="35" xfId="10" applyFont="1" applyFill="1" applyBorder="1" applyAlignment="1">
      <alignment horizontal="center"/>
    </xf>
    <xf numFmtId="3" fontId="22" fillId="0" borderId="35" xfId="10" applyNumberFormat="1" applyFont="1" applyFill="1" applyBorder="1" applyAlignment="1">
      <alignment horizontal="center"/>
    </xf>
    <xf numFmtId="3" fontId="22" fillId="0" borderId="36" xfId="10" applyNumberFormat="1" applyFont="1" applyFill="1" applyBorder="1" applyAlignment="1">
      <alignment horizontal="center"/>
    </xf>
    <xf numFmtId="0" fontId="17" fillId="2" borderId="0" xfId="10" applyFont="1" applyFill="1"/>
    <xf numFmtId="0" fontId="14" fillId="2" borderId="1" xfId="11" applyFont="1" applyFill="1" applyBorder="1"/>
    <xf numFmtId="0" fontId="22" fillId="2" borderId="35" xfId="10" applyFont="1" applyFill="1" applyBorder="1"/>
    <xf numFmtId="3" fontId="2" fillId="2" borderId="1" xfId="3" applyNumberFormat="1" applyFont="1" applyFill="1" applyBorder="1" applyAlignment="1">
      <alignment horizontal="left" vertical="center" wrapText="1"/>
    </xf>
    <xf numFmtId="3" fontId="43" fillId="2" borderId="7" xfId="36" applyNumberFormat="1" applyFont="1" applyFill="1" applyBorder="1" applyAlignment="1">
      <alignment horizontal="center" vertical="center" wrapText="1"/>
    </xf>
    <xf numFmtId="3" fontId="72" fillId="2" borderId="6" xfId="3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4" fontId="7" fillId="0" borderId="0" xfId="15" applyNumberFormat="1" applyFont="1" applyFill="1"/>
    <xf numFmtId="0" fontId="7" fillId="0" borderId="9" xfId="9" applyFont="1" applyBorder="1" applyAlignment="1">
      <alignment horizontal="center" vertical="center" wrapText="1"/>
    </xf>
    <xf numFmtId="0" fontId="33" fillId="0" borderId="1" xfId="9" applyFont="1" applyFill="1" applyBorder="1" applyAlignment="1">
      <alignment horizontal="center"/>
    </xf>
    <xf numFmtId="3" fontId="9" fillId="6" borderId="1" xfId="9" applyNumberFormat="1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2" fillId="2" borderId="7" xfId="4" applyFont="1" applyFill="1" applyBorder="1" applyAlignment="1">
      <alignment horizontal="left" vertical="center" wrapText="1"/>
    </xf>
    <xf numFmtId="49" fontId="2" fillId="2" borderId="7" xfId="2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3" fontId="2" fillId="2" borderId="7" xfId="2" applyNumberFormat="1" applyFont="1" applyFill="1" applyBorder="1" applyAlignment="1">
      <alignment horizontal="left" vertical="center" wrapText="1"/>
    </xf>
    <xf numFmtId="3" fontId="8" fillId="2" borderId="7" xfId="9" applyNumberFormat="1" applyFont="1" applyFill="1" applyBorder="1" applyAlignment="1">
      <alignment horizontal="left" vertical="center" wrapText="1"/>
    </xf>
    <xf numFmtId="3" fontId="2" fillId="2" borderId="7" xfId="9" applyNumberFormat="1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/>
    </xf>
    <xf numFmtId="3" fontId="7" fillId="0" borderId="0" xfId="9" applyNumberFormat="1" applyFont="1"/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left" vertical="center" wrapText="1"/>
    </xf>
    <xf numFmtId="3" fontId="2" fillId="0" borderId="5" xfId="2" applyNumberFormat="1" applyFont="1" applyFill="1" applyBorder="1" applyAlignment="1">
      <alignment horizontal="center" vertical="center"/>
    </xf>
    <xf numFmtId="0" fontId="2" fillId="0" borderId="0" xfId="1" applyFont="1" applyFill="1"/>
    <xf numFmtId="0" fontId="2" fillId="0" borderId="1" xfId="1" applyFont="1" applyFill="1" applyBorder="1" applyAlignment="1">
      <alignment horizontal="left" vertical="center"/>
    </xf>
    <xf numFmtId="3" fontId="23" fillId="2" borderId="0" xfId="12" applyNumberFormat="1" applyFont="1" applyFill="1" applyBorder="1" applyProtection="1"/>
    <xf numFmtId="0" fontId="2" fillId="2" borderId="1" xfId="0" applyFont="1" applyFill="1" applyBorder="1" applyAlignment="1">
      <alignment horizontal="center" vertical="center" wrapText="1"/>
    </xf>
    <xf numFmtId="0" fontId="75" fillId="2" borderId="0" xfId="12" applyFont="1" applyFill="1" applyProtection="1"/>
    <xf numFmtId="0" fontId="53" fillId="2" borderId="5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3" fontId="53" fillId="2" borderId="5" xfId="36" applyNumberFormat="1" applyFont="1" applyFill="1" applyBorder="1" applyAlignment="1">
      <alignment horizontal="center" vertical="center"/>
    </xf>
    <xf numFmtId="1" fontId="53" fillId="2" borderId="5" xfId="36" applyNumberFormat="1" applyFont="1" applyFill="1" applyBorder="1" applyAlignment="1">
      <alignment horizontal="center" vertical="center"/>
    </xf>
    <xf numFmtId="0" fontId="5" fillId="2" borderId="1" xfId="36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3" fontId="16" fillId="0" borderId="1" xfId="1" applyNumberFormat="1" applyFont="1" applyFill="1" applyBorder="1" applyAlignment="1">
      <alignment horizontal="left" vertical="center" wrapText="1"/>
    </xf>
    <xf numFmtId="3" fontId="13" fillId="0" borderId="1" xfId="1" applyNumberFormat="1" applyFont="1" applyFill="1" applyBorder="1" applyAlignment="1">
      <alignment horizontal="left" vertical="center" wrapText="1"/>
    </xf>
    <xf numFmtId="3" fontId="16" fillId="0" borderId="5" xfId="1" applyNumberFormat="1" applyFont="1" applyFill="1" applyBorder="1" applyAlignment="1">
      <alignment horizontal="left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2" borderId="0" xfId="1" applyFont="1" applyFill="1"/>
    <xf numFmtId="3" fontId="34" fillId="2" borderId="1" xfId="15" applyNumberFormat="1" applyFont="1" applyFill="1" applyBorder="1" applyAlignment="1">
      <alignment horizontal="center" vertical="center"/>
    </xf>
    <xf numFmtId="3" fontId="32" fillId="2" borderId="1" xfId="15" applyNumberFormat="1" applyFont="1" applyFill="1" applyBorder="1" applyAlignment="1">
      <alignment horizontal="center" vertical="center"/>
    </xf>
    <xf numFmtId="3" fontId="7" fillId="2" borderId="1" xfId="15" applyNumberFormat="1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left" vertical="center" wrapText="1"/>
    </xf>
    <xf numFmtId="0" fontId="36" fillId="2" borderId="0" xfId="20" applyFont="1" applyFill="1"/>
    <xf numFmtId="0" fontId="36" fillId="2" borderId="0" xfId="20" applyFont="1" applyFill="1" applyAlignment="1">
      <alignment vertical="center"/>
    </xf>
    <xf numFmtId="0" fontId="32" fillId="2" borderId="1" xfId="21" applyFont="1" applyFill="1" applyBorder="1" applyAlignment="1">
      <alignment horizontal="center" vertical="center" wrapText="1"/>
    </xf>
    <xf numFmtId="0" fontId="32" fillId="2" borderId="1" xfId="22" applyFont="1" applyFill="1" applyBorder="1" applyAlignment="1">
      <alignment horizontal="center" vertical="center" wrapText="1"/>
    </xf>
    <xf numFmtId="0" fontId="7" fillId="2" borderId="1" xfId="22" applyFont="1" applyFill="1" applyBorder="1" applyAlignment="1">
      <alignment horizontal="center" vertical="center" wrapText="1"/>
    </xf>
    <xf numFmtId="0" fontId="26" fillId="2" borderId="1" xfId="20" applyFont="1" applyFill="1" applyBorder="1" applyAlignment="1">
      <alignment horizontal="center" vertical="center" wrapText="1"/>
    </xf>
    <xf numFmtId="3" fontId="26" fillId="2" borderId="1" xfId="20" applyNumberFormat="1" applyFont="1" applyFill="1" applyBorder="1" applyAlignment="1">
      <alignment horizontal="center" vertical="center"/>
    </xf>
    <xf numFmtId="0" fontId="37" fillId="2" borderId="0" xfId="20" applyFont="1" applyFill="1"/>
    <xf numFmtId="3" fontId="34" fillId="2" borderId="1" xfId="20" applyNumberFormat="1" applyFont="1" applyFill="1" applyBorder="1" applyAlignment="1">
      <alignment horizontal="center" vertical="center"/>
    </xf>
    <xf numFmtId="0" fontId="38" fillId="2" borderId="0" xfId="20" applyFont="1" applyFill="1"/>
    <xf numFmtId="3" fontId="32" fillId="2" borderId="1" xfId="20" applyNumberFormat="1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/>
    </xf>
    <xf numFmtId="49" fontId="7" fillId="2" borderId="1" xfId="6" applyNumberFormat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left" vertical="center" wrapText="1"/>
    </xf>
    <xf numFmtId="0" fontId="7" fillId="2" borderId="1" xfId="14" applyFont="1" applyFill="1" applyBorder="1" applyAlignment="1">
      <alignment horizontal="left" vertical="center" wrapText="1"/>
    </xf>
    <xf numFmtId="49" fontId="7" fillId="2" borderId="1" xfId="6" applyNumberFormat="1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left" vertical="center" wrapText="1"/>
    </xf>
    <xf numFmtId="3" fontId="8" fillId="2" borderId="1" xfId="6" applyNumberFormat="1" applyFont="1" applyFill="1" applyBorder="1" applyAlignment="1">
      <alignment horizontal="left" vertical="center" wrapText="1"/>
    </xf>
    <xf numFmtId="3" fontId="2" fillId="2" borderId="1" xfId="6" applyNumberFormat="1" applyFont="1" applyFill="1" applyBorder="1" applyAlignment="1">
      <alignment horizontal="left" vertical="center" wrapText="1"/>
    </xf>
    <xf numFmtId="0" fontId="13" fillId="2" borderId="0" xfId="1" applyFont="1" applyFill="1"/>
    <xf numFmtId="0" fontId="2" fillId="2" borderId="1" xfId="6" applyFont="1" applyFill="1" applyBorder="1" applyAlignment="1">
      <alignment horizontal="left" vertical="center"/>
    </xf>
    <xf numFmtId="0" fontId="2" fillId="2" borderId="1" xfId="23" quotePrefix="1" applyFont="1" applyFill="1" applyBorder="1" applyAlignment="1">
      <alignment horizontal="center" vertical="center"/>
    </xf>
    <xf numFmtId="0" fontId="2" fillId="2" borderId="1" xfId="23" applyFont="1" applyFill="1" applyBorder="1" applyAlignment="1">
      <alignment horizontal="left" vertical="center"/>
    </xf>
    <xf numFmtId="0" fontId="2" fillId="2" borderId="1" xfId="22" quotePrefix="1" applyFont="1" applyFill="1" applyBorder="1" applyAlignment="1">
      <alignment horizontal="center" vertical="center"/>
    </xf>
    <xf numFmtId="0" fontId="2" fillId="2" borderId="1" xfId="22" applyFont="1" applyFill="1" applyBorder="1" applyAlignment="1">
      <alignment horizontal="left" vertical="center"/>
    </xf>
    <xf numFmtId="0" fontId="7" fillId="2" borderId="0" xfId="24" applyFont="1" applyFill="1"/>
    <xf numFmtId="0" fontId="7" fillId="2" borderId="5" xfId="24" applyFont="1" applyFill="1" applyBorder="1" applyAlignment="1">
      <alignment horizontal="center" vertical="center" wrapText="1"/>
    </xf>
    <xf numFmtId="0" fontId="7" fillId="2" borderId="6" xfId="24" applyFont="1" applyFill="1" applyBorder="1" applyAlignment="1">
      <alignment horizontal="center" vertical="center" wrapText="1"/>
    </xf>
    <xf numFmtId="0" fontId="32" fillId="2" borderId="5" xfId="25" applyFont="1" applyFill="1" applyBorder="1" applyAlignment="1">
      <alignment horizontal="center" vertical="center" wrapText="1"/>
    </xf>
    <xf numFmtId="0" fontId="32" fillId="2" borderId="6" xfId="24" applyFont="1" applyFill="1" applyBorder="1" applyAlignment="1">
      <alignment horizontal="center" vertical="center" wrapText="1"/>
    </xf>
    <xf numFmtId="0" fontId="26" fillId="2" borderId="1" xfId="24" applyFont="1" applyFill="1" applyBorder="1" applyAlignment="1">
      <alignment horizontal="center" vertical="center" wrapText="1"/>
    </xf>
    <xf numFmtId="0" fontId="26" fillId="2" borderId="1" xfId="24" applyFont="1" applyFill="1" applyBorder="1" applyAlignment="1">
      <alignment horizontal="center" vertical="center"/>
    </xf>
    <xf numFmtId="3" fontId="26" fillId="2" borderId="1" xfId="24" applyNumberFormat="1" applyFont="1" applyFill="1" applyBorder="1" applyAlignment="1">
      <alignment horizontal="center" vertical="center"/>
    </xf>
    <xf numFmtId="0" fontId="33" fillId="2" borderId="0" xfId="24" applyFont="1" applyFill="1"/>
    <xf numFmtId="3" fontId="40" fillId="2" borderId="1" xfId="24" applyNumberFormat="1" applyFont="1" applyFill="1" applyBorder="1" applyAlignment="1">
      <alignment horizontal="center" vertical="center"/>
    </xf>
    <xf numFmtId="3" fontId="32" fillId="2" borderId="1" xfId="24" applyNumberFormat="1" applyFont="1" applyFill="1" applyBorder="1" applyAlignment="1">
      <alignment horizontal="center" vertical="center"/>
    </xf>
    <xf numFmtId="3" fontId="2" fillId="2" borderId="1" xfId="26" applyNumberFormat="1" applyFont="1" applyFill="1" applyBorder="1" applyAlignment="1">
      <alignment horizontal="center" vertical="center" wrapText="1"/>
    </xf>
    <xf numFmtId="3" fontId="7" fillId="2" borderId="1" xfId="24" applyNumberFormat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center" vertical="center"/>
    </xf>
    <xf numFmtId="3" fontId="16" fillId="2" borderId="1" xfId="9" applyNumberFormat="1" applyFont="1" applyFill="1" applyBorder="1" applyAlignment="1">
      <alignment horizontal="left" vertical="center" wrapText="1"/>
    </xf>
    <xf numFmtId="164" fontId="13" fillId="2" borderId="1" xfId="2" applyNumberFormat="1" applyFont="1" applyFill="1" applyBorder="1" applyAlignment="1">
      <alignment horizontal="center" vertical="center"/>
    </xf>
    <xf numFmtId="3" fontId="13" fillId="2" borderId="1" xfId="9" applyNumberFormat="1" applyFont="1" applyFill="1" applyBorder="1" applyAlignment="1">
      <alignment horizontal="left" vertical="center" wrapText="1"/>
    </xf>
    <xf numFmtId="0" fontId="7" fillId="2" borderId="1" xfId="24" applyFont="1" applyFill="1" applyBorder="1" applyAlignment="1">
      <alignment horizontal="center"/>
    </xf>
    <xf numFmtId="3" fontId="13" fillId="2" borderId="5" xfId="2" applyNumberFormat="1" applyFont="1" applyFill="1" applyBorder="1" applyAlignment="1">
      <alignment horizontal="center" vertical="center"/>
    </xf>
    <xf numFmtId="3" fontId="7" fillId="2" borderId="1" xfId="24" applyNumberFormat="1" applyFont="1" applyFill="1" applyBorder="1" applyAlignment="1">
      <alignment horizontal="center"/>
    </xf>
    <xf numFmtId="0" fontId="2" fillId="2" borderId="1" xfId="24" quotePrefix="1" applyFont="1" applyFill="1" applyBorder="1" applyAlignment="1">
      <alignment horizontal="center" vertical="center"/>
    </xf>
    <xf numFmtId="0" fontId="2" fillId="2" borderId="1" xfId="24" applyFont="1" applyFill="1" applyBorder="1" applyAlignment="1">
      <alignment horizontal="left" vertical="center"/>
    </xf>
    <xf numFmtId="3" fontId="7" fillId="2" borderId="0" xfId="24" applyNumberFormat="1" applyFont="1" applyFill="1"/>
    <xf numFmtId="0" fontId="17" fillId="2" borderId="0" xfId="6" applyFont="1" applyFill="1"/>
    <xf numFmtId="0" fontId="32" fillId="2" borderId="6" xfId="31" applyFont="1" applyFill="1" applyBorder="1" applyAlignment="1">
      <alignment horizontal="center" vertical="center" wrapText="1"/>
    </xf>
    <xf numFmtId="0" fontId="7" fillId="2" borderId="6" xfId="31" applyFont="1" applyFill="1" applyBorder="1" applyAlignment="1">
      <alignment horizontal="center" vertical="center" wrapText="1"/>
    </xf>
    <xf numFmtId="0" fontId="26" fillId="2" borderId="1" xfId="30" applyFont="1" applyFill="1" applyBorder="1" applyAlignment="1">
      <alignment horizontal="center" vertical="center" wrapText="1"/>
    </xf>
    <xf numFmtId="3" fontId="26" fillId="2" borderId="1" xfId="30" applyNumberFormat="1" applyFont="1" applyFill="1" applyBorder="1" applyAlignment="1">
      <alignment horizontal="center" vertical="center"/>
    </xf>
    <xf numFmtId="3" fontId="40" fillId="2" borderId="1" xfId="30" applyNumberFormat="1" applyFont="1" applyFill="1" applyBorder="1" applyAlignment="1">
      <alignment horizontal="center" vertical="center"/>
    </xf>
    <xf numFmtId="0" fontId="43" fillId="2" borderId="1" xfId="9" applyFont="1" applyFill="1" applyBorder="1" applyAlignment="1">
      <alignment horizontal="center" vertical="center"/>
    </xf>
    <xf numFmtId="0" fontId="43" fillId="2" borderId="1" xfId="2" applyFont="1" applyFill="1" applyBorder="1" applyAlignment="1">
      <alignment horizontal="left" vertical="center" wrapText="1"/>
    </xf>
    <xf numFmtId="0" fontId="43" fillId="2" borderId="1" xfId="2" applyFont="1" applyFill="1" applyBorder="1" applyAlignment="1">
      <alignment horizontal="center" vertical="center" wrapText="1"/>
    </xf>
    <xf numFmtId="49" fontId="43" fillId="2" borderId="1" xfId="2" applyNumberFormat="1" applyFont="1" applyFill="1" applyBorder="1" applyAlignment="1">
      <alignment horizontal="center" vertical="center"/>
    </xf>
    <xf numFmtId="49" fontId="43" fillId="2" borderId="1" xfId="9" applyNumberFormat="1" applyFont="1" applyFill="1" applyBorder="1" applyAlignment="1">
      <alignment horizontal="center" vertical="center" wrapText="1"/>
    </xf>
    <xf numFmtId="0" fontId="43" fillId="2" borderId="1" xfId="9" applyFont="1" applyFill="1" applyBorder="1" applyAlignment="1">
      <alignment horizontal="left" vertical="center" wrapText="1"/>
    </xf>
    <xf numFmtId="0" fontId="44" fillId="2" borderId="1" xfId="2" applyFont="1" applyFill="1" applyBorder="1" applyAlignment="1">
      <alignment horizontal="left" vertical="center" wrapText="1"/>
    </xf>
    <xf numFmtId="0" fontId="43" fillId="2" borderId="1" xfId="4" applyFont="1" applyFill="1" applyBorder="1" applyAlignment="1">
      <alignment horizontal="left" vertical="center" wrapText="1"/>
    </xf>
    <xf numFmtId="49" fontId="43" fillId="2" borderId="1" xfId="9" applyNumberFormat="1" applyFont="1" applyFill="1" applyBorder="1" applyAlignment="1">
      <alignment horizontal="center" vertical="center"/>
    </xf>
    <xf numFmtId="49" fontId="43" fillId="2" borderId="1" xfId="2" applyNumberFormat="1" applyFont="1" applyFill="1" applyBorder="1" applyAlignment="1">
      <alignment horizontal="left" vertical="center" wrapText="1"/>
    </xf>
    <xf numFmtId="3" fontId="43" fillId="2" borderId="1" xfId="2" applyNumberFormat="1" applyFont="1" applyFill="1" applyBorder="1" applyAlignment="1">
      <alignment horizontal="left" vertical="center" wrapText="1"/>
    </xf>
    <xf numFmtId="3" fontId="43" fillId="2" borderId="1" xfId="2" applyNumberFormat="1" applyFont="1" applyFill="1" applyBorder="1" applyAlignment="1">
      <alignment horizontal="center" vertical="center"/>
    </xf>
    <xf numFmtId="3" fontId="45" fillId="2" borderId="1" xfId="9" applyNumberFormat="1" applyFont="1" applyFill="1" applyBorder="1" applyAlignment="1">
      <alignment horizontal="left" vertical="center" wrapText="1"/>
    </xf>
    <xf numFmtId="164" fontId="43" fillId="2" borderId="1" xfId="2" applyNumberFormat="1" applyFont="1" applyFill="1" applyBorder="1" applyAlignment="1">
      <alignment horizontal="center" vertical="center"/>
    </xf>
    <xf numFmtId="3" fontId="43" fillId="2" borderId="1" xfId="9" applyNumberFormat="1" applyFont="1" applyFill="1" applyBorder="1" applyAlignment="1">
      <alignment horizontal="left" vertical="center" wrapText="1"/>
    </xf>
    <xf numFmtId="3" fontId="43" fillId="2" borderId="5" xfId="2" applyNumberFormat="1" applyFont="1" applyFill="1" applyBorder="1" applyAlignment="1">
      <alignment horizontal="center" vertical="center"/>
    </xf>
    <xf numFmtId="0" fontId="43" fillId="2" borderId="0" xfId="1" applyFont="1" applyFill="1"/>
    <xf numFmtId="0" fontId="43" fillId="2" borderId="1" xfId="9" applyFont="1" applyFill="1" applyBorder="1" applyAlignment="1">
      <alignment horizontal="left" vertical="center"/>
    </xf>
    <xf numFmtId="0" fontId="43" fillId="2" borderId="1" xfId="9" quotePrefix="1" applyFont="1" applyFill="1" applyBorder="1" applyAlignment="1">
      <alignment horizontal="center" vertical="center"/>
    </xf>
    <xf numFmtId="0" fontId="33" fillId="2" borderId="1" xfId="6" applyFont="1" applyFill="1" applyBorder="1" applyAlignment="1">
      <alignment horizontal="center"/>
    </xf>
    <xf numFmtId="0" fontId="43" fillId="2" borderId="1" xfId="30" quotePrefix="1" applyFont="1" applyFill="1" applyBorder="1" applyAlignment="1">
      <alignment horizontal="center" vertical="center"/>
    </xf>
    <xf numFmtId="0" fontId="43" fillId="2" borderId="1" xfId="30" applyFont="1" applyFill="1" applyBorder="1" applyAlignment="1">
      <alignment horizontal="left" vertical="center"/>
    </xf>
    <xf numFmtId="3" fontId="33" fillId="2" borderId="1" xfId="24" applyNumberFormat="1" applyFont="1" applyFill="1" applyBorder="1" applyAlignment="1">
      <alignment horizontal="center" vertical="center"/>
    </xf>
    <xf numFmtId="2" fontId="33" fillId="2" borderId="0" xfId="24" applyNumberFormat="1" applyFont="1" applyFill="1"/>
    <xf numFmtId="2" fontId="7" fillId="2" borderId="0" xfId="24" applyNumberFormat="1" applyFont="1" applyFill="1"/>
    <xf numFmtId="0" fontId="2" fillId="2" borderId="0" xfId="9" applyFont="1" applyFill="1" applyBorder="1" applyAlignment="1">
      <alignment horizontal="center" vertical="center"/>
    </xf>
    <xf numFmtId="0" fontId="2" fillId="2" borderId="0" xfId="9" quotePrefix="1" applyFont="1" applyFill="1" applyBorder="1" applyAlignment="1">
      <alignment horizontal="center" vertical="center"/>
    </xf>
    <xf numFmtId="0" fontId="2" fillId="2" borderId="0" xfId="9" applyFont="1" applyFill="1" applyBorder="1" applyAlignment="1">
      <alignment horizontal="left" vertical="center" wrapText="1"/>
    </xf>
    <xf numFmtId="3" fontId="26" fillId="2" borderId="0" xfId="24" applyNumberFormat="1" applyFont="1" applyFill="1" applyBorder="1" applyAlignment="1">
      <alignment horizontal="center" vertical="center"/>
    </xf>
    <xf numFmtId="0" fontId="7" fillId="2" borderId="0" xfId="24" applyFont="1" applyFill="1" applyBorder="1" applyAlignment="1">
      <alignment horizontal="center"/>
    </xf>
    <xf numFmtId="3" fontId="7" fillId="2" borderId="0" xfId="24" applyNumberFormat="1" applyFont="1" applyFill="1" applyBorder="1" applyAlignment="1">
      <alignment horizontal="center" vertical="center"/>
    </xf>
    <xf numFmtId="0" fontId="2" fillId="2" borderId="0" xfId="2" applyFont="1" applyFill="1" applyBorder="1" applyAlignment="1">
      <alignment vertical="center" wrapText="1"/>
    </xf>
    <xf numFmtId="0" fontId="7" fillId="2" borderId="0" xfId="24" applyFont="1" applyFill="1" applyAlignment="1"/>
    <xf numFmtId="3" fontId="7" fillId="2" borderId="1" xfId="9" applyNumberFormat="1" applyFont="1" applyFill="1" applyBorder="1" applyAlignment="1">
      <alignment horizontal="center" vertical="center" wrapText="1"/>
    </xf>
    <xf numFmtId="0" fontId="13" fillId="2" borderId="0" xfId="18" applyFont="1" applyFill="1"/>
    <xf numFmtId="3" fontId="2" fillId="2" borderId="1" xfId="34" applyNumberFormat="1" applyFont="1" applyFill="1" applyBorder="1" applyAlignment="1">
      <alignment horizontal="center" vertical="center" wrapText="1"/>
    </xf>
    <xf numFmtId="3" fontId="5" fillId="2" borderId="8" xfId="18" applyNumberFormat="1" applyFont="1" applyFill="1" applyBorder="1" applyAlignment="1">
      <alignment horizontal="center" vertical="center"/>
    </xf>
    <xf numFmtId="3" fontId="3" fillId="2" borderId="0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3" fontId="5" fillId="2" borderId="1" xfId="2" applyNumberFormat="1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left" vertical="center" wrapText="1"/>
    </xf>
    <xf numFmtId="3" fontId="5" fillId="2" borderId="1" xfId="2" applyNumberFormat="1" applyFont="1" applyFill="1" applyBorder="1" applyAlignment="1">
      <alignment horizontal="center" vertical="center"/>
    </xf>
    <xf numFmtId="3" fontId="9" fillId="2" borderId="1" xfId="3" applyNumberFormat="1" applyFont="1" applyFill="1" applyBorder="1" applyAlignment="1">
      <alignment horizontal="right" vertical="center"/>
    </xf>
    <xf numFmtId="3" fontId="2" fillId="2" borderId="1" xfId="18" applyNumberFormat="1" applyFont="1" applyFill="1" applyBorder="1" applyAlignment="1">
      <alignment horizontal="right" vertical="center"/>
    </xf>
    <xf numFmtId="3" fontId="5" fillId="2" borderId="1" xfId="18" applyNumberFormat="1" applyFont="1" applyFill="1" applyBorder="1" applyAlignment="1">
      <alignment horizontal="right" vertical="center"/>
    </xf>
    <xf numFmtId="3" fontId="9" fillId="2" borderId="1" xfId="18" applyNumberFormat="1" applyFont="1" applyFill="1" applyBorder="1" applyAlignment="1">
      <alignment horizontal="right" vertical="center"/>
    </xf>
    <xf numFmtId="3" fontId="7" fillId="2" borderId="1" xfId="18" applyNumberFormat="1" applyFont="1" applyFill="1" applyBorder="1" applyAlignment="1">
      <alignment horizontal="right" vertical="center"/>
    </xf>
    <xf numFmtId="0" fontId="17" fillId="2" borderId="1" xfId="13" applyFont="1" applyFill="1" applyBorder="1" applyAlignment="1">
      <alignment vertical="center" wrapText="1"/>
    </xf>
    <xf numFmtId="3" fontId="17" fillId="2" borderId="1" xfId="12" applyNumberFormat="1" applyFont="1" applyFill="1" applyBorder="1" applyProtection="1"/>
    <xf numFmtId="0" fontId="23" fillId="2" borderId="0" xfId="12" applyFont="1" applyFill="1" applyBorder="1" applyProtection="1"/>
    <xf numFmtId="0" fontId="23" fillId="2" borderId="0" xfId="12" applyFont="1" applyFill="1" applyBorder="1" applyAlignment="1" applyProtection="1">
      <alignment horizontal="right"/>
    </xf>
    <xf numFmtId="0" fontId="13" fillId="2" borderId="19" xfId="6" applyFont="1" applyFill="1" applyBorder="1" applyAlignment="1">
      <alignment horizontal="center" vertical="center"/>
    </xf>
    <xf numFmtId="49" fontId="18" fillId="2" borderId="1" xfId="2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8" fillId="2" borderId="23" xfId="2" applyFont="1" applyFill="1" applyBorder="1" applyAlignment="1">
      <alignment horizontal="left" vertical="center" wrapText="1"/>
    </xf>
    <xf numFmtId="0" fontId="13" fillId="2" borderId="23" xfId="2" applyFont="1" applyFill="1" applyBorder="1" applyAlignment="1">
      <alignment horizontal="left" vertical="center" wrapText="1"/>
    </xf>
    <xf numFmtId="3" fontId="13" fillId="2" borderId="19" xfId="43" applyNumberFormat="1" applyFont="1" applyFill="1" applyBorder="1" applyAlignment="1">
      <alignment horizontal="center" vertical="center"/>
    </xf>
    <xf numFmtId="3" fontId="13" fillId="2" borderId="7" xfId="43" applyNumberFormat="1" applyFont="1" applyFill="1" applyBorder="1" applyAlignment="1">
      <alignment horizontal="center" vertical="center"/>
    </xf>
    <xf numFmtId="3" fontId="13" fillId="2" borderId="23" xfId="43" applyNumberFormat="1" applyFont="1" applyFill="1" applyBorder="1" applyAlignment="1">
      <alignment horizontal="center" vertical="center"/>
    </xf>
    <xf numFmtId="3" fontId="13" fillId="2" borderId="9" xfId="43" applyNumberFormat="1" applyFont="1" applyFill="1" applyBorder="1" applyAlignment="1">
      <alignment horizontal="center" vertical="center"/>
    </xf>
    <xf numFmtId="0" fontId="53" fillId="2" borderId="23" xfId="2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center" vertical="center" wrapText="1"/>
    </xf>
    <xf numFmtId="3" fontId="13" fillId="2" borderId="1" xfId="43" applyNumberFormat="1" applyFont="1" applyFill="1" applyBorder="1" applyAlignment="1">
      <alignment horizontal="center" vertical="center"/>
    </xf>
    <xf numFmtId="0" fontId="13" fillId="2" borderId="0" xfId="43" applyFont="1" applyFill="1"/>
    <xf numFmtId="49" fontId="15" fillId="2" borderId="1" xfId="2" applyNumberFormat="1" applyFont="1" applyFill="1" applyBorder="1" applyAlignment="1">
      <alignment horizontal="center" vertical="center" wrapText="1"/>
    </xf>
    <xf numFmtId="49" fontId="53" fillId="2" borderId="1" xfId="2" applyNumberFormat="1" applyFont="1" applyFill="1" applyBorder="1" applyAlignment="1">
      <alignment horizontal="center" vertical="center" wrapText="1"/>
    </xf>
    <xf numFmtId="3" fontId="13" fillId="2" borderId="23" xfId="2" applyNumberFormat="1" applyFont="1" applyFill="1" applyBorder="1" applyAlignment="1">
      <alignment horizontal="left" vertical="center" wrapText="1"/>
    </xf>
    <xf numFmtId="3" fontId="13" fillId="2" borderId="23" xfId="6" applyNumberFormat="1" applyFont="1" applyFill="1" applyBorder="1" applyAlignment="1">
      <alignment horizontal="left" vertical="center" wrapText="1"/>
    </xf>
    <xf numFmtId="0" fontId="13" fillId="2" borderId="1" xfId="6" applyFont="1" applyFill="1" applyBorder="1" applyAlignment="1">
      <alignment horizontal="center" vertical="center"/>
    </xf>
    <xf numFmtId="0" fontId="13" fillId="2" borderId="23" xfId="6" applyFont="1" applyFill="1" applyBorder="1" applyAlignment="1">
      <alignment horizontal="left" vertical="center"/>
    </xf>
    <xf numFmtId="0" fontId="13" fillId="2" borderId="1" xfId="23" quotePrefix="1" applyFont="1" applyFill="1" applyBorder="1" applyAlignment="1">
      <alignment horizontal="center" vertical="center"/>
    </xf>
    <xf numFmtId="0" fontId="13" fillId="2" borderId="23" xfId="23" applyFont="1" applyFill="1" applyBorder="1" applyAlignment="1">
      <alignment horizontal="left" vertical="center"/>
    </xf>
    <xf numFmtId="4" fontId="13" fillId="2" borderId="1" xfId="0" quotePrefix="1" applyNumberFormat="1" applyFont="1" applyFill="1" applyBorder="1" applyAlignment="1">
      <alignment horizontal="center" vertical="center"/>
    </xf>
    <xf numFmtId="4" fontId="13" fillId="2" borderId="23" xfId="0" applyNumberFormat="1" applyFont="1" applyFill="1" applyBorder="1" applyAlignment="1">
      <alignment horizontal="left" vertical="center"/>
    </xf>
    <xf numFmtId="0" fontId="13" fillId="2" borderId="26" xfId="6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 wrapText="1"/>
    </xf>
    <xf numFmtId="3" fontId="13" fillId="2" borderId="0" xfId="43" applyNumberFormat="1" applyFont="1" applyFill="1" applyAlignment="1">
      <alignment horizontal="center"/>
    </xf>
    <xf numFmtId="0" fontId="77" fillId="2" borderId="0" xfId="43" applyFont="1" applyFill="1"/>
    <xf numFmtId="0" fontId="43" fillId="2" borderId="0" xfId="43" applyFont="1" applyFill="1"/>
    <xf numFmtId="0" fontId="43" fillId="2" borderId="1" xfId="43" applyFont="1" applyFill="1" applyBorder="1" applyAlignment="1">
      <alignment horizontal="center" vertical="center" wrapText="1"/>
    </xf>
    <xf numFmtId="0" fontId="43" fillId="2" borderId="0" xfId="43" applyFont="1" applyFill="1" applyAlignment="1">
      <alignment vertical="center"/>
    </xf>
    <xf numFmtId="0" fontId="13" fillId="2" borderId="26" xfId="43" applyFont="1" applyFill="1" applyBorder="1" applyAlignment="1">
      <alignment horizontal="center" vertical="center" wrapText="1"/>
    </xf>
    <xf numFmtId="0" fontId="13" fillId="2" borderId="27" xfId="43" applyFont="1" applyFill="1" applyBorder="1" applyAlignment="1">
      <alignment horizontal="center" vertical="center" wrapText="1"/>
    </xf>
    <xf numFmtId="0" fontId="13" fillId="2" borderId="29" xfId="43" applyFont="1" applyFill="1" applyBorder="1" applyAlignment="1">
      <alignment horizontal="center" vertical="center" wrapText="1"/>
    </xf>
    <xf numFmtId="3" fontId="43" fillId="2" borderId="41" xfId="43" applyNumberFormat="1" applyFont="1" applyFill="1" applyBorder="1" applyAlignment="1">
      <alignment horizontal="center" vertical="center"/>
    </xf>
    <xf numFmtId="0" fontId="43" fillId="2" borderId="27" xfId="43" applyFont="1" applyFill="1" applyBorder="1" applyAlignment="1">
      <alignment horizontal="center" vertical="center" wrapText="1"/>
    </xf>
    <xf numFmtId="0" fontId="43" fillId="2" borderId="42" xfId="43" applyFont="1" applyFill="1" applyBorder="1" applyAlignment="1">
      <alignment horizontal="center" vertical="center" wrapText="1"/>
    </xf>
    <xf numFmtId="0" fontId="43" fillId="2" borderId="28" xfId="43" applyFont="1" applyFill="1" applyBorder="1" applyAlignment="1">
      <alignment horizontal="center" vertical="center" wrapText="1"/>
    </xf>
    <xf numFmtId="0" fontId="43" fillId="2" borderId="43" xfId="43" applyFont="1" applyFill="1" applyBorder="1" applyAlignment="1">
      <alignment horizontal="center" vertical="center" wrapText="1"/>
    </xf>
    <xf numFmtId="0" fontId="43" fillId="2" borderId="29" xfId="43" applyFont="1" applyFill="1" applyBorder="1" applyAlignment="1">
      <alignment horizontal="center" vertical="center" wrapText="1"/>
    </xf>
    <xf numFmtId="3" fontId="43" fillId="2" borderId="44" xfId="43" applyNumberFormat="1" applyFont="1" applyFill="1" applyBorder="1" applyAlignment="1">
      <alignment horizontal="center" vertical="center"/>
    </xf>
    <xf numFmtId="3" fontId="53" fillId="2" borderId="47" xfId="43" applyNumberFormat="1" applyFont="1" applyFill="1" applyBorder="1" applyAlignment="1">
      <alignment horizontal="center" vertical="center"/>
    </xf>
    <xf numFmtId="3" fontId="53" fillId="2" borderId="30" xfId="43" applyNumberFormat="1" applyFont="1" applyFill="1" applyBorder="1" applyAlignment="1">
      <alignment horizontal="center" vertical="center"/>
    </xf>
    <xf numFmtId="3" fontId="53" fillId="2" borderId="16" xfId="43" applyNumberFormat="1" applyFont="1" applyFill="1" applyBorder="1" applyAlignment="1">
      <alignment horizontal="center" vertical="center"/>
    </xf>
    <xf numFmtId="3" fontId="53" fillId="2" borderId="14" xfId="43" applyNumberFormat="1" applyFont="1" applyFill="1" applyBorder="1" applyAlignment="1">
      <alignment horizontal="center" vertical="center"/>
    </xf>
    <xf numFmtId="3" fontId="53" fillId="2" borderId="46" xfId="43" applyNumberFormat="1" applyFont="1" applyFill="1" applyBorder="1" applyAlignment="1">
      <alignment horizontal="center" vertical="center"/>
    </xf>
    <xf numFmtId="0" fontId="53" fillId="2" borderId="0" xfId="43" applyFont="1" applyFill="1"/>
    <xf numFmtId="3" fontId="53" fillId="2" borderId="9" xfId="43" applyNumberFormat="1" applyFont="1" applyFill="1" applyBorder="1" applyAlignment="1">
      <alignment horizontal="center" vertical="center"/>
    </xf>
    <xf numFmtId="3" fontId="53" fillId="2" borderId="8" xfId="43" applyNumberFormat="1" applyFont="1" applyFill="1" applyBorder="1" applyAlignment="1">
      <alignment horizontal="center" vertical="center"/>
    </xf>
    <xf numFmtId="3" fontId="53" fillId="2" borderId="19" xfId="43" applyNumberFormat="1" applyFont="1" applyFill="1" applyBorder="1" applyAlignment="1">
      <alignment horizontal="center" vertical="center"/>
    </xf>
    <xf numFmtId="3" fontId="53" fillId="2" borderId="21" xfId="43" applyNumberFormat="1" applyFont="1" applyFill="1" applyBorder="1" applyAlignment="1">
      <alignment horizontal="center" vertical="center"/>
    </xf>
    <xf numFmtId="3" fontId="53" fillId="2" borderId="1" xfId="43" applyNumberFormat="1" applyFont="1" applyFill="1" applyBorder="1" applyAlignment="1">
      <alignment horizontal="center" vertical="center"/>
    </xf>
    <xf numFmtId="3" fontId="53" fillId="2" borderId="7" xfId="43" applyNumberFormat="1" applyFont="1" applyFill="1" applyBorder="1" applyAlignment="1">
      <alignment horizontal="center" vertical="center"/>
    </xf>
    <xf numFmtId="3" fontId="53" fillId="2" borderId="23" xfId="43" applyNumberFormat="1" applyFont="1" applyFill="1" applyBorder="1" applyAlignment="1">
      <alignment horizontal="center" vertical="center"/>
    </xf>
    <xf numFmtId="49" fontId="13" fillId="2" borderId="1" xfId="6" applyNumberFormat="1" applyFont="1" applyFill="1" applyBorder="1" applyAlignment="1">
      <alignment horizontal="center" vertical="center" wrapText="1"/>
    </xf>
    <xf numFmtId="0" fontId="13" fillId="2" borderId="23" xfId="6" applyFont="1" applyFill="1" applyBorder="1" applyAlignment="1">
      <alignment horizontal="left" vertical="center" wrapText="1"/>
    </xf>
    <xf numFmtId="0" fontId="53" fillId="2" borderId="23" xfId="14" applyFont="1" applyFill="1" applyBorder="1" applyAlignment="1">
      <alignment horizontal="left" vertical="center" wrapText="1"/>
    </xf>
    <xf numFmtId="49" fontId="13" fillId="2" borderId="1" xfId="6" applyNumberFormat="1" applyFont="1" applyFill="1" applyBorder="1" applyAlignment="1">
      <alignment horizontal="center" vertical="center"/>
    </xf>
    <xf numFmtId="49" fontId="13" fillId="2" borderId="23" xfId="2" applyNumberFormat="1" applyFont="1" applyFill="1" applyBorder="1" applyAlignment="1">
      <alignment horizontal="left" vertical="center" wrapText="1"/>
    </xf>
    <xf numFmtId="3" fontId="13" fillId="2" borderId="40" xfId="6" applyNumberFormat="1" applyFont="1" applyFill="1" applyBorder="1" applyAlignment="1">
      <alignment horizontal="left" vertical="center" wrapText="1"/>
    </xf>
    <xf numFmtId="3" fontId="13" fillId="2" borderId="45" xfId="43" applyNumberFormat="1" applyFont="1" applyFill="1" applyBorder="1" applyAlignment="1">
      <alignment horizontal="center" vertical="center"/>
    </xf>
    <xf numFmtId="3" fontId="13" fillId="2" borderId="27" xfId="43" applyNumberFormat="1" applyFont="1" applyFill="1" applyBorder="1" applyAlignment="1">
      <alignment horizontal="center" vertical="center"/>
    </xf>
    <xf numFmtId="3" fontId="13" fillId="2" borderId="28" xfId="43" applyNumberFormat="1" applyFont="1" applyFill="1" applyBorder="1" applyAlignment="1">
      <alignment horizontal="center" vertical="center"/>
    </xf>
    <xf numFmtId="3" fontId="13" fillId="2" borderId="26" xfId="43" applyNumberFormat="1" applyFont="1" applyFill="1" applyBorder="1" applyAlignment="1">
      <alignment horizontal="center" vertical="center"/>
    </xf>
    <xf numFmtId="3" fontId="13" fillId="2" borderId="29" xfId="43" applyNumberFormat="1" applyFont="1" applyFill="1" applyBorder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3" fontId="13" fillId="2" borderId="0" xfId="0" applyNumberFormat="1" applyFont="1" applyFill="1" applyAlignment="1">
      <alignment horizontal="center" vertical="center"/>
    </xf>
    <xf numFmtId="3" fontId="53" fillId="2" borderId="0" xfId="0" applyNumberFormat="1" applyFont="1" applyFill="1" applyAlignment="1">
      <alignment horizontal="center" vertical="center"/>
    </xf>
    <xf numFmtId="3" fontId="2" fillId="2" borderId="5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3" fontId="53" fillId="2" borderId="17" xfId="0" applyNumberFormat="1" applyFont="1" applyFill="1" applyBorder="1" applyAlignment="1">
      <alignment horizontal="center" vertical="center"/>
    </xf>
    <xf numFmtId="3" fontId="53" fillId="2" borderId="30" xfId="0" applyNumberFormat="1" applyFont="1" applyFill="1" applyBorder="1" applyAlignment="1">
      <alignment horizontal="center" vertical="center"/>
    </xf>
    <xf numFmtId="3" fontId="53" fillId="2" borderId="58" xfId="0" applyNumberFormat="1" applyFont="1" applyFill="1" applyBorder="1" applyAlignment="1">
      <alignment horizontal="center" vertical="center"/>
    </xf>
    <xf numFmtId="3" fontId="53" fillId="2" borderId="53" xfId="0" applyNumberFormat="1" applyFont="1" applyFill="1" applyBorder="1" applyAlignment="1">
      <alignment horizontal="center" vertical="center"/>
    </xf>
    <xf numFmtId="0" fontId="53" fillId="2" borderId="0" xfId="0" applyFont="1" applyFill="1" applyAlignment="1">
      <alignment horizontal="center" vertical="center"/>
    </xf>
    <xf numFmtId="3" fontId="13" fillId="2" borderId="20" xfId="0" applyNumberFormat="1" applyFont="1" applyFill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3" fontId="53" fillId="2" borderId="7" xfId="0" applyNumberFormat="1" applyFont="1" applyFill="1" applyBorder="1" applyAlignment="1">
      <alignment horizontal="center" vertical="center"/>
    </xf>
    <xf numFmtId="3" fontId="13" fillId="2" borderId="56" xfId="0" applyNumberFormat="1" applyFont="1" applyFill="1" applyBorder="1" applyAlignment="1">
      <alignment horizontal="center" vertical="center"/>
    </xf>
    <xf numFmtId="3" fontId="13" fillId="2" borderId="19" xfId="0" applyNumberFormat="1" applyFont="1" applyFill="1" applyBorder="1" applyAlignment="1">
      <alignment horizontal="center" vertical="center"/>
    </xf>
    <xf numFmtId="3" fontId="53" fillId="2" borderId="19" xfId="0" applyNumberFormat="1" applyFont="1" applyFill="1" applyBorder="1" applyAlignment="1">
      <alignment horizontal="center" vertical="center"/>
    </xf>
    <xf numFmtId="3" fontId="53" fillId="2" borderId="1" xfId="44" applyNumberFormat="1" applyFont="1" applyFill="1" applyBorder="1" applyAlignment="1">
      <alignment horizontal="center" vertical="center"/>
    </xf>
    <xf numFmtId="3" fontId="53" fillId="2" borderId="1" xfId="0" applyNumberFormat="1" applyFont="1" applyFill="1" applyBorder="1" applyAlignment="1">
      <alignment horizontal="center" vertical="center"/>
    </xf>
    <xf numFmtId="3" fontId="53" fillId="2" borderId="56" xfId="0" applyNumberFormat="1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vertical="center" wrapText="1"/>
    </xf>
    <xf numFmtId="0" fontId="13" fillId="2" borderId="59" xfId="0" applyFont="1" applyFill="1" applyBorder="1"/>
    <xf numFmtId="3" fontId="13" fillId="2" borderId="9" xfId="0" applyNumberFormat="1" applyFont="1" applyFill="1" applyBorder="1" applyAlignment="1">
      <alignment horizontal="center" vertical="center"/>
    </xf>
    <xf numFmtId="3" fontId="13" fillId="2" borderId="45" xfId="0" applyNumberFormat="1" applyFont="1" applyFill="1" applyBorder="1" applyAlignment="1">
      <alignment horizontal="center" vertical="center"/>
    </xf>
    <xf numFmtId="3" fontId="13" fillId="2" borderId="27" xfId="0" applyNumberFormat="1" applyFont="1" applyFill="1" applyBorder="1" applyAlignment="1">
      <alignment horizontal="center" vertical="center"/>
    </xf>
    <xf numFmtId="3" fontId="53" fillId="2" borderId="28" xfId="0" applyNumberFormat="1" applyFont="1" applyFill="1" applyBorder="1" applyAlignment="1">
      <alignment horizontal="center" vertical="center"/>
    </xf>
    <xf numFmtId="3" fontId="13" fillId="2" borderId="57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right" vertical="center"/>
    </xf>
    <xf numFmtId="3" fontId="13" fillId="2" borderId="0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center" vertical="center"/>
    </xf>
    <xf numFmtId="3" fontId="13" fillId="2" borderId="0" xfId="0" applyNumberFormat="1" applyFont="1" applyFill="1" applyBorder="1" applyAlignment="1">
      <alignment horizontal="left" vertical="center"/>
    </xf>
    <xf numFmtId="3" fontId="53" fillId="2" borderId="0" xfId="0" applyNumberFormat="1" applyFont="1" applyFill="1" applyBorder="1" applyAlignment="1">
      <alignment horizontal="center" vertical="center"/>
    </xf>
    <xf numFmtId="0" fontId="3" fillId="2" borderId="0" xfId="36" applyFont="1" applyFill="1" applyBorder="1" applyAlignment="1">
      <alignment horizontal="center" vertical="top" wrapText="1"/>
    </xf>
    <xf numFmtId="0" fontId="13" fillId="2" borderId="1" xfId="36" applyFont="1" applyFill="1" applyBorder="1" applyAlignment="1">
      <alignment horizontal="center" vertical="center"/>
    </xf>
    <xf numFmtId="0" fontId="54" fillId="2" borderId="1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0" fontId="2" fillId="2" borderId="1" xfId="36" applyFont="1" applyFill="1" applyBorder="1" applyAlignment="1">
      <alignment horizontal="center" vertical="center" wrapText="1"/>
    </xf>
    <xf numFmtId="3" fontId="2" fillId="2" borderId="1" xfId="36" applyNumberFormat="1" applyFont="1" applyFill="1" applyBorder="1" applyAlignment="1">
      <alignment horizontal="center" vertical="center" wrapText="1"/>
    </xf>
    <xf numFmtId="3" fontId="2" fillId="2" borderId="7" xfId="36" applyNumberFormat="1" applyFont="1" applyFill="1" applyBorder="1" applyAlignment="1">
      <alignment horizontal="center" vertical="center" wrapText="1"/>
    </xf>
    <xf numFmtId="3" fontId="2" fillId="2" borderId="8" xfId="36" applyNumberFormat="1" applyFont="1" applyFill="1" applyBorder="1" applyAlignment="1">
      <alignment horizontal="center" vertical="center" wrapText="1"/>
    </xf>
    <xf numFmtId="3" fontId="2" fillId="2" borderId="9" xfId="36" applyNumberFormat="1" applyFont="1" applyFill="1" applyBorder="1" applyAlignment="1">
      <alignment horizontal="center" vertical="center" wrapText="1"/>
    </xf>
    <xf numFmtId="3" fontId="2" fillId="2" borderId="5" xfId="36" applyNumberFormat="1" applyFont="1" applyFill="1" applyBorder="1" applyAlignment="1">
      <alignment horizontal="center" vertical="center" wrapText="1"/>
    </xf>
    <xf numFmtId="3" fontId="2" fillId="2" borderId="6" xfId="36" applyNumberFormat="1" applyFont="1" applyFill="1" applyBorder="1" applyAlignment="1">
      <alignment horizontal="center" vertical="center" wrapText="1"/>
    </xf>
    <xf numFmtId="3" fontId="74" fillId="2" borderId="5" xfId="36" applyNumberFormat="1" applyFont="1" applyFill="1" applyBorder="1" applyAlignment="1">
      <alignment horizontal="center" vertical="center" wrapText="1"/>
    </xf>
    <xf numFmtId="3" fontId="74" fillId="2" borderId="6" xfId="36" applyNumberFormat="1" applyFont="1" applyFill="1" applyBorder="1" applyAlignment="1">
      <alignment horizontal="center" vertical="center" wrapText="1"/>
    </xf>
    <xf numFmtId="3" fontId="2" fillId="2" borderId="2" xfId="36" applyNumberFormat="1" applyFont="1" applyFill="1" applyBorder="1" applyAlignment="1">
      <alignment horizontal="center" vertical="center" wrapText="1"/>
    </xf>
    <xf numFmtId="3" fontId="33" fillId="2" borderId="5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3" fontId="43" fillId="2" borderId="1" xfId="36" applyNumberFormat="1" applyFont="1" applyFill="1" applyBorder="1" applyAlignment="1">
      <alignment horizontal="center" vertical="center" wrapText="1"/>
    </xf>
    <xf numFmtId="0" fontId="53" fillId="2" borderId="5" xfId="36" applyFont="1" applyFill="1" applyBorder="1" applyAlignment="1">
      <alignment horizontal="center" vertical="center" wrapText="1"/>
    </xf>
    <xf numFmtId="0" fontId="53" fillId="2" borderId="2" xfId="36" applyFont="1" applyFill="1" applyBorder="1" applyAlignment="1">
      <alignment horizontal="center" vertical="center" wrapText="1"/>
    </xf>
    <xf numFmtId="0" fontId="53" fillId="2" borderId="6" xfId="36" applyFont="1" applyFill="1" applyBorder="1" applyAlignment="1">
      <alignment horizontal="center" vertical="center" wrapText="1"/>
    </xf>
    <xf numFmtId="0" fontId="53" fillId="2" borderId="7" xfId="36" applyFont="1" applyFill="1" applyBorder="1" applyAlignment="1">
      <alignment horizontal="left" vertical="center" wrapText="1"/>
    </xf>
    <xf numFmtId="0" fontId="53" fillId="2" borderId="8" xfId="36" applyFont="1" applyFill="1" applyBorder="1" applyAlignment="1">
      <alignment horizontal="left" vertical="center" wrapText="1"/>
    </xf>
    <xf numFmtId="0" fontId="53" fillId="0" borderId="0" xfId="39" applyFont="1" applyBorder="1" applyAlignment="1">
      <alignment horizontal="center" vertical="center" wrapText="1"/>
    </xf>
    <xf numFmtId="0" fontId="9" fillId="2" borderId="5" xfId="39" applyFont="1" applyFill="1" applyBorder="1" applyAlignment="1" applyProtection="1">
      <alignment horizontal="center" vertical="center" wrapText="1"/>
      <protection locked="0"/>
    </xf>
    <xf numFmtId="0" fontId="9" fillId="2" borderId="2" xfId="39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>
      <alignment horizontal="center" vertical="center" wrapText="1"/>
    </xf>
    <xf numFmtId="3" fontId="2" fillId="2" borderId="5" xfId="18" applyNumberFormat="1" applyFont="1" applyFill="1" applyBorder="1" applyAlignment="1">
      <alignment horizontal="center" vertical="center"/>
    </xf>
    <xf numFmtId="3" fontId="2" fillId="2" borderId="2" xfId="18" applyNumberFormat="1" applyFont="1" applyFill="1" applyBorder="1" applyAlignment="1">
      <alignment horizontal="center" vertical="center"/>
    </xf>
    <xf numFmtId="3" fontId="2" fillId="2" borderId="6" xfId="18" applyNumberFormat="1" applyFont="1" applyFill="1" applyBorder="1" applyAlignment="1">
      <alignment horizontal="center" vertical="center"/>
    </xf>
    <xf numFmtId="49" fontId="7" fillId="2" borderId="5" xfId="14" applyNumberFormat="1" applyFont="1" applyFill="1" applyBorder="1" applyAlignment="1">
      <alignment horizontal="center" vertical="center" wrapText="1"/>
    </xf>
    <xf numFmtId="49" fontId="7" fillId="2" borderId="2" xfId="14" applyNumberFormat="1" applyFont="1" applyFill="1" applyBorder="1" applyAlignment="1">
      <alignment horizontal="center" vertical="center" wrapText="1"/>
    </xf>
    <xf numFmtId="49" fontId="7" fillId="2" borderId="6" xfId="14" applyNumberFormat="1" applyFont="1" applyFill="1" applyBorder="1" applyAlignment="1">
      <alignment horizontal="center" vertical="center" wrapText="1"/>
    </xf>
    <xf numFmtId="3" fontId="5" fillId="2" borderId="8" xfId="18" applyNumberFormat="1" applyFont="1" applyFill="1" applyBorder="1" applyAlignment="1">
      <alignment horizontal="center" vertical="center"/>
    </xf>
    <xf numFmtId="49" fontId="5" fillId="2" borderId="5" xfId="2" applyNumberFormat="1" applyFont="1" applyFill="1" applyBorder="1" applyAlignment="1">
      <alignment horizontal="center" vertical="center"/>
    </xf>
    <xf numFmtId="49" fontId="5" fillId="2" borderId="6" xfId="2" applyNumberFormat="1" applyFont="1" applyFill="1" applyBorder="1" applyAlignment="1">
      <alignment horizontal="center" vertical="center"/>
    </xf>
    <xf numFmtId="3" fontId="5" fillId="2" borderId="5" xfId="2" applyNumberFormat="1" applyFont="1" applyFill="1" applyBorder="1" applyAlignment="1">
      <alignment horizontal="center" vertical="center" wrapText="1"/>
    </xf>
    <xf numFmtId="3" fontId="5" fillId="2" borderId="6" xfId="2" applyNumberFormat="1" applyFont="1" applyFill="1" applyBorder="1" applyAlignment="1">
      <alignment horizontal="center" vertical="center" wrapText="1"/>
    </xf>
    <xf numFmtId="3" fontId="5" fillId="2" borderId="2" xfId="2" applyNumberFormat="1" applyFont="1" applyFill="1" applyBorder="1" applyAlignment="1">
      <alignment horizontal="center" vertical="center" wrapText="1"/>
    </xf>
    <xf numFmtId="3" fontId="51" fillId="2" borderId="0" xfId="18" applyNumberFormat="1" applyFont="1" applyFill="1" applyAlignment="1">
      <alignment horizontal="center" vertical="center" wrapText="1"/>
    </xf>
    <xf numFmtId="3" fontId="43" fillId="2" borderId="5" xfId="18" applyNumberFormat="1" applyFont="1" applyFill="1" applyBorder="1" applyAlignment="1">
      <alignment horizontal="center" vertical="center" wrapText="1"/>
    </xf>
    <xf numFmtId="3" fontId="43" fillId="2" borderId="6" xfId="18" applyNumberFormat="1" applyFont="1" applyFill="1" applyBorder="1" applyAlignment="1">
      <alignment horizontal="center" vertical="center" wrapText="1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5" xfId="34" applyNumberFormat="1" applyFont="1" applyFill="1" applyBorder="1" applyAlignment="1">
      <alignment horizontal="center" vertical="center" wrapText="1"/>
    </xf>
    <xf numFmtId="3" fontId="2" fillId="2" borderId="6" xfId="34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7" xfId="3" applyNumberFormat="1" applyFont="1" applyFill="1" applyBorder="1" applyAlignment="1">
      <alignment horizontal="center" vertical="center" wrapText="1"/>
    </xf>
    <xf numFmtId="3" fontId="7" fillId="2" borderId="8" xfId="3" applyNumberFormat="1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49" fontId="2" fillId="2" borderId="6" xfId="2" applyNumberFormat="1" applyFont="1" applyFill="1" applyBorder="1" applyAlignment="1">
      <alignment horizontal="center" vertical="center"/>
    </xf>
    <xf numFmtId="3" fontId="7" fillId="2" borderId="2" xfId="3" applyNumberFormat="1" applyFont="1" applyFill="1" applyBorder="1" applyAlignment="1">
      <alignment horizontal="center" vertical="center" wrapText="1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8" fillId="2" borderId="5" xfId="13" applyFont="1" applyFill="1" applyBorder="1" applyAlignment="1">
      <alignment horizontal="center" vertical="center"/>
    </xf>
    <xf numFmtId="0" fontId="28" fillId="2" borderId="2" xfId="13" applyFont="1" applyFill="1" applyBorder="1" applyAlignment="1">
      <alignment horizontal="center" vertical="center"/>
    </xf>
    <xf numFmtId="0" fontId="28" fillId="2" borderId="6" xfId="13" applyFont="1" applyFill="1" applyBorder="1" applyAlignment="1">
      <alignment horizontal="center" vertical="center"/>
    </xf>
    <xf numFmtId="0" fontId="24" fillId="2" borderId="0" xfId="12" applyFont="1" applyFill="1" applyAlignment="1" applyProtection="1">
      <alignment horizont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0" fontId="2" fillId="2" borderId="5" xfId="9" applyFont="1" applyFill="1" applyBorder="1" applyAlignment="1">
      <alignment horizontal="center" vertical="center"/>
    </xf>
    <xf numFmtId="0" fontId="2" fillId="2" borderId="2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3" fontId="18" fillId="0" borderId="0" xfId="16" applyNumberFormat="1" applyFont="1" applyFill="1" applyAlignment="1">
      <alignment horizontal="left"/>
    </xf>
    <xf numFmtId="4" fontId="2" fillId="0" borderId="7" xfId="6" applyNumberFormat="1" applyFont="1" applyFill="1" applyBorder="1" applyAlignment="1">
      <alignment horizontal="center" vertical="center" wrapText="1"/>
    </xf>
    <xf numFmtId="4" fontId="2" fillId="0" borderId="8" xfId="6" applyNumberFormat="1" applyFont="1" applyFill="1" applyBorder="1" applyAlignment="1">
      <alignment horizontal="center" vertical="center" wrapText="1"/>
    </xf>
    <xf numFmtId="4" fontId="2" fillId="0" borderId="9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4" fontId="5" fillId="0" borderId="8" xfId="6" applyNumberFormat="1" applyFont="1" applyFill="1" applyBorder="1" applyAlignment="1">
      <alignment horizontal="center" vertical="center" wrapText="1"/>
    </xf>
    <xf numFmtId="4" fontId="5" fillId="0" borderId="9" xfId="6" applyNumberFormat="1" applyFont="1" applyFill="1" applyBorder="1" applyAlignment="1">
      <alignment horizontal="center" vertical="center" wrapText="1"/>
    </xf>
    <xf numFmtId="3" fontId="7" fillId="0" borderId="7" xfId="15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center" vertical="center"/>
    </xf>
    <xf numFmtId="3" fontId="7" fillId="0" borderId="9" xfId="15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3" fontId="7" fillId="0" borderId="5" xfId="15" applyNumberFormat="1" applyFont="1" applyFill="1" applyBorder="1" applyAlignment="1">
      <alignment horizontal="center" vertical="center" wrapText="1"/>
    </xf>
    <xf numFmtId="3" fontId="7" fillId="0" borderId="6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3" fontId="32" fillId="0" borderId="5" xfId="15" applyNumberFormat="1" applyFont="1" applyFill="1" applyBorder="1" applyAlignment="1">
      <alignment horizontal="center" vertical="center" wrapText="1"/>
    </xf>
    <xf numFmtId="3" fontId="32" fillId="0" borderId="6" xfId="15" applyNumberFormat="1" applyFont="1" applyFill="1" applyBorder="1" applyAlignment="1">
      <alignment horizontal="center" vertical="center" wrapText="1"/>
    </xf>
    <xf numFmtId="3" fontId="32" fillId="0" borderId="7" xfId="15" applyNumberFormat="1" applyFont="1" applyFill="1" applyBorder="1" applyAlignment="1">
      <alignment horizontal="center" vertical="center" wrapText="1"/>
    </xf>
    <xf numFmtId="3" fontId="32" fillId="0" borderId="9" xfId="15" applyNumberFormat="1" applyFont="1" applyFill="1" applyBorder="1" applyAlignment="1">
      <alignment horizontal="center" vertical="center" wrapText="1"/>
    </xf>
    <xf numFmtId="3" fontId="7" fillId="0" borderId="1" xfId="17" applyNumberFormat="1" applyFont="1" applyFill="1" applyBorder="1" applyAlignment="1">
      <alignment horizontal="center" vertical="center" wrapText="1"/>
    </xf>
    <xf numFmtId="3" fontId="2" fillId="0" borderId="1" xfId="17" applyNumberFormat="1" applyFont="1" applyFill="1" applyBorder="1" applyAlignment="1">
      <alignment horizontal="center" vertical="center" wrapText="1"/>
    </xf>
    <xf numFmtId="3" fontId="32" fillId="0" borderId="2" xfId="15" applyNumberFormat="1" applyFont="1" applyFill="1" applyBorder="1" applyAlignment="1">
      <alignment horizontal="center" vertical="center" wrapText="1"/>
    </xf>
    <xf numFmtId="3" fontId="31" fillId="0" borderId="0" xfId="15" applyNumberFormat="1" applyFont="1" applyFill="1" applyBorder="1" applyAlignment="1">
      <alignment horizontal="center" vertical="center" wrapText="1"/>
    </xf>
    <xf numFmtId="3" fontId="13" fillId="0" borderId="5" xfId="15" applyNumberFormat="1" applyFont="1" applyFill="1" applyBorder="1" applyAlignment="1">
      <alignment horizontal="center" vertical="center" wrapText="1"/>
    </xf>
    <xf numFmtId="3" fontId="13" fillId="0" borderId="2" xfId="15" applyNumberFormat="1" applyFont="1" applyFill="1" applyBorder="1" applyAlignment="1">
      <alignment horizontal="center" vertical="center" wrapText="1"/>
    </xf>
    <xf numFmtId="3" fontId="13" fillId="0" borderId="6" xfId="15" applyNumberFormat="1" applyFont="1" applyFill="1" applyBorder="1" applyAlignment="1">
      <alignment horizontal="center" vertical="center" wrapText="1"/>
    </xf>
    <xf numFmtId="3" fontId="32" fillId="0" borderId="8" xfId="15" applyNumberFormat="1" applyFont="1" applyFill="1" applyBorder="1" applyAlignment="1">
      <alignment horizontal="center" vertical="center" wrapText="1"/>
    </xf>
    <xf numFmtId="3" fontId="32" fillId="0" borderId="10" xfId="16" applyNumberFormat="1" applyFont="1" applyFill="1" applyBorder="1" applyAlignment="1">
      <alignment horizontal="center" vertical="center" wrapText="1"/>
    </xf>
    <xf numFmtId="3" fontId="32" fillId="0" borderId="11" xfId="16" applyNumberFormat="1" applyFont="1" applyFill="1" applyBorder="1" applyAlignment="1">
      <alignment horizontal="center" vertical="center" wrapText="1"/>
    </xf>
    <xf numFmtId="3" fontId="32" fillId="0" borderId="12" xfId="16" applyNumberFormat="1" applyFont="1" applyFill="1" applyBorder="1" applyAlignment="1">
      <alignment horizontal="center" vertical="center" wrapText="1"/>
    </xf>
    <xf numFmtId="3" fontId="32" fillId="0" borderId="13" xfId="16" applyNumberFormat="1" applyFont="1" applyFill="1" applyBorder="1" applyAlignment="1">
      <alignment horizontal="center" vertical="center" wrapText="1"/>
    </xf>
    <xf numFmtId="3" fontId="32" fillId="0" borderId="3" xfId="16" applyNumberFormat="1" applyFont="1" applyFill="1" applyBorder="1" applyAlignment="1">
      <alignment horizontal="center" vertical="center" wrapText="1"/>
    </xf>
    <xf numFmtId="3" fontId="32" fillId="0" borderId="4" xfId="16" applyNumberFormat="1" applyFont="1" applyFill="1" applyBorder="1" applyAlignment="1">
      <alignment horizontal="center" vertical="center" wrapText="1"/>
    </xf>
    <xf numFmtId="0" fontId="14" fillId="0" borderId="0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2" fontId="7" fillId="0" borderId="1" xfId="7" applyNumberFormat="1" applyFont="1" applyFill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17" fillId="0" borderId="0" xfId="9" applyFont="1" applyFill="1" applyBorder="1" applyAlignment="1">
      <alignment vertical="center" wrapText="1"/>
    </xf>
    <xf numFmtId="0" fontId="2" fillId="0" borderId="5" xfId="6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7" fillId="0" borderId="7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/>
    </xf>
    <xf numFmtId="0" fontId="20" fillId="0" borderId="0" xfId="10" applyFont="1" applyFill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4" fillId="2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39" fillId="2" borderId="0" xfId="9" applyFont="1" applyFill="1" applyAlignment="1">
      <alignment horizontal="left" vertical="center" wrapText="1"/>
    </xf>
    <xf numFmtId="4" fontId="5" fillId="2" borderId="1" xfId="6" applyNumberFormat="1" applyFont="1" applyFill="1" applyBorder="1" applyAlignment="1">
      <alignment horizontal="center" vertical="center" wrapText="1"/>
    </xf>
    <xf numFmtId="0" fontId="35" fillId="2" borderId="0" xfId="20" applyFont="1" applyFill="1" applyBorder="1" applyAlignment="1">
      <alignment horizontal="center" vertical="center" wrapText="1"/>
    </xf>
    <xf numFmtId="0" fontId="32" fillId="2" borderId="1" xfId="20" applyFont="1" applyFill="1" applyBorder="1" applyAlignment="1">
      <alignment horizontal="center" vertical="center" wrapText="1"/>
    </xf>
    <xf numFmtId="0" fontId="2" fillId="2" borderId="1" xfId="20" applyFont="1" applyFill="1" applyBorder="1" applyAlignment="1">
      <alignment horizontal="center" vertical="center" wrapText="1"/>
    </xf>
    <xf numFmtId="0" fontId="32" fillId="2" borderId="1" xfId="21" applyFont="1" applyFill="1" applyBorder="1" applyAlignment="1">
      <alignment horizontal="center" vertical="center" wrapText="1"/>
    </xf>
    <xf numFmtId="0" fontId="7" fillId="2" borderId="10" xfId="20" applyFont="1" applyFill="1" applyBorder="1" applyAlignment="1">
      <alignment horizontal="center" vertical="center" wrapText="1"/>
    </xf>
    <xf numFmtId="0" fontId="7" fillId="2" borderId="11" xfId="20" applyFont="1" applyFill="1" applyBorder="1" applyAlignment="1">
      <alignment horizontal="center" vertical="center" wrapText="1"/>
    </xf>
    <xf numFmtId="0" fontId="7" fillId="2" borderId="12" xfId="20" applyFont="1" applyFill="1" applyBorder="1" applyAlignment="1">
      <alignment horizontal="center" vertical="center" wrapText="1"/>
    </xf>
    <xf numFmtId="0" fontId="7" fillId="2" borderId="13" xfId="20" applyFont="1" applyFill="1" applyBorder="1" applyAlignment="1">
      <alignment horizontal="center" vertical="center" wrapText="1"/>
    </xf>
    <xf numFmtId="0" fontId="7" fillId="2" borderId="3" xfId="20" applyFont="1" applyFill="1" applyBorder="1" applyAlignment="1">
      <alignment horizontal="center" vertical="center" wrapText="1"/>
    </xf>
    <xf numFmtId="0" fontId="7" fillId="2" borderId="4" xfId="20" applyFont="1" applyFill="1" applyBorder="1" applyAlignment="1">
      <alignment horizontal="center" vertical="center" wrapText="1"/>
    </xf>
    <xf numFmtId="0" fontId="7" fillId="2" borderId="5" xfId="21" applyFont="1" applyFill="1" applyBorder="1" applyAlignment="1">
      <alignment horizontal="center" vertical="center" wrapText="1"/>
    </xf>
    <xf numFmtId="0" fontId="7" fillId="2" borderId="2" xfId="21" applyFont="1" applyFill="1" applyBorder="1" applyAlignment="1">
      <alignment horizontal="center" vertical="center" wrapText="1"/>
    </xf>
    <xf numFmtId="0" fontId="7" fillId="2" borderId="6" xfId="21" applyFont="1" applyFill="1" applyBorder="1" applyAlignment="1">
      <alignment horizontal="center" vertical="center" wrapText="1"/>
    </xf>
    <xf numFmtId="0" fontId="7" fillId="2" borderId="7" xfId="21" applyFont="1" applyFill="1" applyBorder="1" applyAlignment="1">
      <alignment horizontal="center" vertical="center" wrapText="1"/>
    </xf>
    <xf numFmtId="0" fontId="7" fillId="2" borderId="8" xfId="21" applyFont="1" applyFill="1" applyBorder="1" applyAlignment="1">
      <alignment horizontal="center" vertical="center" wrapText="1"/>
    </xf>
    <xf numFmtId="0" fontId="7" fillId="2" borderId="9" xfId="21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4" fontId="5" fillId="2" borderId="7" xfId="6" applyNumberFormat="1" applyFont="1" applyFill="1" applyBorder="1" applyAlignment="1">
      <alignment horizontal="center" vertical="center" wrapText="1"/>
    </xf>
    <xf numFmtId="4" fontId="5" fillId="2" borderId="8" xfId="6" applyNumberFormat="1" applyFont="1" applyFill="1" applyBorder="1" applyAlignment="1">
      <alignment horizontal="center" vertical="center" wrapText="1"/>
    </xf>
    <xf numFmtId="4" fontId="5" fillId="2" borderId="9" xfId="6" applyNumberFormat="1" applyFont="1" applyFill="1" applyBorder="1" applyAlignment="1">
      <alignment horizontal="center" vertical="center" wrapText="1"/>
    </xf>
    <xf numFmtId="0" fontId="32" fillId="2" borderId="9" xfId="21" applyFont="1" applyFill="1" applyBorder="1" applyAlignment="1">
      <alignment horizontal="center" vertical="center" wrapText="1"/>
    </xf>
    <xf numFmtId="0" fontId="7" fillId="2" borderId="7" xfId="22" applyFont="1" applyFill="1" applyBorder="1" applyAlignment="1">
      <alignment horizontal="center" vertical="center" wrapText="1"/>
    </xf>
    <xf numFmtId="0" fontId="7" fillId="2" borderId="8" xfId="22" applyFont="1" applyFill="1" applyBorder="1" applyAlignment="1">
      <alignment horizontal="center" vertical="center" wrapText="1"/>
    </xf>
    <xf numFmtId="0" fontId="7" fillId="2" borderId="9" xfId="22" applyFont="1" applyFill="1" applyBorder="1" applyAlignment="1">
      <alignment horizontal="center" vertical="center" wrapText="1"/>
    </xf>
    <xf numFmtId="0" fontId="32" fillId="2" borderId="5" xfId="24" applyFont="1" applyFill="1" applyBorder="1" applyAlignment="1">
      <alignment horizontal="center" vertical="center" wrapText="1"/>
    </xf>
    <xf numFmtId="0" fontId="32" fillId="2" borderId="6" xfId="24" applyFont="1" applyFill="1" applyBorder="1" applyAlignment="1">
      <alignment horizontal="center" vertical="center" wrapText="1"/>
    </xf>
    <xf numFmtId="0" fontId="32" fillId="2" borderId="5" xfId="25" applyFont="1" applyFill="1" applyBorder="1" applyAlignment="1">
      <alignment horizontal="center" vertical="center" wrapText="1"/>
    </xf>
    <xf numFmtId="0" fontId="32" fillId="2" borderId="6" xfId="25" applyFont="1" applyFill="1" applyBorder="1" applyAlignment="1">
      <alignment horizontal="center" vertical="center" wrapText="1"/>
    </xf>
    <xf numFmtId="0" fontId="7" fillId="2" borderId="1" xfId="24" applyFont="1" applyFill="1" applyBorder="1" applyAlignment="1">
      <alignment horizontal="center" vertical="center" wrapText="1"/>
    </xf>
    <xf numFmtId="0" fontId="32" fillId="2" borderId="1" xfId="24" applyFont="1" applyFill="1" applyBorder="1" applyAlignment="1">
      <alignment horizontal="center" vertical="center" wrapText="1"/>
    </xf>
    <xf numFmtId="0" fontId="35" fillId="2" borderId="3" xfId="24" applyFont="1" applyFill="1" applyBorder="1" applyAlignment="1">
      <alignment horizontal="center" vertical="center" wrapText="1"/>
    </xf>
    <xf numFmtId="0" fontId="35" fillId="2" borderId="0" xfId="24" applyFont="1" applyFill="1" applyBorder="1" applyAlignment="1">
      <alignment horizontal="center" vertical="center" wrapText="1"/>
    </xf>
    <xf numFmtId="0" fontId="13" fillId="2" borderId="5" xfId="24" applyFont="1" applyFill="1" applyBorder="1" applyAlignment="1">
      <alignment horizontal="center" vertical="center" wrapText="1"/>
    </xf>
    <xf numFmtId="0" fontId="13" fillId="2" borderId="2" xfId="24" applyFont="1" applyFill="1" applyBorder="1" applyAlignment="1">
      <alignment horizontal="center" vertical="center" wrapText="1"/>
    </xf>
    <xf numFmtId="0" fontId="13" fillId="2" borderId="6" xfId="24" applyFont="1" applyFill="1" applyBorder="1" applyAlignment="1">
      <alignment horizontal="center" vertical="center" wrapText="1"/>
    </xf>
    <xf numFmtId="0" fontId="32" fillId="2" borderId="1" xfId="24" applyFont="1" applyFill="1" applyBorder="1" applyAlignment="1">
      <alignment horizontal="center" vertical="top" wrapText="1"/>
    </xf>
    <xf numFmtId="0" fontId="32" fillId="2" borderId="2" xfId="24" applyFont="1" applyFill="1" applyBorder="1" applyAlignment="1">
      <alignment horizontal="center" vertical="center" wrapText="1"/>
    </xf>
    <xf numFmtId="0" fontId="7" fillId="2" borderId="7" xfId="24" applyFont="1" applyFill="1" applyBorder="1" applyAlignment="1">
      <alignment horizontal="center" vertical="center" wrapText="1"/>
    </xf>
    <xf numFmtId="0" fontId="7" fillId="2" borderId="9" xfId="24" applyFont="1" applyFill="1" applyBorder="1" applyAlignment="1">
      <alignment horizontal="center" vertical="center" wrapText="1"/>
    </xf>
    <xf numFmtId="0" fontId="7" fillId="2" borderId="5" xfId="24" applyFont="1" applyFill="1" applyBorder="1" applyAlignment="1">
      <alignment horizontal="center" vertical="center" wrapText="1"/>
    </xf>
    <xf numFmtId="0" fontId="7" fillId="2" borderId="6" xfId="24" applyFont="1" applyFill="1" applyBorder="1" applyAlignment="1">
      <alignment horizontal="center" vertical="center" wrapText="1"/>
    </xf>
    <xf numFmtId="0" fontId="7" fillId="2" borderId="8" xfId="24" applyFont="1" applyFill="1" applyBorder="1" applyAlignment="1">
      <alignment horizontal="center" vertical="center" wrapText="1"/>
    </xf>
    <xf numFmtId="3" fontId="39" fillId="2" borderId="5" xfId="46" applyNumberFormat="1" applyFont="1" applyFill="1" applyBorder="1" applyAlignment="1">
      <alignment horizontal="center" vertical="center" wrapText="1"/>
    </xf>
    <xf numFmtId="3" fontId="39" fillId="2" borderId="2" xfId="46" applyNumberFormat="1" applyFont="1" applyFill="1" applyBorder="1" applyAlignment="1">
      <alignment horizontal="center" vertical="center" wrapText="1"/>
    </xf>
    <xf numFmtId="3" fontId="39" fillId="2" borderId="6" xfId="46" applyNumberFormat="1" applyFont="1" applyFill="1" applyBorder="1" applyAlignment="1">
      <alignment horizontal="center" vertical="center" wrapText="1"/>
    </xf>
    <xf numFmtId="0" fontId="43" fillId="2" borderId="5" xfId="9" applyFont="1" applyFill="1" applyBorder="1" applyAlignment="1">
      <alignment horizontal="center" vertical="center"/>
    </xf>
    <xf numFmtId="0" fontId="43" fillId="2" borderId="2" xfId="9" applyFont="1" applyFill="1" applyBorder="1" applyAlignment="1">
      <alignment horizontal="center" vertical="center"/>
    </xf>
    <xf numFmtId="0" fontId="43" fillId="2" borderId="6" xfId="9" applyFont="1" applyFill="1" applyBorder="1" applyAlignment="1">
      <alignment horizontal="center" vertical="center"/>
    </xf>
    <xf numFmtId="49" fontId="43" fillId="2" borderId="5" xfId="2" applyNumberFormat="1" applyFont="1" applyFill="1" applyBorder="1" applyAlignment="1">
      <alignment horizontal="center" vertical="center"/>
    </xf>
    <xf numFmtId="49" fontId="43" fillId="2" borderId="2" xfId="2" applyNumberFormat="1" applyFont="1" applyFill="1" applyBorder="1" applyAlignment="1">
      <alignment horizontal="center" vertical="center"/>
    </xf>
    <xf numFmtId="49" fontId="43" fillId="2" borderId="6" xfId="2" applyNumberFormat="1" applyFont="1" applyFill="1" applyBorder="1" applyAlignment="1">
      <alignment horizontal="center" vertical="center"/>
    </xf>
    <xf numFmtId="0" fontId="32" fillId="2" borderId="5" xfId="30" applyFont="1" applyFill="1" applyBorder="1" applyAlignment="1">
      <alignment horizontal="center" vertical="center" wrapText="1"/>
    </xf>
    <xf numFmtId="0" fontId="32" fillId="2" borderId="6" xfId="30" applyFont="1" applyFill="1" applyBorder="1" applyAlignment="1">
      <alignment horizontal="center" vertical="center" wrapText="1"/>
    </xf>
    <xf numFmtId="0" fontId="7" fillId="2" borderId="1" xfId="31" applyFont="1" applyFill="1" applyBorder="1" applyAlignment="1">
      <alignment horizontal="center" vertical="center" wrapText="1"/>
    </xf>
    <xf numFmtId="0" fontId="35" fillId="2" borderId="3" xfId="30" applyFont="1" applyFill="1" applyBorder="1" applyAlignment="1">
      <alignment horizontal="center" vertical="center" wrapText="1"/>
    </xf>
    <xf numFmtId="0" fontId="32" fillId="2" borderId="1" xfId="30" applyFont="1" applyFill="1" applyBorder="1" applyAlignment="1">
      <alignment horizontal="center" vertical="center" wrapText="1"/>
    </xf>
    <xf numFmtId="0" fontId="13" fillId="2" borderId="5" xfId="30" applyFont="1" applyFill="1" applyBorder="1" applyAlignment="1">
      <alignment horizontal="center" vertical="center" wrapText="1"/>
    </xf>
    <xf numFmtId="0" fontId="13" fillId="2" borderId="2" xfId="30" applyFont="1" applyFill="1" applyBorder="1" applyAlignment="1">
      <alignment horizontal="center" vertical="center" wrapText="1"/>
    </xf>
    <xf numFmtId="0" fontId="32" fillId="2" borderId="7" xfId="30" applyFont="1" applyFill="1" applyBorder="1" applyAlignment="1">
      <alignment horizontal="center" vertical="center" wrapText="1"/>
    </xf>
    <xf numFmtId="0" fontId="32" fillId="2" borderId="8" xfId="30" applyFont="1" applyFill="1" applyBorder="1" applyAlignment="1">
      <alignment horizontal="center" vertical="center" wrapText="1"/>
    </xf>
    <xf numFmtId="0" fontId="32" fillId="2" borderId="9" xfId="30" applyFont="1" applyFill="1" applyBorder="1" applyAlignment="1">
      <alignment horizontal="center" vertical="center" wrapText="1"/>
    </xf>
    <xf numFmtId="0" fontId="7" fillId="2" borderId="7" xfId="30" applyFont="1" applyFill="1" applyBorder="1" applyAlignment="1">
      <alignment horizontal="center" vertical="center" wrapText="1"/>
    </xf>
    <xf numFmtId="0" fontId="7" fillId="2" borderId="8" xfId="30" applyFont="1" applyFill="1" applyBorder="1" applyAlignment="1">
      <alignment horizontal="center" vertical="center" wrapText="1"/>
    </xf>
    <xf numFmtId="0" fontId="7" fillId="2" borderId="9" xfId="30" applyFont="1" applyFill="1" applyBorder="1" applyAlignment="1">
      <alignment horizontal="center" vertical="center" wrapText="1"/>
    </xf>
    <xf numFmtId="0" fontId="35" fillId="2" borderId="3" xfId="27" applyFont="1" applyFill="1" applyBorder="1" applyAlignment="1">
      <alignment horizontal="center" vertical="center" wrapText="1"/>
    </xf>
    <xf numFmtId="0" fontId="32" fillId="2" borderId="5" xfId="28" applyFont="1" applyFill="1" applyBorder="1" applyAlignment="1">
      <alignment horizontal="center" vertical="center" wrapText="1"/>
    </xf>
    <xf numFmtId="0" fontId="32" fillId="2" borderId="2" xfId="28" applyFont="1" applyFill="1" applyBorder="1" applyAlignment="1">
      <alignment horizontal="center" vertical="center" wrapText="1"/>
    </xf>
    <xf numFmtId="0" fontId="32" fillId="2" borderId="6" xfId="28" applyFont="1" applyFill="1" applyBorder="1" applyAlignment="1">
      <alignment horizontal="center" vertical="center" wrapText="1"/>
    </xf>
    <xf numFmtId="0" fontId="7" fillId="2" borderId="1" xfId="28" applyFont="1" applyFill="1" applyBorder="1" applyAlignment="1">
      <alignment horizontal="center" vertical="center"/>
    </xf>
    <xf numFmtId="0" fontId="7" fillId="2" borderId="1" xfId="28" applyFont="1" applyFill="1" applyBorder="1" applyAlignment="1">
      <alignment horizontal="center" vertical="center" wrapText="1"/>
    </xf>
    <xf numFmtId="0" fontId="53" fillId="6" borderId="6" xfId="6" applyFont="1" applyFill="1" applyBorder="1" applyAlignment="1">
      <alignment horizontal="center" vertical="center"/>
    </xf>
    <xf numFmtId="0" fontId="53" fillId="6" borderId="13" xfId="6" applyFont="1" applyFill="1" applyBorder="1" applyAlignment="1">
      <alignment horizontal="center" vertical="center"/>
    </xf>
    <xf numFmtId="0" fontId="8" fillId="0" borderId="7" xfId="47" applyFont="1" applyFill="1" applyBorder="1" applyAlignment="1">
      <alignment horizontal="center" vertical="center" wrapText="1"/>
    </xf>
    <xf numFmtId="0" fontId="8" fillId="0" borderId="8" xfId="47" applyFont="1" applyFill="1" applyBorder="1" applyAlignment="1">
      <alignment horizontal="center" vertical="center" wrapText="1"/>
    </xf>
    <xf numFmtId="0" fontId="8" fillId="0" borderId="9" xfId="47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0" borderId="6" xfId="9" applyFont="1" applyFill="1" applyBorder="1" applyAlignment="1">
      <alignment horizontal="center" vertical="center"/>
    </xf>
    <xf numFmtId="0" fontId="7" fillId="0" borderId="7" xfId="9" applyFont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0" fontId="14" fillId="0" borderId="0" xfId="35" applyFont="1" applyAlignment="1">
      <alignment horizontal="center" vertical="center" wrapText="1"/>
    </xf>
    <xf numFmtId="3" fontId="7" fillId="0" borderId="5" xfId="26" applyNumberFormat="1" applyFont="1" applyFill="1" applyBorder="1" applyAlignment="1">
      <alignment horizontal="center" vertical="center" wrapText="1"/>
    </xf>
    <xf numFmtId="3" fontId="7" fillId="0" borderId="2" xfId="26" applyNumberFormat="1" applyFont="1" applyFill="1" applyBorder="1" applyAlignment="1">
      <alignment horizontal="center" vertical="center" wrapText="1"/>
    </xf>
    <xf numFmtId="3" fontId="7" fillId="0" borderId="6" xfId="26" applyNumberFormat="1" applyFont="1" applyFill="1" applyBorder="1" applyAlignment="1">
      <alignment horizontal="center" vertical="center" wrapText="1"/>
    </xf>
    <xf numFmtId="3" fontId="2" fillId="0" borderId="5" xfId="26" applyNumberFormat="1" applyFont="1" applyFill="1" applyBorder="1" applyAlignment="1">
      <alignment horizontal="center" vertical="center" wrapText="1"/>
    </xf>
    <xf numFmtId="3" fontId="2" fillId="0" borderId="2" xfId="26" applyNumberFormat="1" applyFont="1" applyFill="1" applyBorder="1" applyAlignment="1">
      <alignment horizontal="center" vertical="center" wrapText="1"/>
    </xf>
    <xf numFmtId="3" fontId="2" fillId="0" borderId="6" xfId="2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center" vertical="center" wrapText="1"/>
    </xf>
    <xf numFmtId="0" fontId="7" fillId="0" borderId="8" xfId="9" applyFont="1" applyFill="1" applyBorder="1" applyAlignment="1">
      <alignment horizontal="center" vertical="center" wrapText="1"/>
    </xf>
    <xf numFmtId="0" fontId="7" fillId="0" borderId="9" xfId="9" applyFont="1" applyFill="1" applyBorder="1" applyAlignment="1">
      <alignment horizontal="center" vertical="center" wrapText="1"/>
    </xf>
    <xf numFmtId="0" fontId="43" fillId="2" borderId="17" xfId="43" applyFont="1" applyFill="1" applyBorder="1" applyAlignment="1">
      <alignment horizontal="center" vertical="center" wrapText="1"/>
    </xf>
    <xf numFmtId="0" fontId="43" fillId="2" borderId="18" xfId="43" applyFont="1" applyFill="1" applyBorder="1" applyAlignment="1">
      <alignment horizontal="center" vertical="center" wrapText="1"/>
    </xf>
    <xf numFmtId="0" fontId="43" fillId="2" borderId="5" xfId="43" applyFont="1" applyFill="1" applyBorder="1" applyAlignment="1">
      <alignment horizontal="center" vertical="center" wrapText="1"/>
    </xf>
    <xf numFmtId="0" fontId="64" fillId="2" borderId="6" xfId="0" applyFont="1" applyFill="1" applyBorder="1" applyAlignment="1">
      <alignment horizontal="center" vertical="center" wrapText="1"/>
    </xf>
    <xf numFmtId="0" fontId="43" fillId="2" borderId="22" xfId="43" applyFont="1" applyFill="1" applyBorder="1" applyAlignment="1">
      <alignment horizontal="center" vertical="center" wrapText="1"/>
    </xf>
    <xf numFmtId="0" fontId="64" fillId="2" borderId="24" xfId="0" applyFont="1" applyFill="1" applyBorder="1" applyAlignment="1">
      <alignment horizontal="center" vertical="center" wrapText="1"/>
    </xf>
    <xf numFmtId="0" fontId="43" fillId="2" borderId="10" xfId="43" applyFont="1" applyFill="1" applyBorder="1" applyAlignment="1">
      <alignment horizontal="center" vertical="center" wrapText="1"/>
    </xf>
    <xf numFmtId="0" fontId="64" fillId="2" borderId="13" xfId="0" applyFont="1" applyFill="1" applyBorder="1" applyAlignment="1">
      <alignment horizontal="center" vertical="center" wrapText="1"/>
    </xf>
    <xf numFmtId="0" fontId="43" fillId="2" borderId="40" xfId="43" applyFont="1" applyFill="1" applyBorder="1" applyAlignment="1">
      <alignment horizontal="center" vertical="center" wrapText="1"/>
    </xf>
    <xf numFmtId="0" fontId="64" fillId="2" borderId="25" xfId="0" applyFont="1" applyFill="1" applyBorder="1" applyAlignment="1">
      <alignment horizontal="center" vertical="center" wrapText="1"/>
    </xf>
    <xf numFmtId="0" fontId="13" fillId="2" borderId="19" xfId="6" applyFont="1" applyFill="1" applyBorder="1" applyAlignment="1">
      <alignment horizontal="center" vertical="center" wrapText="1"/>
    </xf>
    <xf numFmtId="0" fontId="65" fillId="2" borderId="19" xfId="0" applyFont="1" applyFill="1" applyBorder="1" applyAlignment="1">
      <alignment horizontal="center" vertical="center" wrapText="1"/>
    </xf>
    <xf numFmtId="49" fontId="13" fillId="2" borderId="5" xfId="2" applyNumberFormat="1" applyFont="1" applyFill="1" applyBorder="1" applyAlignment="1">
      <alignment horizontal="center" vertical="center"/>
    </xf>
    <xf numFmtId="49" fontId="13" fillId="2" borderId="2" xfId="2" applyNumberFormat="1" applyFont="1" applyFill="1" applyBorder="1" applyAlignment="1">
      <alignment horizontal="center" vertical="center"/>
    </xf>
    <xf numFmtId="49" fontId="13" fillId="2" borderId="6" xfId="2" applyNumberFormat="1" applyFont="1" applyFill="1" applyBorder="1" applyAlignment="1">
      <alignment horizontal="center" vertical="center"/>
    </xf>
    <xf numFmtId="4" fontId="53" fillId="2" borderId="20" xfId="6" applyNumberFormat="1" applyFont="1" applyFill="1" applyBorder="1" applyAlignment="1">
      <alignment horizontal="center" vertical="center" wrapText="1"/>
    </xf>
    <xf numFmtId="4" fontId="53" fillId="2" borderId="8" xfId="6" applyNumberFormat="1" applyFont="1" applyFill="1" applyBorder="1" applyAlignment="1">
      <alignment horizontal="center" vertical="center" wrapText="1"/>
    </xf>
    <xf numFmtId="4" fontId="53" fillId="2" borderId="21" xfId="6" applyNumberFormat="1" applyFont="1" applyFill="1" applyBorder="1" applyAlignment="1">
      <alignment horizontal="center" vertical="center" wrapText="1"/>
    </xf>
    <xf numFmtId="0" fontId="53" fillId="2" borderId="14" xfId="6" applyFont="1" applyFill="1" applyBorder="1" applyAlignment="1">
      <alignment horizontal="center" vertical="center"/>
    </xf>
    <xf numFmtId="0" fontId="53" fillId="2" borderId="30" xfId="6" applyFont="1" applyFill="1" applyBorder="1" applyAlignment="1">
      <alignment horizontal="center" vertical="center"/>
    </xf>
    <xf numFmtId="0" fontId="53" fillId="2" borderId="46" xfId="6" applyFont="1" applyFill="1" applyBorder="1" applyAlignment="1">
      <alignment horizontal="center" vertical="center"/>
    </xf>
    <xf numFmtId="0" fontId="13" fillId="2" borderId="22" xfId="6" applyFont="1" applyFill="1" applyBorder="1" applyAlignment="1">
      <alignment horizontal="center" vertical="center" wrapText="1"/>
    </xf>
    <xf numFmtId="0" fontId="65" fillId="2" borderId="24" xfId="0" applyFont="1" applyFill="1" applyBorder="1" applyAlignment="1">
      <alignment horizontal="center" vertical="center" wrapText="1"/>
    </xf>
    <xf numFmtId="0" fontId="65" fillId="2" borderId="31" xfId="0" applyFont="1" applyFill="1" applyBorder="1" applyAlignment="1">
      <alignment horizontal="center" vertical="center" wrapText="1"/>
    </xf>
    <xf numFmtId="0" fontId="3" fillId="2" borderId="0" xfId="43" applyFont="1" applyFill="1" applyBorder="1" applyAlignment="1">
      <alignment horizontal="center" vertical="center" wrapText="1"/>
    </xf>
    <xf numFmtId="0" fontId="13" fillId="2" borderId="32" xfId="43" applyFont="1" applyFill="1" applyBorder="1" applyAlignment="1">
      <alignment horizontal="center" vertical="center" wrapText="1"/>
    </xf>
    <xf numFmtId="0" fontId="13" fillId="2" borderId="31" xfId="43" applyFont="1" applyFill="1" applyBorder="1" applyAlignment="1">
      <alignment horizontal="center" vertical="center" wrapText="1"/>
    </xf>
    <xf numFmtId="0" fontId="13" fillId="2" borderId="24" xfId="43" applyFont="1" applyFill="1" applyBorder="1" applyAlignment="1">
      <alignment horizontal="center" vertical="center" wrapText="1"/>
    </xf>
    <xf numFmtId="0" fontId="13" fillId="2" borderId="15" xfId="43" applyFont="1" applyFill="1" applyBorder="1" applyAlignment="1">
      <alignment horizontal="center" vertical="center" wrapText="1"/>
    </xf>
    <xf numFmtId="0" fontId="13" fillId="2" borderId="2" xfId="43" applyFont="1" applyFill="1" applyBorder="1" applyAlignment="1">
      <alignment horizontal="center" vertical="center" wrapText="1"/>
    </xf>
    <xf numFmtId="0" fontId="13" fillId="2" borderId="6" xfId="43" applyFont="1" applyFill="1" applyBorder="1" applyAlignment="1">
      <alignment horizontal="center" vertical="center" wrapText="1"/>
    </xf>
    <xf numFmtId="0" fontId="13" fillId="2" borderId="33" xfId="43" applyFont="1" applyFill="1" applyBorder="1" applyAlignment="1">
      <alignment horizontal="center" vertical="center" wrapText="1"/>
    </xf>
    <xf numFmtId="0" fontId="13" fillId="2" borderId="37" xfId="43" applyFont="1" applyFill="1" applyBorder="1" applyAlignment="1">
      <alignment horizontal="center" vertical="center" wrapText="1"/>
    </xf>
    <xf numFmtId="0" fontId="13" fillId="2" borderId="25" xfId="43" applyFont="1" applyFill="1" applyBorder="1" applyAlignment="1">
      <alignment horizontal="center" vertical="center" wrapText="1"/>
    </xf>
    <xf numFmtId="0" fontId="43" fillId="2" borderId="34" xfId="43" applyFont="1" applyFill="1" applyBorder="1" applyAlignment="1">
      <alignment horizontal="center" vertical="center" wrapText="1"/>
    </xf>
    <xf numFmtId="0" fontId="43" fillId="2" borderId="35" xfId="43" applyFont="1" applyFill="1" applyBorder="1" applyAlignment="1">
      <alignment horizontal="center" vertical="center" wrapText="1"/>
    </xf>
    <xf numFmtId="0" fontId="43" fillId="2" borderId="36" xfId="43" applyFont="1" applyFill="1" applyBorder="1" applyAlignment="1">
      <alignment horizontal="center" vertical="center" wrapText="1"/>
    </xf>
    <xf numFmtId="0" fontId="43" fillId="2" borderId="38" xfId="43" applyFont="1" applyFill="1" applyBorder="1" applyAlignment="1">
      <alignment horizontal="center" vertical="center" wrapText="1"/>
    </xf>
    <xf numFmtId="0" fontId="43" fillId="2" borderId="4" xfId="43" applyFont="1" applyFill="1" applyBorder="1" applyAlignment="1">
      <alignment horizontal="center" vertical="center" wrapText="1"/>
    </xf>
    <xf numFmtId="0" fontId="43" fillId="2" borderId="6" xfId="43" applyFont="1" applyFill="1" applyBorder="1" applyAlignment="1">
      <alignment horizontal="center" vertical="center" wrapText="1"/>
    </xf>
    <xf numFmtId="0" fontId="43" fillId="2" borderId="6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43" fillId="2" borderId="39" xfId="43" applyFont="1" applyFill="1" applyBorder="1" applyAlignment="1">
      <alignment horizontal="center" vertical="center"/>
    </xf>
    <xf numFmtId="0" fontId="43" fillId="2" borderId="35" xfId="43" applyFont="1" applyFill="1" applyBorder="1" applyAlignment="1">
      <alignment horizontal="center" vertical="center"/>
    </xf>
    <xf numFmtId="0" fontId="43" fillId="2" borderId="36" xfId="43" applyFont="1" applyFill="1" applyBorder="1" applyAlignment="1">
      <alignment horizontal="center" vertical="center"/>
    </xf>
    <xf numFmtId="0" fontId="43" fillId="2" borderId="2" xfId="43" applyFont="1" applyFill="1" applyBorder="1" applyAlignment="1">
      <alignment horizontal="center" vertical="center" wrapText="1"/>
    </xf>
    <xf numFmtId="0" fontId="43" fillId="2" borderId="7" xfId="43" applyFont="1" applyFill="1" applyBorder="1" applyAlignment="1">
      <alignment horizontal="center" vertical="center" wrapText="1"/>
    </xf>
    <xf numFmtId="0" fontId="43" fillId="2" borderId="7" xfId="0" applyFont="1" applyFill="1" applyBorder="1" applyAlignment="1">
      <alignment horizontal="center" vertical="center" wrapText="1"/>
    </xf>
    <xf numFmtId="0" fontId="43" fillId="2" borderId="24" xfId="43" applyFont="1" applyFill="1" applyBorder="1" applyAlignment="1">
      <alignment horizontal="center" vertical="center" wrapText="1"/>
    </xf>
    <xf numFmtId="0" fontId="43" fillId="2" borderId="13" xfId="43" applyFont="1" applyFill="1" applyBorder="1" applyAlignment="1">
      <alignment horizontal="center" vertical="center" wrapText="1"/>
    </xf>
    <xf numFmtId="0" fontId="3" fillId="0" borderId="3" xfId="28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28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0" fontId="53" fillId="0" borderId="1" xfId="6" applyFont="1" applyFill="1" applyBorder="1" applyAlignment="1">
      <alignment horizontal="center" vertical="center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7" fillId="2" borderId="7" xfId="32" applyFont="1" applyFill="1" applyBorder="1" applyAlignment="1">
      <alignment horizontal="center" vertical="center" wrapText="1"/>
    </xf>
    <xf numFmtId="0" fontId="7" fillId="2" borderId="1" xfId="32" applyFont="1" applyFill="1" applyBorder="1" applyAlignment="1">
      <alignment horizontal="center" vertical="center" wrapText="1"/>
    </xf>
    <xf numFmtId="0" fontId="49" fillId="2" borderId="1" xfId="32" applyFont="1" applyFill="1" applyBorder="1" applyAlignment="1">
      <alignment horizontal="center" vertical="center" wrapText="1"/>
    </xf>
    <xf numFmtId="4" fontId="48" fillId="2" borderId="1" xfId="32" applyNumberFormat="1" applyFont="1" applyFill="1" applyBorder="1" applyAlignment="1">
      <alignment horizontal="center" vertical="center" wrapText="1"/>
    </xf>
    <xf numFmtId="0" fontId="47" fillId="2" borderId="1" xfId="32" applyFont="1" applyFill="1" applyBorder="1" applyAlignment="1">
      <alignment horizontal="center" vertical="center" wrapText="1"/>
    </xf>
    <xf numFmtId="0" fontId="48" fillId="2" borderId="1" xfId="3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2" fillId="0" borderId="7" xfId="45" applyNumberFormat="1" applyFont="1" applyFill="1" applyBorder="1" applyAlignment="1">
      <alignment horizontal="center" vertical="center" wrapText="1"/>
    </xf>
    <xf numFmtId="3" fontId="2" fillId="0" borderId="8" xfId="45" applyNumberFormat="1" applyFont="1" applyFill="1" applyBorder="1" applyAlignment="1">
      <alignment horizontal="center" vertical="center" wrapText="1"/>
    </xf>
    <xf numFmtId="3" fontId="2" fillId="0" borderId="9" xfId="45" applyNumberFormat="1" applyFont="1" applyFill="1" applyBorder="1" applyAlignment="1">
      <alignment horizontal="center" vertic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0" borderId="5" xfId="45" applyFont="1" applyFill="1" applyBorder="1" applyAlignment="1">
      <alignment horizontal="center" vertical="center" wrapText="1"/>
    </xf>
    <xf numFmtId="0" fontId="2" fillId="0" borderId="6" xfId="45" applyFont="1" applyFill="1" applyBorder="1" applyAlignment="1">
      <alignment horizontal="center" vertical="center" wrapText="1"/>
    </xf>
    <xf numFmtId="0" fontId="2" fillId="2" borderId="5" xfId="45" applyFont="1" applyFill="1" applyBorder="1" applyAlignment="1">
      <alignment horizontal="center" vertical="center" wrapText="1"/>
    </xf>
    <xf numFmtId="0" fontId="2" fillId="2" borderId="6" xfId="45" applyFont="1" applyFill="1" applyBorder="1" applyAlignment="1">
      <alignment horizontal="center" vertical="center" wrapText="1"/>
    </xf>
    <xf numFmtId="0" fontId="52" fillId="0" borderId="0" xfId="13" applyFont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3" fontId="2" fillId="2" borderId="1" xfId="4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3" fontId="62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62" fillId="2" borderId="5" xfId="0" applyNumberFormat="1" applyFont="1" applyFill="1" applyBorder="1" applyAlignment="1">
      <alignment horizontal="center" vertical="center" wrapText="1"/>
    </xf>
    <xf numFmtId="3" fontId="62" fillId="2" borderId="6" xfId="0" applyNumberFormat="1" applyFont="1" applyFill="1" applyBorder="1" applyAlignment="1">
      <alignment horizontal="center" vertical="center" wrapText="1"/>
    </xf>
    <xf numFmtId="3" fontId="62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0" xfId="0" applyFont="1" applyFill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5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2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3" fontId="42" fillId="2" borderId="5" xfId="0" applyNumberFormat="1" applyFont="1" applyFill="1" applyBorder="1" applyAlignment="1">
      <alignment horizontal="center" vertical="center" wrapText="1"/>
    </xf>
    <xf numFmtId="3" fontId="42" fillId="2" borderId="2" xfId="0" applyNumberFormat="1" applyFont="1" applyFill="1" applyBorder="1" applyAlignment="1">
      <alignment horizontal="center" vertical="center" wrapText="1"/>
    </xf>
    <xf numFmtId="3" fontId="42" fillId="2" borderId="6" xfId="0" applyNumberFormat="1" applyFont="1" applyFill="1" applyBorder="1" applyAlignment="1">
      <alignment horizontal="center" vertical="center" wrapText="1"/>
    </xf>
    <xf numFmtId="3" fontId="42" fillId="2" borderId="7" xfId="0" applyNumberFormat="1" applyFont="1" applyFill="1" applyBorder="1" applyAlignment="1" applyProtection="1">
      <alignment horizontal="center" vertical="center"/>
      <protection locked="0"/>
    </xf>
    <xf numFmtId="3" fontId="42" fillId="2" borderId="8" xfId="0" applyNumberFormat="1" applyFont="1" applyFill="1" applyBorder="1" applyAlignment="1" applyProtection="1">
      <alignment horizontal="center" vertical="center"/>
      <protection locked="0"/>
    </xf>
    <xf numFmtId="3" fontId="42" fillId="2" borderId="9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>
      <alignment horizontal="center" vertical="center"/>
    </xf>
    <xf numFmtId="3" fontId="3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" xfId="0" applyNumberFormat="1" applyFont="1" applyFill="1" applyBorder="1" applyAlignment="1" applyProtection="1">
      <alignment horizontal="center" vertical="center"/>
      <protection locked="0"/>
    </xf>
    <xf numFmtId="3" fontId="33" fillId="2" borderId="1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3" fontId="33" fillId="2" borderId="8" xfId="0" applyNumberFormat="1" applyFont="1" applyFill="1" applyBorder="1" applyAlignment="1">
      <alignment horizontal="center" vertical="center" wrapText="1"/>
    </xf>
    <xf numFmtId="3" fontId="33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53" fillId="0" borderId="7" xfId="0" applyFont="1" applyBorder="1" applyAlignment="1">
      <alignment vertical="center" wrapText="1"/>
    </xf>
    <xf numFmtId="0" fontId="64" fillId="0" borderId="8" xfId="0" applyFont="1" applyBorder="1" applyAlignment="1">
      <alignment vertical="center" wrapText="1"/>
    </xf>
    <xf numFmtId="0" fontId="64" fillId="0" borderId="9" xfId="0" applyFont="1" applyBorder="1" applyAlignment="1">
      <alignment vertical="center" wrapText="1"/>
    </xf>
    <xf numFmtId="0" fontId="5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2" borderId="5" xfId="2" applyNumberFormat="1" applyFont="1" applyFill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53" fillId="0" borderId="24" xfId="0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left" vertical="center"/>
    </xf>
    <xf numFmtId="0" fontId="53" fillId="0" borderId="13" xfId="0" applyFont="1" applyFill="1" applyBorder="1" applyAlignment="1">
      <alignment horizontal="left" vertical="center"/>
    </xf>
    <xf numFmtId="3" fontId="13" fillId="0" borderId="22" xfId="6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49" fontId="13" fillId="2" borderId="5" xfId="14" applyNumberFormat="1" applyFont="1" applyFill="1" applyBorder="1" applyAlignment="1">
      <alignment horizontal="center" vertical="center"/>
    </xf>
    <xf numFmtId="49" fontId="13" fillId="2" borderId="2" xfId="14" applyNumberFormat="1" applyFont="1" applyFill="1" applyBorder="1" applyAlignment="1">
      <alignment horizontal="center" vertical="center"/>
    </xf>
    <xf numFmtId="49" fontId="13" fillId="2" borderId="6" xfId="1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 wrapText="1"/>
    </xf>
    <xf numFmtId="0" fontId="43" fillId="0" borderId="30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48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3" fontId="43" fillId="0" borderId="14" xfId="14" applyNumberFormat="1" applyFont="1" applyFill="1" applyBorder="1" applyAlignment="1">
      <alignment horizontal="center" vertical="center" wrapText="1"/>
    </xf>
    <xf numFmtId="3" fontId="43" fillId="0" borderId="46" xfId="0" applyNumberFormat="1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43" fillId="0" borderId="14" xfId="0" applyNumberFormat="1" applyFont="1" applyFill="1" applyBorder="1" applyAlignment="1">
      <alignment horizontal="center" vertical="center" wrapText="1"/>
    </xf>
    <xf numFmtId="3" fontId="43" fillId="0" borderId="19" xfId="14" applyNumberFormat="1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3" fontId="43" fillId="0" borderId="23" xfId="14" applyNumberFormat="1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4" fontId="43" fillId="0" borderId="12" xfId="14" applyNumberFormat="1" applyFont="1" applyFill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3" fontId="43" fillId="0" borderId="40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3" fontId="43" fillId="0" borderId="22" xfId="0" applyNumberFormat="1" applyFont="1" applyFill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1" fillId="2" borderId="0" xfId="0" applyFont="1" applyFill="1" applyAlignment="1">
      <alignment horizontal="center" vertical="center" wrapText="1"/>
    </xf>
    <xf numFmtId="0" fontId="64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3" fontId="2" fillId="2" borderId="14" xfId="44" applyNumberFormat="1" applyFont="1" applyFill="1" applyBorder="1" applyAlignment="1">
      <alignment horizontal="center" vertical="center" wrapText="1"/>
    </xf>
    <xf numFmtId="3" fontId="2" fillId="2" borderId="30" xfId="44" applyNumberFormat="1" applyFont="1" applyFill="1" applyBorder="1" applyAlignment="1">
      <alignment horizontal="center" vertical="center" wrapText="1"/>
    </xf>
    <xf numFmtId="0" fontId="67" fillId="2" borderId="30" xfId="0" applyFont="1" applyFill="1" applyBorder="1" applyAlignment="1">
      <alignment horizontal="center" vertical="center" wrapText="1"/>
    </xf>
    <xf numFmtId="0" fontId="67" fillId="2" borderId="16" xfId="0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43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52" xfId="0" applyNumberFormat="1" applyFont="1" applyFill="1" applyBorder="1" applyAlignment="1">
      <alignment horizontal="center" vertical="center" wrapText="1"/>
    </xf>
    <xf numFmtId="0" fontId="76" fillId="2" borderId="24" xfId="0" applyFont="1" applyFill="1" applyBorder="1" applyAlignment="1">
      <alignment horizontal="center" vertical="center" wrapText="1"/>
    </xf>
    <xf numFmtId="3" fontId="2" fillId="2" borderId="54" xfId="0" applyNumberFormat="1" applyFont="1" applyFill="1" applyBorder="1" applyAlignment="1">
      <alignment horizontal="center" vertical="center" wrapText="1"/>
    </xf>
    <xf numFmtId="3" fontId="2" fillId="2" borderId="55" xfId="0" applyNumberFormat="1" applyFont="1" applyFill="1" applyBorder="1" applyAlignment="1">
      <alignment horizontal="center" vertical="center" wrapText="1"/>
    </xf>
    <xf numFmtId="0" fontId="53" fillId="2" borderId="24" xfId="0" applyFont="1" applyFill="1" applyBorder="1" applyAlignment="1">
      <alignment horizontal="left" vertical="center"/>
    </xf>
    <xf numFmtId="0" fontId="53" fillId="2" borderId="6" xfId="0" applyFont="1" applyFill="1" applyBorder="1" applyAlignment="1">
      <alignment horizontal="left" vertical="center"/>
    </xf>
    <xf numFmtId="0" fontId="53" fillId="2" borderId="25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76" fillId="2" borderId="3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68" fillId="0" borderId="0" xfId="0" applyFont="1" applyFill="1" applyAlignment="1">
      <alignment horizontal="center" vertical="center" wrapText="1"/>
    </xf>
    <xf numFmtId="0" fontId="69" fillId="0" borderId="0" xfId="0" applyFont="1" applyFill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67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2" fillId="0" borderId="47" xfId="0" applyNumberFormat="1" applyFont="1" applyFill="1" applyBorder="1" applyAlignment="1">
      <alignment horizontal="center" vertical="center" wrapText="1"/>
    </xf>
    <xf numFmtId="0" fontId="67" fillId="0" borderId="4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2" fillId="0" borderId="20" xfId="44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3" fontId="2" fillId="0" borderId="40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3" fontId="2" fillId="0" borderId="14" xfId="44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2" fillId="0" borderId="49" xfId="44" applyNumberFormat="1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3" fontId="2" fillId="0" borderId="7" xfId="44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3" fillId="0" borderId="14" xfId="0" applyFont="1" applyFill="1" applyBorder="1" applyAlignment="1">
      <alignment horizontal="left" vertical="center"/>
    </xf>
    <xf numFmtId="0" fontId="53" fillId="0" borderId="30" xfId="0" applyFont="1" applyFill="1" applyBorder="1" applyAlignment="1">
      <alignment horizontal="left" vertical="center"/>
    </xf>
    <xf numFmtId="0" fontId="53" fillId="0" borderId="46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49" fontId="13" fillId="2" borderId="5" xfId="44" applyNumberFormat="1" applyFont="1" applyFill="1" applyBorder="1" applyAlignment="1">
      <alignment horizontal="center" vertical="center"/>
    </xf>
    <xf numFmtId="49" fontId="13" fillId="2" borderId="2" xfId="44" applyNumberFormat="1" applyFont="1" applyFill="1" applyBorder="1" applyAlignment="1">
      <alignment horizontal="center" vertical="center"/>
    </xf>
    <xf numFmtId="49" fontId="13" fillId="2" borderId="6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 wrapText="1"/>
    </xf>
    <xf numFmtId="0" fontId="51" fillId="0" borderId="0" xfId="0" applyFont="1" applyFill="1" applyAlignment="1">
      <alignment wrapText="1"/>
    </xf>
    <xf numFmtId="0" fontId="17" fillId="0" borderId="1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4" fontId="2" fillId="0" borderId="22" xfId="44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3" fontId="2" fillId="0" borderId="40" xfId="14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3" fontId="2" fillId="0" borderId="30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" fillId="0" borderId="22" xfId="44" applyNumberFormat="1" applyFont="1" applyFill="1" applyBorder="1" applyAlignment="1">
      <alignment horizontal="center" vertical="center" wrapText="1"/>
    </xf>
    <xf numFmtId="3" fontId="2" fillId="0" borderId="5" xfId="44" applyNumberFormat="1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3" fontId="2" fillId="0" borderId="10" xfId="44" applyNumberFormat="1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3" fontId="2" fillId="0" borderId="40" xfId="44" applyNumberFormat="1" applyFont="1" applyFill="1" applyBorder="1" applyAlignment="1">
      <alignment horizontal="center" vertical="center" wrapText="1"/>
    </xf>
  </cellXfs>
  <cellStyles count="48">
    <cellStyle name="Normal" xfId="11" xr:uid="{00000000-0005-0000-0000-000000000000}"/>
    <cellStyle name="Обычный" xfId="0" builtinId="0"/>
    <cellStyle name="Обычный 10 10 10 2 2 2 2 2 2" xfId="7" xr:uid="{00000000-0005-0000-0000-000002000000}"/>
    <cellStyle name="Обычный 10 10 10 2 2 2 2 2 8" xfId="27" xr:uid="{00000000-0005-0000-0000-000003000000}"/>
    <cellStyle name="Обычный 10 10 10 2 2 3 2 2 7 2" xfId="19" xr:uid="{00000000-0005-0000-0000-000004000000}"/>
    <cellStyle name="Обычный 10 10 14 7 2 3 2 2 7 2" xfId="17" xr:uid="{00000000-0005-0000-0000-000005000000}"/>
    <cellStyle name="Обычный 100" xfId="9" xr:uid="{00000000-0005-0000-0000-000006000000}"/>
    <cellStyle name="Обычный 11" xfId="45" xr:uid="{00000000-0005-0000-0000-000007000000}"/>
    <cellStyle name="Обычный 144" xfId="8" xr:uid="{00000000-0005-0000-0000-000008000000}"/>
    <cellStyle name="Обычный 149 12" xfId="13" xr:uid="{00000000-0005-0000-0000-000009000000}"/>
    <cellStyle name="Обычный 15" xfId="1" xr:uid="{00000000-0005-0000-0000-00000A000000}"/>
    <cellStyle name="Обычный 15 2 4 4" xfId="23" xr:uid="{00000000-0005-0000-0000-00000B000000}"/>
    <cellStyle name="Обычный 17" xfId="26" xr:uid="{00000000-0005-0000-0000-00000C000000}"/>
    <cellStyle name="Обычный 2" xfId="12" xr:uid="{00000000-0005-0000-0000-00000D000000}"/>
    <cellStyle name="Обычный 2 10" xfId="18" xr:uid="{00000000-0005-0000-0000-00000E000000}"/>
    <cellStyle name="Обычный 2 136 11 7 4 3 2 2 6" xfId="28" xr:uid="{00000000-0005-0000-0000-00000F000000}"/>
    <cellStyle name="Обычный 2 136 11 7 4 3 2 3 5" xfId="29" xr:uid="{00000000-0005-0000-0000-000010000000}"/>
    <cellStyle name="Обычный 2 136 11 7 4 3 2 8" xfId="24" xr:uid="{00000000-0005-0000-0000-000011000000}"/>
    <cellStyle name="Обычный 2 136 11 7 4 3 2 9" xfId="30" xr:uid="{00000000-0005-0000-0000-000012000000}"/>
    <cellStyle name="Обычный 2 136 11 7 4 3 3 3" xfId="22" xr:uid="{00000000-0005-0000-0000-000013000000}"/>
    <cellStyle name="Обычный 2 136 11 7 4 3 6 2" xfId="31" xr:uid="{00000000-0005-0000-0000-000014000000}"/>
    <cellStyle name="Обычный 2 136 11 7 4 8 7" xfId="25" xr:uid="{00000000-0005-0000-0000-000015000000}"/>
    <cellStyle name="Обычный 2 136 11 7 6 2 2" xfId="43" xr:uid="{00000000-0005-0000-0000-000016000000}"/>
    <cellStyle name="Обычный 2 136 11 7 6 2 3 3" xfId="20" xr:uid="{00000000-0005-0000-0000-000017000000}"/>
    <cellStyle name="Обычный 2 136 15 3 2 2 2 7 2" xfId="16" xr:uid="{00000000-0005-0000-0000-000018000000}"/>
    <cellStyle name="Обычный 2 136 15 3 3 3 7 2" xfId="15" xr:uid="{00000000-0005-0000-0000-000019000000}"/>
    <cellStyle name="Обычный 2 136 23 7 2 3" xfId="21" xr:uid="{00000000-0005-0000-0000-00001A000000}"/>
    <cellStyle name="Обычный 2 137" xfId="2" xr:uid="{00000000-0005-0000-0000-00001B000000}"/>
    <cellStyle name="Обычный 2 139" xfId="32" xr:uid="{00000000-0005-0000-0000-00001C000000}"/>
    <cellStyle name="Обычный 2 2" xfId="39" xr:uid="{00000000-0005-0000-0000-00001D000000}"/>
    <cellStyle name="Обычный 2 2 10" xfId="44" xr:uid="{00000000-0005-0000-0000-00001E000000}"/>
    <cellStyle name="Обычный 2 2 2 4" xfId="14" xr:uid="{00000000-0005-0000-0000-00001F000000}"/>
    <cellStyle name="Обычный 2 3 2" xfId="4" xr:uid="{00000000-0005-0000-0000-000020000000}"/>
    <cellStyle name="Обычный 2 4" xfId="10" xr:uid="{00000000-0005-0000-0000-000021000000}"/>
    <cellStyle name="Обычный 2 5" xfId="35" xr:uid="{00000000-0005-0000-0000-000022000000}"/>
    <cellStyle name="Обычный 2 6" xfId="6" xr:uid="{00000000-0005-0000-0000-000023000000}"/>
    <cellStyle name="Обычный 2 6 2" xfId="42" xr:uid="{00000000-0005-0000-0000-000024000000}"/>
    <cellStyle name="Обычный 3" xfId="33" xr:uid="{00000000-0005-0000-0000-000025000000}"/>
    <cellStyle name="Обычный 3 2" xfId="47" xr:uid="{00000000-0005-0000-0000-000026000000}"/>
    <cellStyle name="Обычный 4" xfId="34" xr:uid="{00000000-0005-0000-0000-000027000000}"/>
    <cellStyle name="Обычный 4 10" xfId="40" xr:uid="{00000000-0005-0000-0000-000028000000}"/>
    <cellStyle name="Обычный 5" xfId="41" xr:uid="{00000000-0005-0000-0000-000029000000}"/>
    <cellStyle name="Обычный 5 3" xfId="3" xr:uid="{00000000-0005-0000-0000-00002A000000}"/>
    <cellStyle name="Обычный 5 3 2" xfId="5" xr:uid="{00000000-0005-0000-0000-00002B000000}"/>
    <cellStyle name="Обычный 83 2" xfId="46" xr:uid="{00000000-0005-0000-0000-00002C000000}"/>
    <cellStyle name="Обычный 84" xfId="36" xr:uid="{00000000-0005-0000-0000-00002D000000}"/>
    <cellStyle name="Обычный 84 2 3" xfId="38" xr:uid="{00000000-0005-0000-0000-00002E000000}"/>
    <cellStyle name="Обычный 85" xfId="37" xr:uid="{00000000-0005-0000-0000-00002F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OSIT\&#1058;%20&#1040;%20&#1056;%20&#1048;%20&#1060;%20&#1053;%20&#1067;%20&#1045;\&#1054;&#1073;&#1098;&#1077;&#1084;&#1099;\2026%20&#1075;\&#1050;&#1057;\&#1050;&#1057;%20&#1052;&#1056;%20&#1087;&#1088;.14-25%20&#1085;&#1072;%202026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5%20&#1075;/&#1054;&#1073;&#1088;&#1072;&#1097;&#1077;&#1085;&#1080;&#1103;/&#1054;&#1073;&#1098;&#1077;&#1084;&#1099;%20&#1086;&#1073;&#1088;&#1072;&#1097;&#1077;&#1085;&#1080;&#1081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6;&#1072;&#1079;&#1086;&#1074;&#1099;&#1077;%20&#1087;&#1086;&#1089;&#1077;&#1097;.&#1074;%20&#1089;&#1074;&#1103;&#1079;&#1080;%20&#1089;%20&#1079;&#1072;&#1073;&#1086;&#1083;.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&#1088;.&#1084;&#1077;&#1076;&#1087;&#1077;&#1088;&#1089;&#1086;&#1085;&#1072;&#1083;&#1072;_202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%20&#1076;&#1088;.&#1094;&#1077;&#1083;&#1103;&#1084;&#1080;_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3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</row>
      </sheetData>
      <sheetData sheetId="3">
        <row r="1">
          <cell r="C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  <sheetName val="0-2"/>
    </sheetNames>
    <sheetDataSet>
      <sheetData sheetId="0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Новый СВОД"/>
      <sheetName val="Свод для протокола"/>
      <sheetName val="Свод по уровням"/>
      <sheetName val="Свод КСГ по МО объемы"/>
      <sheetName val="Свод КСГ по МО финансы"/>
      <sheetName val="резерв"/>
      <sheetName val="ГБУЗ РБ Белорецкая ЦРКБ"/>
      <sheetName val="ГБУЗ РБ ГКБ № 1 г.Стерлитам "/>
      <sheetName val="ГБУЗ РБ ДБ г. Стерлитамак"/>
      <sheetName val="ГБУЗ РБ ГБ №1 г.Октябрьский "/>
      <sheetName val="ГБУЗ РБ ГБ г.Кумертау"/>
      <sheetName val="ГБУЗ РБ ГБ г.Нефтекамск "/>
      <sheetName val="ГБУЗ РБ ГДКБ № 17 г.Уфа"/>
      <sheetName val="ГБУЗ РБ ГКБ № 5 г.Уфа"/>
      <sheetName val="ГБУЗ РБ ГКБ № 8 г.Уфа"/>
      <sheetName val="ГБУЗ РБ ГКБ № 13 г. Уфа "/>
      <sheetName val="ГБУЗ РБ ГКБ № 18 г. Уфы"/>
      <sheetName val="ГБУЗ РБ ГКБ № 21 г. Уфа "/>
      <sheetName val="ГБУЗ РБ ГКБ Демского района"/>
      <sheetName val="ГБУЗ РБ Месягутовская ЦРБ "/>
      <sheetName val="ГБУЗ РБ Учалинская ЦРБ"/>
      <sheetName val="ГБУЗ РБ ЦГБ г.Сибай"/>
      <sheetName val="ГБУЗ РБ КБСМП г.Уфа "/>
      <sheetName val="ГБУЗ РКБ им. Г.Г. Куватова"/>
      <sheetName val="ГБУЗ РДКБ "/>
      <sheetName val="ГБУЗ РКГВВ"/>
      <sheetName val="ГБУЗ РКЦ"/>
      <sheetName val="ГАУЗ Акбузат"/>
      <sheetName val="ГАУЗ РКОД"/>
      <sheetName val="ЧУЗ КБ РЖД-МЕДИЦИНА Г.УФА"/>
    </sheetNames>
    <sheetDataSet>
      <sheetData sheetId="0" refreshError="1"/>
      <sheetData sheetId="1" refreshError="1"/>
      <sheetData sheetId="2">
        <row r="7">
          <cell r="E7">
            <v>4630946</v>
          </cell>
        </row>
      </sheetData>
      <sheetData sheetId="3">
        <row r="47">
          <cell r="E47">
            <v>720</v>
          </cell>
        </row>
        <row r="138">
          <cell r="E138">
            <v>22498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щения (Пр.1-25)"/>
      <sheetName val="Обращения (Пр.3-25) "/>
      <sheetName val="Обращения (Пр.5-25)  "/>
      <sheetName val="Обращения (Пр.  9 -25) "/>
      <sheetName val="Обращения (Пр. 10 -25) "/>
      <sheetName val="Обращения (Пр. 11 -25)"/>
      <sheetName val="Обращения (Пр. 12 -25)"/>
      <sheetName val="Обращения (Пр. 13 -25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1434</v>
          </cell>
        </row>
      </sheetData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.пос.(Пр.16-25)    "/>
      <sheetName val="Раз.пос.(Пр.2-26)    "/>
      <sheetName val="Откл.Пр.2-26-Пр.1-26"/>
      <sheetName val="Раз.пос.(Пр.3-26)     "/>
      <sheetName val="Откл.Пр.3-26-Пр.2-26"/>
      <sheetName val="Уточнение для Пр.5-26"/>
      <sheetName val="Расчет для уточения Пр.5-26"/>
      <sheetName val="Раз.пос.(Пр.5-26)"/>
      <sheetName val="Раз.пос.(Пр.6-26) "/>
      <sheetName val="Откл.Пр.6-26-Пр.5-26"/>
      <sheetName val="Раз.пос.(Пр.7-26)  "/>
      <sheetName val="Откл.Пр.7-26-Пр.6-26 "/>
      <sheetName val="Раз.пос.(Пр.8-26) "/>
    </sheetNames>
    <sheetDataSet>
      <sheetData sheetId="0"/>
      <sheetData sheetId="1"/>
      <sheetData sheetId="2"/>
      <sheetData sheetId="3">
        <row r="9">
          <cell r="S9">
            <v>1428</v>
          </cell>
        </row>
        <row r="35">
          <cell r="S35">
            <v>6772</v>
          </cell>
        </row>
        <row r="86">
          <cell r="S86">
            <v>4392</v>
          </cell>
        </row>
        <row r="128">
          <cell r="S128">
            <v>10000</v>
          </cell>
        </row>
      </sheetData>
      <sheetData sheetId="4"/>
      <sheetData sheetId="5">
        <row r="16">
          <cell r="M16">
            <v>-1025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. ср.мед.пер. (Пр.16-25)   "/>
      <sheetName val="Пос. ср.мед.пер. (Пр.2-26) "/>
      <sheetName val="Отк.Пр.2-26-Пр.1-26"/>
      <sheetName val="Расчет для Пр.5-26"/>
      <sheetName val="Уточнение Пр.5-26"/>
      <sheetName val="Пос. ср.мед.пер. (Пр.5-26) "/>
      <sheetName val="Пос. ср.мед.пер. (Пр.6-26)  "/>
      <sheetName val="Откл.Пр.6-26-Пр.5-26"/>
      <sheetName val="Пос. ср.мед.пер. (Пр.8-26)  "/>
    </sheetNames>
    <sheetDataSet>
      <sheetData sheetId="0" refreshError="1"/>
      <sheetData sheetId="1">
        <row r="8">
          <cell r="E8">
            <v>0</v>
          </cell>
          <cell r="F8">
            <v>0</v>
          </cell>
          <cell r="G8">
            <v>0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 с др.целями(Пр.16-25)  "/>
      <sheetName val="Пос с др.целями(Пр.2-26)"/>
      <sheetName val="Откл.Пр.2-26-Пр.1-26"/>
      <sheetName val="Уточнение для Пр.5-26"/>
      <sheetName val="расчет для Пр.5-26"/>
      <sheetName val="Пос с др.целями(Пр.5-26) "/>
      <sheetName val="Пос с др.целями(Пр.6-26)  "/>
      <sheetName val="Откл.Пр.6-26-Пр.5-26"/>
      <sheetName val="Пос с др.целями(Пр.8-26)  "/>
    </sheetNames>
    <sheetDataSet>
      <sheetData sheetId="0" refreshError="1"/>
      <sheetData sheetId="1">
        <row r="8"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9"/>
  <sheetViews>
    <sheetView zoomScale="80" zoomScaleNormal="80" workbookViewId="0">
      <pane xSplit="4" ySplit="8" topLeftCell="E129" activePane="bottomRight" state="frozen"/>
      <selection activeCell="H13" sqref="H13:H484"/>
      <selection pane="topRight" activeCell="H13" sqref="H13:H484"/>
      <selection pane="bottomLeft" activeCell="H13" sqref="H13:H484"/>
      <selection pane="bottomRight" activeCell="C135" sqref="C135"/>
    </sheetView>
  </sheetViews>
  <sheetFormatPr defaultRowHeight="12.75" x14ac:dyDescent="0.2"/>
  <cols>
    <col min="1" max="1" width="6.28515625" style="175" customWidth="1"/>
    <col min="2" max="2" width="10.28515625" style="175" customWidth="1"/>
    <col min="3" max="3" width="35.7109375" style="175" customWidth="1"/>
    <col min="4" max="4" width="9.140625" style="175" customWidth="1"/>
    <col min="5" max="5" width="11.5703125" style="175" customWidth="1"/>
    <col min="6" max="6" width="10.42578125" style="175" customWidth="1"/>
    <col min="7" max="7" width="8.5703125" style="175" customWidth="1"/>
    <col min="8" max="8" width="8.140625" style="175" customWidth="1"/>
    <col min="9" max="9" width="8.85546875" style="175" customWidth="1"/>
    <col min="10" max="10" width="14.28515625" style="175" customWidth="1"/>
    <col min="11" max="11" width="12.42578125" style="175" customWidth="1"/>
    <col min="12" max="12" width="13.140625" style="175" customWidth="1"/>
    <col min="13" max="13" width="20.42578125" style="175" customWidth="1"/>
    <col min="14" max="14" width="14" style="175" customWidth="1"/>
    <col min="15" max="15" width="8.140625" style="209" customWidth="1"/>
    <col min="16" max="16" width="11" style="209" customWidth="1"/>
    <col min="17" max="17" width="12.140625" style="209" customWidth="1"/>
    <col min="18" max="18" width="16.42578125" style="209" customWidth="1"/>
    <col min="19" max="19" width="18.7109375" style="209" customWidth="1"/>
    <col min="20" max="20" width="17" style="209" customWidth="1"/>
    <col min="21" max="21" width="10.7109375" style="209" customWidth="1"/>
    <col min="22" max="22" width="11.140625" style="175" customWidth="1"/>
    <col min="23" max="23" width="12.85546875" style="175" customWidth="1"/>
    <col min="24" max="24" width="9.140625" style="176" customWidth="1"/>
    <col min="25" max="25" width="9.140625" style="175"/>
    <col min="26" max="26" width="11.140625" style="175" customWidth="1"/>
    <col min="27" max="27" width="12.5703125" style="175" customWidth="1"/>
    <col min="28" max="28" width="12" style="175" customWidth="1"/>
    <col min="29" max="30" width="12.7109375" style="175" customWidth="1"/>
    <col min="31" max="260" width="9.140625" style="175"/>
    <col min="261" max="261" width="5.5703125" style="175" customWidth="1"/>
    <col min="262" max="262" width="11.5703125" style="175" customWidth="1"/>
    <col min="263" max="263" width="35.7109375" style="175" customWidth="1"/>
    <col min="264" max="264" width="9.140625" style="175" customWidth="1"/>
    <col min="265" max="265" width="11.5703125" style="175" customWidth="1"/>
    <col min="266" max="266" width="15.7109375" style="175" customWidth="1"/>
    <col min="267" max="267" width="13.42578125" style="175" customWidth="1"/>
    <col min="268" max="268" width="19.140625" style="175" customWidth="1"/>
    <col min="269" max="269" width="8.140625" style="175" customWidth="1"/>
    <col min="270" max="270" width="12.140625" style="175" customWidth="1"/>
    <col min="271" max="271" width="14.42578125" style="175" customWidth="1"/>
    <col min="272" max="272" width="13.5703125" style="175" customWidth="1"/>
    <col min="273" max="516" width="9.140625" style="175"/>
    <col min="517" max="517" width="5.5703125" style="175" customWidth="1"/>
    <col min="518" max="518" width="11.5703125" style="175" customWidth="1"/>
    <col min="519" max="519" width="35.7109375" style="175" customWidth="1"/>
    <col min="520" max="520" width="9.140625" style="175" customWidth="1"/>
    <col min="521" max="521" width="11.5703125" style="175" customWidth="1"/>
    <col min="522" max="522" width="15.7109375" style="175" customWidth="1"/>
    <col min="523" max="523" width="13.42578125" style="175" customWidth="1"/>
    <col min="524" max="524" width="19.140625" style="175" customWidth="1"/>
    <col min="525" max="525" width="8.140625" style="175" customWidth="1"/>
    <col min="526" max="526" width="12.140625" style="175" customWidth="1"/>
    <col min="527" max="527" width="14.42578125" style="175" customWidth="1"/>
    <col min="528" max="528" width="13.5703125" style="175" customWidth="1"/>
    <col min="529" max="772" width="9.140625" style="175"/>
    <col min="773" max="773" width="5.5703125" style="175" customWidth="1"/>
    <col min="774" max="774" width="11.5703125" style="175" customWidth="1"/>
    <col min="775" max="775" width="35.7109375" style="175" customWidth="1"/>
    <col min="776" max="776" width="9.140625" style="175" customWidth="1"/>
    <col min="777" max="777" width="11.5703125" style="175" customWidth="1"/>
    <col min="778" max="778" width="15.7109375" style="175" customWidth="1"/>
    <col min="779" max="779" width="13.42578125" style="175" customWidth="1"/>
    <col min="780" max="780" width="19.140625" style="175" customWidth="1"/>
    <col min="781" max="781" width="8.140625" style="175" customWidth="1"/>
    <col min="782" max="782" width="12.140625" style="175" customWidth="1"/>
    <col min="783" max="783" width="14.42578125" style="175" customWidth="1"/>
    <col min="784" max="784" width="13.5703125" style="175" customWidth="1"/>
    <col min="785" max="1028" width="9.140625" style="175"/>
    <col min="1029" max="1029" width="5.5703125" style="175" customWidth="1"/>
    <col min="1030" max="1030" width="11.5703125" style="175" customWidth="1"/>
    <col min="1031" max="1031" width="35.7109375" style="175" customWidth="1"/>
    <col min="1032" max="1032" width="9.140625" style="175" customWidth="1"/>
    <col min="1033" max="1033" width="11.5703125" style="175" customWidth="1"/>
    <col min="1034" max="1034" width="15.7109375" style="175" customWidth="1"/>
    <col min="1035" max="1035" width="13.42578125" style="175" customWidth="1"/>
    <col min="1036" max="1036" width="19.140625" style="175" customWidth="1"/>
    <col min="1037" max="1037" width="8.140625" style="175" customWidth="1"/>
    <col min="1038" max="1038" width="12.140625" style="175" customWidth="1"/>
    <col min="1039" max="1039" width="14.42578125" style="175" customWidth="1"/>
    <col min="1040" max="1040" width="13.5703125" style="175" customWidth="1"/>
    <col min="1041" max="1284" width="9.140625" style="175"/>
    <col min="1285" max="1285" width="5.5703125" style="175" customWidth="1"/>
    <col min="1286" max="1286" width="11.5703125" style="175" customWidth="1"/>
    <col min="1287" max="1287" width="35.7109375" style="175" customWidth="1"/>
    <col min="1288" max="1288" width="9.140625" style="175" customWidth="1"/>
    <col min="1289" max="1289" width="11.5703125" style="175" customWidth="1"/>
    <col min="1290" max="1290" width="15.7109375" style="175" customWidth="1"/>
    <col min="1291" max="1291" width="13.42578125" style="175" customWidth="1"/>
    <col min="1292" max="1292" width="19.140625" style="175" customWidth="1"/>
    <col min="1293" max="1293" width="8.140625" style="175" customWidth="1"/>
    <col min="1294" max="1294" width="12.140625" style="175" customWidth="1"/>
    <col min="1295" max="1295" width="14.42578125" style="175" customWidth="1"/>
    <col min="1296" max="1296" width="13.5703125" style="175" customWidth="1"/>
    <col min="1297" max="1540" width="9.140625" style="175"/>
    <col min="1541" max="1541" width="5.5703125" style="175" customWidth="1"/>
    <col min="1542" max="1542" width="11.5703125" style="175" customWidth="1"/>
    <col min="1543" max="1543" width="35.7109375" style="175" customWidth="1"/>
    <col min="1544" max="1544" width="9.140625" style="175" customWidth="1"/>
    <col min="1545" max="1545" width="11.5703125" style="175" customWidth="1"/>
    <col min="1546" max="1546" width="15.7109375" style="175" customWidth="1"/>
    <col min="1547" max="1547" width="13.42578125" style="175" customWidth="1"/>
    <col min="1548" max="1548" width="19.140625" style="175" customWidth="1"/>
    <col min="1549" max="1549" width="8.140625" style="175" customWidth="1"/>
    <col min="1550" max="1550" width="12.140625" style="175" customWidth="1"/>
    <col min="1551" max="1551" width="14.42578125" style="175" customWidth="1"/>
    <col min="1552" max="1552" width="13.5703125" style="175" customWidth="1"/>
    <col min="1553" max="1796" width="9.140625" style="175"/>
    <col min="1797" max="1797" width="5.5703125" style="175" customWidth="1"/>
    <col min="1798" max="1798" width="11.5703125" style="175" customWidth="1"/>
    <col min="1799" max="1799" width="35.7109375" style="175" customWidth="1"/>
    <col min="1800" max="1800" width="9.140625" style="175" customWidth="1"/>
    <col min="1801" max="1801" width="11.5703125" style="175" customWidth="1"/>
    <col min="1802" max="1802" width="15.7109375" style="175" customWidth="1"/>
    <col min="1803" max="1803" width="13.42578125" style="175" customWidth="1"/>
    <col min="1804" max="1804" width="19.140625" style="175" customWidth="1"/>
    <col min="1805" max="1805" width="8.140625" style="175" customWidth="1"/>
    <col min="1806" max="1806" width="12.140625" style="175" customWidth="1"/>
    <col min="1807" max="1807" width="14.42578125" style="175" customWidth="1"/>
    <col min="1808" max="1808" width="13.5703125" style="175" customWidth="1"/>
    <col min="1809" max="2052" width="9.140625" style="175"/>
    <col min="2053" max="2053" width="5.5703125" style="175" customWidth="1"/>
    <col min="2054" max="2054" width="11.5703125" style="175" customWidth="1"/>
    <col min="2055" max="2055" width="35.7109375" style="175" customWidth="1"/>
    <col min="2056" max="2056" width="9.140625" style="175" customWidth="1"/>
    <col min="2057" max="2057" width="11.5703125" style="175" customWidth="1"/>
    <col min="2058" max="2058" width="15.7109375" style="175" customWidth="1"/>
    <col min="2059" max="2059" width="13.42578125" style="175" customWidth="1"/>
    <col min="2060" max="2060" width="19.140625" style="175" customWidth="1"/>
    <col min="2061" max="2061" width="8.140625" style="175" customWidth="1"/>
    <col min="2062" max="2062" width="12.140625" style="175" customWidth="1"/>
    <col min="2063" max="2063" width="14.42578125" style="175" customWidth="1"/>
    <col min="2064" max="2064" width="13.5703125" style="175" customWidth="1"/>
    <col min="2065" max="2308" width="9.140625" style="175"/>
    <col min="2309" max="2309" width="5.5703125" style="175" customWidth="1"/>
    <col min="2310" max="2310" width="11.5703125" style="175" customWidth="1"/>
    <col min="2311" max="2311" width="35.7109375" style="175" customWidth="1"/>
    <col min="2312" max="2312" width="9.140625" style="175" customWidth="1"/>
    <col min="2313" max="2313" width="11.5703125" style="175" customWidth="1"/>
    <col min="2314" max="2314" width="15.7109375" style="175" customWidth="1"/>
    <col min="2315" max="2315" width="13.42578125" style="175" customWidth="1"/>
    <col min="2316" max="2316" width="19.140625" style="175" customWidth="1"/>
    <col min="2317" max="2317" width="8.140625" style="175" customWidth="1"/>
    <col min="2318" max="2318" width="12.140625" style="175" customWidth="1"/>
    <col min="2319" max="2319" width="14.42578125" style="175" customWidth="1"/>
    <col min="2320" max="2320" width="13.5703125" style="175" customWidth="1"/>
    <col min="2321" max="2564" width="9.140625" style="175"/>
    <col min="2565" max="2565" width="5.5703125" style="175" customWidth="1"/>
    <col min="2566" max="2566" width="11.5703125" style="175" customWidth="1"/>
    <col min="2567" max="2567" width="35.7109375" style="175" customWidth="1"/>
    <col min="2568" max="2568" width="9.140625" style="175" customWidth="1"/>
    <col min="2569" max="2569" width="11.5703125" style="175" customWidth="1"/>
    <col min="2570" max="2570" width="15.7109375" style="175" customWidth="1"/>
    <col min="2571" max="2571" width="13.42578125" style="175" customWidth="1"/>
    <col min="2572" max="2572" width="19.140625" style="175" customWidth="1"/>
    <col min="2573" max="2573" width="8.140625" style="175" customWidth="1"/>
    <col min="2574" max="2574" width="12.140625" style="175" customWidth="1"/>
    <col min="2575" max="2575" width="14.42578125" style="175" customWidth="1"/>
    <col min="2576" max="2576" width="13.5703125" style="175" customWidth="1"/>
    <col min="2577" max="2820" width="9.140625" style="175"/>
    <col min="2821" max="2821" width="5.5703125" style="175" customWidth="1"/>
    <col min="2822" max="2822" width="11.5703125" style="175" customWidth="1"/>
    <col min="2823" max="2823" width="35.7109375" style="175" customWidth="1"/>
    <col min="2824" max="2824" width="9.140625" style="175" customWidth="1"/>
    <col min="2825" max="2825" width="11.5703125" style="175" customWidth="1"/>
    <col min="2826" max="2826" width="15.7109375" style="175" customWidth="1"/>
    <col min="2827" max="2827" width="13.42578125" style="175" customWidth="1"/>
    <col min="2828" max="2828" width="19.140625" style="175" customWidth="1"/>
    <col min="2829" max="2829" width="8.140625" style="175" customWidth="1"/>
    <col min="2830" max="2830" width="12.140625" style="175" customWidth="1"/>
    <col min="2831" max="2831" width="14.42578125" style="175" customWidth="1"/>
    <col min="2832" max="2832" width="13.5703125" style="175" customWidth="1"/>
    <col min="2833" max="3076" width="9.140625" style="175"/>
    <col min="3077" max="3077" width="5.5703125" style="175" customWidth="1"/>
    <col min="3078" max="3078" width="11.5703125" style="175" customWidth="1"/>
    <col min="3079" max="3079" width="35.7109375" style="175" customWidth="1"/>
    <col min="3080" max="3080" width="9.140625" style="175" customWidth="1"/>
    <col min="3081" max="3081" width="11.5703125" style="175" customWidth="1"/>
    <col min="3082" max="3082" width="15.7109375" style="175" customWidth="1"/>
    <col min="3083" max="3083" width="13.42578125" style="175" customWidth="1"/>
    <col min="3084" max="3084" width="19.140625" style="175" customWidth="1"/>
    <col min="3085" max="3085" width="8.140625" style="175" customWidth="1"/>
    <col min="3086" max="3086" width="12.140625" style="175" customWidth="1"/>
    <col min="3087" max="3087" width="14.42578125" style="175" customWidth="1"/>
    <col min="3088" max="3088" width="13.5703125" style="175" customWidth="1"/>
    <col min="3089" max="3332" width="9.140625" style="175"/>
    <col min="3333" max="3333" width="5.5703125" style="175" customWidth="1"/>
    <col min="3334" max="3334" width="11.5703125" style="175" customWidth="1"/>
    <col min="3335" max="3335" width="35.7109375" style="175" customWidth="1"/>
    <col min="3336" max="3336" width="9.140625" style="175" customWidth="1"/>
    <col min="3337" max="3337" width="11.5703125" style="175" customWidth="1"/>
    <col min="3338" max="3338" width="15.7109375" style="175" customWidth="1"/>
    <col min="3339" max="3339" width="13.42578125" style="175" customWidth="1"/>
    <col min="3340" max="3340" width="19.140625" style="175" customWidth="1"/>
    <col min="3341" max="3341" width="8.140625" style="175" customWidth="1"/>
    <col min="3342" max="3342" width="12.140625" style="175" customWidth="1"/>
    <col min="3343" max="3343" width="14.42578125" style="175" customWidth="1"/>
    <col min="3344" max="3344" width="13.5703125" style="175" customWidth="1"/>
    <col min="3345" max="3588" width="9.140625" style="175"/>
    <col min="3589" max="3589" width="5.5703125" style="175" customWidth="1"/>
    <col min="3590" max="3590" width="11.5703125" style="175" customWidth="1"/>
    <col min="3591" max="3591" width="35.7109375" style="175" customWidth="1"/>
    <col min="3592" max="3592" width="9.140625" style="175" customWidth="1"/>
    <col min="3593" max="3593" width="11.5703125" style="175" customWidth="1"/>
    <col min="3594" max="3594" width="15.7109375" style="175" customWidth="1"/>
    <col min="3595" max="3595" width="13.42578125" style="175" customWidth="1"/>
    <col min="3596" max="3596" width="19.140625" style="175" customWidth="1"/>
    <col min="3597" max="3597" width="8.140625" style="175" customWidth="1"/>
    <col min="3598" max="3598" width="12.140625" style="175" customWidth="1"/>
    <col min="3599" max="3599" width="14.42578125" style="175" customWidth="1"/>
    <col min="3600" max="3600" width="13.5703125" style="175" customWidth="1"/>
    <col min="3601" max="3844" width="9.140625" style="175"/>
    <col min="3845" max="3845" width="5.5703125" style="175" customWidth="1"/>
    <col min="3846" max="3846" width="11.5703125" style="175" customWidth="1"/>
    <col min="3847" max="3847" width="35.7109375" style="175" customWidth="1"/>
    <col min="3848" max="3848" width="9.140625" style="175" customWidth="1"/>
    <col min="3849" max="3849" width="11.5703125" style="175" customWidth="1"/>
    <col min="3850" max="3850" width="15.7109375" style="175" customWidth="1"/>
    <col min="3851" max="3851" width="13.42578125" style="175" customWidth="1"/>
    <col min="3852" max="3852" width="19.140625" style="175" customWidth="1"/>
    <col min="3853" max="3853" width="8.140625" style="175" customWidth="1"/>
    <col min="3854" max="3854" width="12.140625" style="175" customWidth="1"/>
    <col min="3855" max="3855" width="14.42578125" style="175" customWidth="1"/>
    <col min="3856" max="3856" width="13.5703125" style="175" customWidth="1"/>
    <col min="3857" max="4100" width="9.140625" style="175"/>
    <col min="4101" max="4101" width="5.5703125" style="175" customWidth="1"/>
    <col min="4102" max="4102" width="11.5703125" style="175" customWidth="1"/>
    <col min="4103" max="4103" width="35.7109375" style="175" customWidth="1"/>
    <col min="4104" max="4104" width="9.140625" style="175" customWidth="1"/>
    <col min="4105" max="4105" width="11.5703125" style="175" customWidth="1"/>
    <col min="4106" max="4106" width="15.7109375" style="175" customWidth="1"/>
    <col min="4107" max="4107" width="13.42578125" style="175" customWidth="1"/>
    <col min="4108" max="4108" width="19.140625" style="175" customWidth="1"/>
    <col min="4109" max="4109" width="8.140625" style="175" customWidth="1"/>
    <col min="4110" max="4110" width="12.140625" style="175" customWidth="1"/>
    <col min="4111" max="4111" width="14.42578125" style="175" customWidth="1"/>
    <col min="4112" max="4112" width="13.5703125" style="175" customWidth="1"/>
    <col min="4113" max="4356" width="9.140625" style="175"/>
    <col min="4357" max="4357" width="5.5703125" style="175" customWidth="1"/>
    <col min="4358" max="4358" width="11.5703125" style="175" customWidth="1"/>
    <col min="4359" max="4359" width="35.7109375" style="175" customWidth="1"/>
    <col min="4360" max="4360" width="9.140625" style="175" customWidth="1"/>
    <col min="4361" max="4361" width="11.5703125" style="175" customWidth="1"/>
    <col min="4362" max="4362" width="15.7109375" style="175" customWidth="1"/>
    <col min="4363" max="4363" width="13.42578125" style="175" customWidth="1"/>
    <col min="4364" max="4364" width="19.140625" style="175" customWidth="1"/>
    <col min="4365" max="4365" width="8.140625" style="175" customWidth="1"/>
    <col min="4366" max="4366" width="12.140625" style="175" customWidth="1"/>
    <col min="4367" max="4367" width="14.42578125" style="175" customWidth="1"/>
    <col min="4368" max="4368" width="13.5703125" style="175" customWidth="1"/>
    <col min="4369" max="4612" width="9.140625" style="175"/>
    <col min="4613" max="4613" width="5.5703125" style="175" customWidth="1"/>
    <col min="4614" max="4614" width="11.5703125" style="175" customWidth="1"/>
    <col min="4615" max="4615" width="35.7109375" style="175" customWidth="1"/>
    <col min="4616" max="4616" width="9.140625" style="175" customWidth="1"/>
    <col min="4617" max="4617" width="11.5703125" style="175" customWidth="1"/>
    <col min="4618" max="4618" width="15.7109375" style="175" customWidth="1"/>
    <col min="4619" max="4619" width="13.42578125" style="175" customWidth="1"/>
    <col min="4620" max="4620" width="19.140625" style="175" customWidth="1"/>
    <col min="4621" max="4621" width="8.140625" style="175" customWidth="1"/>
    <col min="4622" max="4622" width="12.140625" style="175" customWidth="1"/>
    <col min="4623" max="4623" width="14.42578125" style="175" customWidth="1"/>
    <col min="4624" max="4624" width="13.5703125" style="175" customWidth="1"/>
    <col min="4625" max="4868" width="9.140625" style="175"/>
    <col min="4869" max="4869" width="5.5703125" style="175" customWidth="1"/>
    <col min="4870" max="4870" width="11.5703125" style="175" customWidth="1"/>
    <col min="4871" max="4871" width="35.7109375" style="175" customWidth="1"/>
    <col min="4872" max="4872" width="9.140625" style="175" customWidth="1"/>
    <col min="4873" max="4873" width="11.5703125" style="175" customWidth="1"/>
    <col min="4874" max="4874" width="15.7109375" style="175" customWidth="1"/>
    <col min="4875" max="4875" width="13.42578125" style="175" customWidth="1"/>
    <col min="4876" max="4876" width="19.140625" style="175" customWidth="1"/>
    <col min="4877" max="4877" width="8.140625" style="175" customWidth="1"/>
    <col min="4878" max="4878" width="12.140625" style="175" customWidth="1"/>
    <col min="4879" max="4879" width="14.42578125" style="175" customWidth="1"/>
    <col min="4880" max="4880" width="13.5703125" style="175" customWidth="1"/>
    <col min="4881" max="5124" width="9.140625" style="175"/>
    <col min="5125" max="5125" width="5.5703125" style="175" customWidth="1"/>
    <col min="5126" max="5126" width="11.5703125" style="175" customWidth="1"/>
    <col min="5127" max="5127" width="35.7109375" style="175" customWidth="1"/>
    <col min="5128" max="5128" width="9.140625" style="175" customWidth="1"/>
    <col min="5129" max="5129" width="11.5703125" style="175" customWidth="1"/>
    <col min="5130" max="5130" width="15.7109375" style="175" customWidth="1"/>
    <col min="5131" max="5131" width="13.42578125" style="175" customWidth="1"/>
    <col min="5132" max="5132" width="19.140625" style="175" customWidth="1"/>
    <col min="5133" max="5133" width="8.140625" style="175" customWidth="1"/>
    <col min="5134" max="5134" width="12.140625" style="175" customWidth="1"/>
    <col min="5135" max="5135" width="14.42578125" style="175" customWidth="1"/>
    <col min="5136" max="5136" width="13.5703125" style="175" customWidth="1"/>
    <col min="5137" max="5380" width="9.140625" style="175"/>
    <col min="5381" max="5381" width="5.5703125" style="175" customWidth="1"/>
    <col min="5382" max="5382" width="11.5703125" style="175" customWidth="1"/>
    <col min="5383" max="5383" width="35.7109375" style="175" customWidth="1"/>
    <col min="5384" max="5384" width="9.140625" style="175" customWidth="1"/>
    <col min="5385" max="5385" width="11.5703125" style="175" customWidth="1"/>
    <col min="5386" max="5386" width="15.7109375" style="175" customWidth="1"/>
    <col min="5387" max="5387" width="13.42578125" style="175" customWidth="1"/>
    <col min="5388" max="5388" width="19.140625" style="175" customWidth="1"/>
    <col min="5389" max="5389" width="8.140625" style="175" customWidth="1"/>
    <col min="5390" max="5390" width="12.140625" style="175" customWidth="1"/>
    <col min="5391" max="5391" width="14.42578125" style="175" customWidth="1"/>
    <col min="5392" max="5392" width="13.5703125" style="175" customWidth="1"/>
    <col min="5393" max="5636" width="9.140625" style="175"/>
    <col min="5637" max="5637" width="5.5703125" style="175" customWidth="1"/>
    <col min="5638" max="5638" width="11.5703125" style="175" customWidth="1"/>
    <col min="5639" max="5639" width="35.7109375" style="175" customWidth="1"/>
    <col min="5640" max="5640" width="9.140625" style="175" customWidth="1"/>
    <col min="5641" max="5641" width="11.5703125" style="175" customWidth="1"/>
    <col min="5642" max="5642" width="15.7109375" style="175" customWidth="1"/>
    <col min="5643" max="5643" width="13.42578125" style="175" customWidth="1"/>
    <col min="5644" max="5644" width="19.140625" style="175" customWidth="1"/>
    <col min="5645" max="5645" width="8.140625" style="175" customWidth="1"/>
    <col min="5646" max="5646" width="12.140625" style="175" customWidth="1"/>
    <col min="5647" max="5647" width="14.42578125" style="175" customWidth="1"/>
    <col min="5648" max="5648" width="13.5703125" style="175" customWidth="1"/>
    <col min="5649" max="5892" width="9.140625" style="175"/>
    <col min="5893" max="5893" width="5.5703125" style="175" customWidth="1"/>
    <col min="5894" max="5894" width="11.5703125" style="175" customWidth="1"/>
    <col min="5895" max="5895" width="35.7109375" style="175" customWidth="1"/>
    <col min="5896" max="5896" width="9.140625" style="175" customWidth="1"/>
    <col min="5897" max="5897" width="11.5703125" style="175" customWidth="1"/>
    <col min="5898" max="5898" width="15.7109375" style="175" customWidth="1"/>
    <col min="5899" max="5899" width="13.42578125" style="175" customWidth="1"/>
    <col min="5900" max="5900" width="19.140625" style="175" customWidth="1"/>
    <col min="5901" max="5901" width="8.140625" style="175" customWidth="1"/>
    <col min="5902" max="5902" width="12.140625" style="175" customWidth="1"/>
    <col min="5903" max="5903" width="14.42578125" style="175" customWidth="1"/>
    <col min="5904" max="5904" width="13.5703125" style="175" customWidth="1"/>
    <col min="5905" max="6148" width="9.140625" style="175"/>
    <col min="6149" max="6149" width="5.5703125" style="175" customWidth="1"/>
    <col min="6150" max="6150" width="11.5703125" style="175" customWidth="1"/>
    <col min="6151" max="6151" width="35.7109375" style="175" customWidth="1"/>
    <col min="6152" max="6152" width="9.140625" style="175" customWidth="1"/>
    <col min="6153" max="6153" width="11.5703125" style="175" customWidth="1"/>
    <col min="6154" max="6154" width="15.7109375" style="175" customWidth="1"/>
    <col min="6155" max="6155" width="13.42578125" style="175" customWidth="1"/>
    <col min="6156" max="6156" width="19.140625" style="175" customWidth="1"/>
    <col min="6157" max="6157" width="8.140625" style="175" customWidth="1"/>
    <col min="6158" max="6158" width="12.140625" style="175" customWidth="1"/>
    <col min="6159" max="6159" width="14.42578125" style="175" customWidth="1"/>
    <col min="6160" max="6160" width="13.5703125" style="175" customWidth="1"/>
    <col min="6161" max="6404" width="9.140625" style="175"/>
    <col min="6405" max="6405" width="5.5703125" style="175" customWidth="1"/>
    <col min="6406" max="6406" width="11.5703125" style="175" customWidth="1"/>
    <col min="6407" max="6407" width="35.7109375" style="175" customWidth="1"/>
    <col min="6408" max="6408" width="9.140625" style="175" customWidth="1"/>
    <col min="6409" max="6409" width="11.5703125" style="175" customWidth="1"/>
    <col min="6410" max="6410" width="15.7109375" style="175" customWidth="1"/>
    <col min="6411" max="6411" width="13.42578125" style="175" customWidth="1"/>
    <col min="6412" max="6412" width="19.140625" style="175" customWidth="1"/>
    <col min="6413" max="6413" width="8.140625" style="175" customWidth="1"/>
    <col min="6414" max="6414" width="12.140625" style="175" customWidth="1"/>
    <col min="6415" max="6415" width="14.42578125" style="175" customWidth="1"/>
    <col min="6416" max="6416" width="13.5703125" style="175" customWidth="1"/>
    <col min="6417" max="6660" width="9.140625" style="175"/>
    <col min="6661" max="6661" width="5.5703125" style="175" customWidth="1"/>
    <col min="6662" max="6662" width="11.5703125" style="175" customWidth="1"/>
    <col min="6663" max="6663" width="35.7109375" style="175" customWidth="1"/>
    <col min="6664" max="6664" width="9.140625" style="175" customWidth="1"/>
    <col min="6665" max="6665" width="11.5703125" style="175" customWidth="1"/>
    <col min="6666" max="6666" width="15.7109375" style="175" customWidth="1"/>
    <col min="6667" max="6667" width="13.42578125" style="175" customWidth="1"/>
    <col min="6668" max="6668" width="19.140625" style="175" customWidth="1"/>
    <col min="6669" max="6669" width="8.140625" style="175" customWidth="1"/>
    <col min="6670" max="6670" width="12.140625" style="175" customWidth="1"/>
    <col min="6671" max="6671" width="14.42578125" style="175" customWidth="1"/>
    <col min="6672" max="6672" width="13.5703125" style="175" customWidth="1"/>
    <col min="6673" max="6916" width="9.140625" style="175"/>
    <col min="6917" max="6917" width="5.5703125" style="175" customWidth="1"/>
    <col min="6918" max="6918" width="11.5703125" style="175" customWidth="1"/>
    <col min="6919" max="6919" width="35.7109375" style="175" customWidth="1"/>
    <col min="6920" max="6920" width="9.140625" style="175" customWidth="1"/>
    <col min="6921" max="6921" width="11.5703125" style="175" customWidth="1"/>
    <col min="6922" max="6922" width="15.7109375" style="175" customWidth="1"/>
    <col min="6923" max="6923" width="13.42578125" style="175" customWidth="1"/>
    <col min="6924" max="6924" width="19.140625" style="175" customWidth="1"/>
    <col min="6925" max="6925" width="8.140625" style="175" customWidth="1"/>
    <col min="6926" max="6926" width="12.140625" style="175" customWidth="1"/>
    <col min="6927" max="6927" width="14.42578125" style="175" customWidth="1"/>
    <col min="6928" max="6928" width="13.5703125" style="175" customWidth="1"/>
    <col min="6929" max="7172" width="9.140625" style="175"/>
    <col min="7173" max="7173" width="5.5703125" style="175" customWidth="1"/>
    <col min="7174" max="7174" width="11.5703125" style="175" customWidth="1"/>
    <col min="7175" max="7175" width="35.7109375" style="175" customWidth="1"/>
    <col min="7176" max="7176" width="9.140625" style="175" customWidth="1"/>
    <col min="7177" max="7177" width="11.5703125" style="175" customWidth="1"/>
    <col min="7178" max="7178" width="15.7109375" style="175" customWidth="1"/>
    <col min="7179" max="7179" width="13.42578125" style="175" customWidth="1"/>
    <col min="7180" max="7180" width="19.140625" style="175" customWidth="1"/>
    <col min="7181" max="7181" width="8.140625" style="175" customWidth="1"/>
    <col min="7182" max="7182" width="12.140625" style="175" customWidth="1"/>
    <col min="7183" max="7183" width="14.42578125" style="175" customWidth="1"/>
    <col min="7184" max="7184" width="13.5703125" style="175" customWidth="1"/>
    <col min="7185" max="7428" width="9.140625" style="175"/>
    <col min="7429" max="7429" width="5.5703125" style="175" customWidth="1"/>
    <col min="7430" max="7430" width="11.5703125" style="175" customWidth="1"/>
    <col min="7431" max="7431" width="35.7109375" style="175" customWidth="1"/>
    <col min="7432" max="7432" width="9.140625" style="175" customWidth="1"/>
    <col min="7433" max="7433" width="11.5703125" style="175" customWidth="1"/>
    <col min="7434" max="7434" width="15.7109375" style="175" customWidth="1"/>
    <col min="7435" max="7435" width="13.42578125" style="175" customWidth="1"/>
    <col min="7436" max="7436" width="19.140625" style="175" customWidth="1"/>
    <col min="7437" max="7437" width="8.140625" style="175" customWidth="1"/>
    <col min="7438" max="7438" width="12.140625" style="175" customWidth="1"/>
    <col min="7439" max="7439" width="14.42578125" style="175" customWidth="1"/>
    <col min="7440" max="7440" width="13.5703125" style="175" customWidth="1"/>
    <col min="7441" max="7684" width="9.140625" style="175"/>
    <col min="7685" max="7685" width="5.5703125" style="175" customWidth="1"/>
    <col min="7686" max="7686" width="11.5703125" style="175" customWidth="1"/>
    <col min="7687" max="7687" width="35.7109375" style="175" customWidth="1"/>
    <col min="7688" max="7688" width="9.140625" style="175" customWidth="1"/>
    <col min="7689" max="7689" width="11.5703125" style="175" customWidth="1"/>
    <col min="7690" max="7690" width="15.7109375" style="175" customWidth="1"/>
    <col min="7691" max="7691" width="13.42578125" style="175" customWidth="1"/>
    <col min="7692" max="7692" width="19.140625" style="175" customWidth="1"/>
    <col min="7693" max="7693" width="8.140625" style="175" customWidth="1"/>
    <col min="7694" max="7694" width="12.140625" style="175" customWidth="1"/>
    <col min="7695" max="7695" width="14.42578125" style="175" customWidth="1"/>
    <col min="7696" max="7696" width="13.5703125" style="175" customWidth="1"/>
    <col min="7697" max="7940" width="9.140625" style="175"/>
    <col min="7941" max="7941" width="5.5703125" style="175" customWidth="1"/>
    <col min="7942" max="7942" width="11.5703125" style="175" customWidth="1"/>
    <col min="7943" max="7943" width="35.7109375" style="175" customWidth="1"/>
    <col min="7944" max="7944" width="9.140625" style="175" customWidth="1"/>
    <col min="7945" max="7945" width="11.5703125" style="175" customWidth="1"/>
    <col min="7946" max="7946" width="15.7109375" style="175" customWidth="1"/>
    <col min="7947" max="7947" width="13.42578125" style="175" customWidth="1"/>
    <col min="7948" max="7948" width="19.140625" style="175" customWidth="1"/>
    <col min="7949" max="7949" width="8.140625" style="175" customWidth="1"/>
    <col min="7950" max="7950" width="12.140625" style="175" customWidth="1"/>
    <col min="7951" max="7951" width="14.42578125" style="175" customWidth="1"/>
    <col min="7952" max="7952" width="13.5703125" style="175" customWidth="1"/>
    <col min="7953" max="8196" width="9.140625" style="175"/>
    <col min="8197" max="8197" width="5.5703125" style="175" customWidth="1"/>
    <col min="8198" max="8198" width="11.5703125" style="175" customWidth="1"/>
    <col min="8199" max="8199" width="35.7109375" style="175" customWidth="1"/>
    <col min="8200" max="8200" width="9.140625" style="175" customWidth="1"/>
    <col min="8201" max="8201" width="11.5703125" style="175" customWidth="1"/>
    <col min="8202" max="8202" width="15.7109375" style="175" customWidth="1"/>
    <col min="8203" max="8203" width="13.42578125" style="175" customWidth="1"/>
    <col min="8204" max="8204" width="19.140625" style="175" customWidth="1"/>
    <col min="8205" max="8205" width="8.140625" style="175" customWidth="1"/>
    <col min="8206" max="8206" width="12.140625" style="175" customWidth="1"/>
    <col min="8207" max="8207" width="14.42578125" style="175" customWidth="1"/>
    <col min="8208" max="8208" width="13.5703125" style="175" customWidth="1"/>
    <col min="8209" max="8452" width="9.140625" style="175"/>
    <col min="8453" max="8453" width="5.5703125" style="175" customWidth="1"/>
    <col min="8454" max="8454" width="11.5703125" style="175" customWidth="1"/>
    <col min="8455" max="8455" width="35.7109375" style="175" customWidth="1"/>
    <col min="8456" max="8456" width="9.140625" style="175" customWidth="1"/>
    <col min="8457" max="8457" width="11.5703125" style="175" customWidth="1"/>
    <col min="8458" max="8458" width="15.7109375" style="175" customWidth="1"/>
    <col min="8459" max="8459" width="13.42578125" style="175" customWidth="1"/>
    <col min="8460" max="8460" width="19.140625" style="175" customWidth="1"/>
    <col min="8461" max="8461" width="8.140625" style="175" customWidth="1"/>
    <col min="8462" max="8462" width="12.140625" style="175" customWidth="1"/>
    <col min="8463" max="8463" width="14.42578125" style="175" customWidth="1"/>
    <col min="8464" max="8464" width="13.5703125" style="175" customWidth="1"/>
    <col min="8465" max="8708" width="9.140625" style="175"/>
    <col min="8709" max="8709" width="5.5703125" style="175" customWidth="1"/>
    <col min="8710" max="8710" width="11.5703125" style="175" customWidth="1"/>
    <col min="8711" max="8711" width="35.7109375" style="175" customWidth="1"/>
    <col min="8712" max="8712" width="9.140625" style="175" customWidth="1"/>
    <col min="8713" max="8713" width="11.5703125" style="175" customWidth="1"/>
    <col min="8714" max="8714" width="15.7109375" style="175" customWidth="1"/>
    <col min="8715" max="8715" width="13.42578125" style="175" customWidth="1"/>
    <col min="8716" max="8716" width="19.140625" style="175" customWidth="1"/>
    <col min="8717" max="8717" width="8.140625" style="175" customWidth="1"/>
    <col min="8718" max="8718" width="12.140625" style="175" customWidth="1"/>
    <col min="8719" max="8719" width="14.42578125" style="175" customWidth="1"/>
    <col min="8720" max="8720" width="13.5703125" style="175" customWidth="1"/>
    <col min="8721" max="8964" width="9.140625" style="175"/>
    <col min="8965" max="8965" width="5.5703125" style="175" customWidth="1"/>
    <col min="8966" max="8966" width="11.5703125" style="175" customWidth="1"/>
    <col min="8967" max="8967" width="35.7109375" style="175" customWidth="1"/>
    <col min="8968" max="8968" width="9.140625" style="175" customWidth="1"/>
    <col min="8969" max="8969" width="11.5703125" style="175" customWidth="1"/>
    <col min="8970" max="8970" width="15.7109375" style="175" customWidth="1"/>
    <col min="8971" max="8971" width="13.42578125" style="175" customWidth="1"/>
    <col min="8972" max="8972" width="19.140625" style="175" customWidth="1"/>
    <col min="8973" max="8973" width="8.140625" style="175" customWidth="1"/>
    <col min="8974" max="8974" width="12.140625" style="175" customWidth="1"/>
    <col min="8975" max="8975" width="14.42578125" style="175" customWidth="1"/>
    <col min="8976" max="8976" width="13.5703125" style="175" customWidth="1"/>
    <col min="8977" max="9220" width="9.140625" style="175"/>
    <col min="9221" max="9221" width="5.5703125" style="175" customWidth="1"/>
    <col min="9222" max="9222" width="11.5703125" style="175" customWidth="1"/>
    <col min="9223" max="9223" width="35.7109375" style="175" customWidth="1"/>
    <col min="9224" max="9224" width="9.140625" style="175" customWidth="1"/>
    <col min="9225" max="9225" width="11.5703125" style="175" customWidth="1"/>
    <col min="9226" max="9226" width="15.7109375" style="175" customWidth="1"/>
    <col min="9227" max="9227" width="13.42578125" style="175" customWidth="1"/>
    <col min="9228" max="9228" width="19.140625" style="175" customWidth="1"/>
    <col min="9229" max="9229" width="8.140625" style="175" customWidth="1"/>
    <col min="9230" max="9230" width="12.140625" style="175" customWidth="1"/>
    <col min="9231" max="9231" width="14.42578125" style="175" customWidth="1"/>
    <col min="9232" max="9232" width="13.5703125" style="175" customWidth="1"/>
    <col min="9233" max="9476" width="9.140625" style="175"/>
    <col min="9477" max="9477" width="5.5703125" style="175" customWidth="1"/>
    <col min="9478" max="9478" width="11.5703125" style="175" customWidth="1"/>
    <col min="9479" max="9479" width="35.7109375" style="175" customWidth="1"/>
    <col min="9480" max="9480" width="9.140625" style="175" customWidth="1"/>
    <col min="9481" max="9481" width="11.5703125" style="175" customWidth="1"/>
    <col min="9482" max="9482" width="15.7109375" style="175" customWidth="1"/>
    <col min="9483" max="9483" width="13.42578125" style="175" customWidth="1"/>
    <col min="9484" max="9484" width="19.140625" style="175" customWidth="1"/>
    <col min="9485" max="9485" width="8.140625" style="175" customWidth="1"/>
    <col min="9486" max="9486" width="12.140625" style="175" customWidth="1"/>
    <col min="9487" max="9487" width="14.42578125" style="175" customWidth="1"/>
    <col min="9488" max="9488" width="13.5703125" style="175" customWidth="1"/>
    <col min="9489" max="9732" width="9.140625" style="175"/>
    <col min="9733" max="9733" width="5.5703125" style="175" customWidth="1"/>
    <col min="9734" max="9734" width="11.5703125" style="175" customWidth="1"/>
    <col min="9735" max="9735" width="35.7109375" style="175" customWidth="1"/>
    <col min="9736" max="9736" width="9.140625" style="175" customWidth="1"/>
    <col min="9737" max="9737" width="11.5703125" style="175" customWidth="1"/>
    <col min="9738" max="9738" width="15.7109375" style="175" customWidth="1"/>
    <col min="9739" max="9739" width="13.42578125" style="175" customWidth="1"/>
    <col min="9740" max="9740" width="19.140625" style="175" customWidth="1"/>
    <col min="9741" max="9741" width="8.140625" style="175" customWidth="1"/>
    <col min="9742" max="9742" width="12.140625" style="175" customWidth="1"/>
    <col min="9743" max="9743" width="14.42578125" style="175" customWidth="1"/>
    <col min="9744" max="9744" width="13.5703125" style="175" customWidth="1"/>
    <col min="9745" max="9988" width="9.140625" style="175"/>
    <col min="9989" max="9989" width="5.5703125" style="175" customWidth="1"/>
    <col min="9990" max="9990" width="11.5703125" style="175" customWidth="1"/>
    <col min="9991" max="9991" width="35.7109375" style="175" customWidth="1"/>
    <col min="9992" max="9992" width="9.140625" style="175" customWidth="1"/>
    <col min="9993" max="9993" width="11.5703125" style="175" customWidth="1"/>
    <col min="9994" max="9994" width="15.7109375" style="175" customWidth="1"/>
    <col min="9995" max="9995" width="13.42578125" style="175" customWidth="1"/>
    <col min="9996" max="9996" width="19.140625" style="175" customWidth="1"/>
    <col min="9997" max="9997" width="8.140625" style="175" customWidth="1"/>
    <col min="9998" max="9998" width="12.140625" style="175" customWidth="1"/>
    <col min="9999" max="9999" width="14.42578125" style="175" customWidth="1"/>
    <col min="10000" max="10000" width="13.5703125" style="175" customWidth="1"/>
    <col min="10001" max="10244" width="9.140625" style="175"/>
    <col min="10245" max="10245" width="5.5703125" style="175" customWidth="1"/>
    <col min="10246" max="10246" width="11.5703125" style="175" customWidth="1"/>
    <col min="10247" max="10247" width="35.7109375" style="175" customWidth="1"/>
    <col min="10248" max="10248" width="9.140625" style="175" customWidth="1"/>
    <col min="10249" max="10249" width="11.5703125" style="175" customWidth="1"/>
    <col min="10250" max="10250" width="15.7109375" style="175" customWidth="1"/>
    <col min="10251" max="10251" width="13.42578125" style="175" customWidth="1"/>
    <col min="10252" max="10252" width="19.140625" style="175" customWidth="1"/>
    <col min="10253" max="10253" width="8.140625" style="175" customWidth="1"/>
    <col min="10254" max="10254" width="12.140625" style="175" customWidth="1"/>
    <col min="10255" max="10255" width="14.42578125" style="175" customWidth="1"/>
    <col min="10256" max="10256" width="13.5703125" style="175" customWidth="1"/>
    <col min="10257" max="10500" width="9.140625" style="175"/>
    <col min="10501" max="10501" width="5.5703125" style="175" customWidth="1"/>
    <col min="10502" max="10502" width="11.5703125" style="175" customWidth="1"/>
    <col min="10503" max="10503" width="35.7109375" style="175" customWidth="1"/>
    <col min="10504" max="10504" width="9.140625" style="175" customWidth="1"/>
    <col min="10505" max="10505" width="11.5703125" style="175" customWidth="1"/>
    <col min="10506" max="10506" width="15.7109375" style="175" customWidth="1"/>
    <col min="10507" max="10507" width="13.42578125" style="175" customWidth="1"/>
    <col min="10508" max="10508" width="19.140625" style="175" customWidth="1"/>
    <col min="10509" max="10509" width="8.140625" style="175" customWidth="1"/>
    <col min="10510" max="10510" width="12.140625" style="175" customWidth="1"/>
    <col min="10511" max="10511" width="14.42578125" style="175" customWidth="1"/>
    <col min="10512" max="10512" width="13.5703125" style="175" customWidth="1"/>
    <col min="10513" max="10756" width="9.140625" style="175"/>
    <col min="10757" max="10757" width="5.5703125" style="175" customWidth="1"/>
    <col min="10758" max="10758" width="11.5703125" style="175" customWidth="1"/>
    <col min="10759" max="10759" width="35.7109375" style="175" customWidth="1"/>
    <col min="10760" max="10760" width="9.140625" style="175" customWidth="1"/>
    <col min="10761" max="10761" width="11.5703125" style="175" customWidth="1"/>
    <col min="10762" max="10762" width="15.7109375" style="175" customWidth="1"/>
    <col min="10763" max="10763" width="13.42578125" style="175" customWidth="1"/>
    <col min="10764" max="10764" width="19.140625" style="175" customWidth="1"/>
    <col min="10765" max="10765" width="8.140625" style="175" customWidth="1"/>
    <col min="10766" max="10766" width="12.140625" style="175" customWidth="1"/>
    <col min="10767" max="10767" width="14.42578125" style="175" customWidth="1"/>
    <col min="10768" max="10768" width="13.5703125" style="175" customWidth="1"/>
    <col min="10769" max="11012" width="9.140625" style="175"/>
    <col min="11013" max="11013" width="5.5703125" style="175" customWidth="1"/>
    <col min="11014" max="11014" width="11.5703125" style="175" customWidth="1"/>
    <col min="11015" max="11015" width="35.7109375" style="175" customWidth="1"/>
    <col min="11016" max="11016" width="9.140625" style="175" customWidth="1"/>
    <col min="11017" max="11017" width="11.5703125" style="175" customWidth="1"/>
    <col min="11018" max="11018" width="15.7109375" style="175" customWidth="1"/>
    <col min="11019" max="11019" width="13.42578125" style="175" customWidth="1"/>
    <col min="11020" max="11020" width="19.140625" style="175" customWidth="1"/>
    <col min="11021" max="11021" width="8.140625" style="175" customWidth="1"/>
    <col min="11022" max="11022" width="12.140625" style="175" customWidth="1"/>
    <col min="11023" max="11023" width="14.42578125" style="175" customWidth="1"/>
    <col min="11024" max="11024" width="13.5703125" style="175" customWidth="1"/>
    <col min="11025" max="11268" width="9.140625" style="175"/>
    <col min="11269" max="11269" width="5.5703125" style="175" customWidth="1"/>
    <col min="11270" max="11270" width="11.5703125" style="175" customWidth="1"/>
    <col min="11271" max="11271" width="35.7109375" style="175" customWidth="1"/>
    <col min="11272" max="11272" width="9.140625" style="175" customWidth="1"/>
    <col min="11273" max="11273" width="11.5703125" style="175" customWidth="1"/>
    <col min="11274" max="11274" width="15.7109375" style="175" customWidth="1"/>
    <col min="11275" max="11275" width="13.42578125" style="175" customWidth="1"/>
    <col min="11276" max="11276" width="19.140625" style="175" customWidth="1"/>
    <col min="11277" max="11277" width="8.140625" style="175" customWidth="1"/>
    <col min="11278" max="11278" width="12.140625" style="175" customWidth="1"/>
    <col min="11279" max="11279" width="14.42578125" style="175" customWidth="1"/>
    <col min="11280" max="11280" width="13.5703125" style="175" customWidth="1"/>
    <col min="11281" max="11524" width="9.140625" style="175"/>
    <col min="11525" max="11525" width="5.5703125" style="175" customWidth="1"/>
    <col min="11526" max="11526" width="11.5703125" style="175" customWidth="1"/>
    <col min="11527" max="11527" width="35.7109375" style="175" customWidth="1"/>
    <col min="11528" max="11528" width="9.140625" style="175" customWidth="1"/>
    <col min="11529" max="11529" width="11.5703125" style="175" customWidth="1"/>
    <col min="11530" max="11530" width="15.7109375" style="175" customWidth="1"/>
    <col min="11531" max="11531" width="13.42578125" style="175" customWidth="1"/>
    <col min="11532" max="11532" width="19.140625" style="175" customWidth="1"/>
    <col min="11533" max="11533" width="8.140625" style="175" customWidth="1"/>
    <col min="11534" max="11534" width="12.140625" style="175" customWidth="1"/>
    <col min="11535" max="11535" width="14.42578125" style="175" customWidth="1"/>
    <col min="11536" max="11536" width="13.5703125" style="175" customWidth="1"/>
    <col min="11537" max="11780" width="9.140625" style="175"/>
    <col min="11781" max="11781" width="5.5703125" style="175" customWidth="1"/>
    <col min="11782" max="11782" width="11.5703125" style="175" customWidth="1"/>
    <col min="11783" max="11783" width="35.7109375" style="175" customWidth="1"/>
    <col min="11784" max="11784" width="9.140625" style="175" customWidth="1"/>
    <col min="11785" max="11785" width="11.5703125" style="175" customWidth="1"/>
    <col min="11786" max="11786" width="15.7109375" style="175" customWidth="1"/>
    <col min="11787" max="11787" width="13.42578125" style="175" customWidth="1"/>
    <col min="11788" max="11788" width="19.140625" style="175" customWidth="1"/>
    <col min="11789" max="11789" width="8.140625" style="175" customWidth="1"/>
    <col min="11790" max="11790" width="12.140625" style="175" customWidth="1"/>
    <col min="11791" max="11791" width="14.42578125" style="175" customWidth="1"/>
    <col min="11792" max="11792" width="13.5703125" style="175" customWidth="1"/>
    <col min="11793" max="12036" width="9.140625" style="175"/>
    <col min="12037" max="12037" width="5.5703125" style="175" customWidth="1"/>
    <col min="12038" max="12038" width="11.5703125" style="175" customWidth="1"/>
    <col min="12039" max="12039" width="35.7109375" style="175" customWidth="1"/>
    <col min="12040" max="12040" width="9.140625" style="175" customWidth="1"/>
    <col min="12041" max="12041" width="11.5703125" style="175" customWidth="1"/>
    <col min="12042" max="12042" width="15.7109375" style="175" customWidth="1"/>
    <col min="12043" max="12043" width="13.42578125" style="175" customWidth="1"/>
    <col min="12044" max="12044" width="19.140625" style="175" customWidth="1"/>
    <col min="12045" max="12045" width="8.140625" style="175" customWidth="1"/>
    <col min="12046" max="12046" width="12.140625" style="175" customWidth="1"/>
    <col min="12047" max="12047" width="14.42578125" style="175" customWidth="1"/>
    <col min="12048" max="12048" width="13.5703125" style="175" customWidth="1"/>
    <col min="12049" max="12292" width="9.140625" style="175"/>
    <col min="12293" max="12293" width="5.5703125" style="175" customWidth="1"/>
    <col min="12294" max="12294" width="11.5703125" style="175" customWidth="1"/>
    <col min="12295" max="12295" width="35.7109375" style="175" customWidth="1"/>
    <col min="12296" max="12296" width="9.140625" style="175" customWidth="1"/>
    <col min="12297" max="12297" width="11.5703125" style="175" customWidth="1"/>
    <col min="12298" max="12298" width="15.7109375" style="175" customWidth="1"/>
    <col min="12299" max="12299" width="13.42578125" style="175" customWidth="1"/>
    <col min="12300" max="12300" width="19.140625" style="175" customWidth="1"/>
    <col min="12301" max="12301" width="8.140625" style="175" customWidth="1"/>
    <col min="12302" max="12302" width="12.140625" style="175" customWidth="1"/>
    <col min="12303" max="12303" width="14.42578125" style="175" customWidth="1"/>
    <col min="12304" max="12304" width="13.5703125" style="175" customWidth="1"/>
    <col min="12305" max="12548" width="9.140625" style="175"/>
    <col min="12549" max="12549" width="5.5703125" style="175" customWidth="1"/>
    <col min="12550" max="12550" width="11.5703125" style="175" customWidth="1"/>
    <col min="12551" max="12551" width="35.7109375" style="175" customWidth="1"/>
    <col min="12552" max="12552" width="9.140625" style="175" customWidth="1"/>
    <col min="12553" max="12553" width="11.5703125" style="175" customWidth="1"/>
    <col min="12554" max="12554" width="15.7109375" style="175" customWidth="1"/>
    <col min="12555" max="12555" width="13.42578125" style="175" customWidth="1"/>
    <col min="12556" max="12556" width="19.140625" style="175" customWidth="1"/>
    <col min="12557" max="12557" width="8.140625" style="175" customWidth="1"/>
    <col min="12558" max="12558" width="12.140625" style="175" customWidth="1"/>
    <col min="12559" max="12559" width="14.42578125" style="175" customWidth="1"/>
    <col min="12560" max="12560" width="13.5703125" style="175" customWidth="1"/>
    <col min="12561" max="12804" width="9.140625" style="175"/>
    <col min="12805" max="12805" width="5.5703125" style="175" customWidth="1"/>
    <col min="12806" max="12806" width="11.5703125" style="175" customWidth="1"/>
    <col min="12807" max="12807" width="35.7109375" style="175" customWidth="1"/>
    <col min="12808" max="12808" width="9.140625" style="175" customWidth="1"/>
    <col min="12809" max="12809" width="11.5703125" style="175" customWidth="1"/>
    <col min="12810" max="12810" width="15.7109375" style="175" customWidth="1"/>
    <col min="12811" max="12811" width="13.42578125" style="175" customWidth="1"/>
    <col min="12812" max="12812" width="19.140625" style="175" customWidth="1"/>
    <col min="12813" max="12813" width="8.140625" style="175" customWidth="1"/>
    <col min="12814" max="12814" width="12.140625" style="175" customWidth="1"/>
    <col min="12815" max="12815" width="14.42578125" style="175" customWidth="1"/>
    <col min="12816" max="12816" width="13.5703125" style="175" customWidth="1"/>
    <col min="12817" max="13060" width="9.140625" style="175"/>
    <col min="13061" max="13061" width="5.5703125" style="175" customWidth="1"/>
    <col min="13062" max="13062" width="11.5703125" style="175" customWidth="1"/>
    <col min="13063" max="13063" width="35.7109375" style="175" customWidth="1"/>
    <col min="13064" max="13064" width="9.140625" style="175" customWidth="1"/>
    <col min="13065" max="13065" width="11.5703125" style="175" customWidth="1"/>
    <col min="13066" max="13066" width="15.7109375" style="175" customWidth="1"/>
    <col min="13067" max="13067" width="13.42578125" style="175" customWidth="1"/>
    <col min="13068" max="13068" width="19.140625" style="175" customWidth="1"/>
    <col min="13069" max="13069" width="8.140625" style="175" customWidth="1"/>
    <col min="13070" max="13070" width="12.140625" style="175" customWidth="1"/>
    <col min="13071" max="13071" width="14.42578125" style="175" customWidth="1"/>
    <col min="13072" max="13072" width="13.5703125" style="175" customWidth="1"/>
    <col min="13073" max="13316" width="9.140625" style="175"/>
    <col min="13317" max="13317" width="5.5703125" style="175" customWidth="1"/>
    <col min="13318" max="13318" width="11.5703125" style="175" customWidth="1"/>
    <col min="13319" max="13319" width="35.7109375" style="175" customWidth="1"/>
    <col min="13320" max="13320" width="9.140625" style="175" customWidth="1"/>
    <col min="13321" max="13321" width="11.5703125" style="175" customWidth="1"/>
    <col min="13322" max="13322" width="15.7109375" style="175" customWidth="1"/>
    <col min="13323" max="13323" width="13.42578125" style="175" customWidth="1"/>
    <col min="13324" max="13324" width="19.140625" style="175" customWidth="1"/>
    <col min="13325" max="13325" width="8.140625" style="175" customWidth="1"/>
    <col min="13326" max="13326" width="12.140625" style="175" customWidth="1"/>
    <col min="13327" max="13327" width="14.42578125" style="175" customWidth="1"/>
    <col min="13328" max="13328" width="13.5703125" style="175" customWidth="1"/>
    <col min="13329" max="13572" width="9.140625" style="175"/>
    <col min="13573" max="13573" width="5.5703125" style="175" customWidth="1"/>
    <col min="13574" max="13574" width="11.5703125" style="175" customWidth="1"/>
    <col min="13575" max="13575" width="35.7109375" style="175" customWidth="1"/>
    <col min="13576" max="13576" width="9.140625" style="175" customWidth="1"/>
    <col min="13577" max="13577" width="11.5703125" style="175" customWidth="1"/>
    <col min="13578" max="13578" width="15.7109375" style="175" customWidth="1"/>
    <col min="13579" max="13579" width="13.42578125" style="175" customWidth="1"/>
    <col min="13580" max="13580" width="19.140625" style="175" customWidth="1"/>
    <col min="13581" max="13581" width="8.140625" style="175" customWidth="1"/>
    <col min="13582" max="13582" width="12.140625" style="175" customWidth="1"/>
    <col min="13583" max="13583" width="14.42578125" style="175" customWidth="1"/>
    <col min="13584" max="13584" width="13.5703125" style="175" customWidth="1"/>
    <col min="13585" max="13828" width="9.140625" style="175"/>
    <col min="13829" max="13829" width="5.5703125" style="175" customWidth="1"/>
    <col min="13830" max="13830" width="11.5703125" style="175" customWidth="1"/>
    <col min="13831" max="13831" width="35.7109375" style="175" customWidth="1"/>
    <col min="13832" max="13832" width="9.140625" style="175" customWidth="1"/>
    <col min="13833" max="13833" width="11.5703125" style="175" customWidth="1"/>
    <col min="13834" max="13834" width="15.7109375" style="175" customWidth="1"/>
    <col min="13835" max="13835" width="13.42578125" style="175" customWidth="1"/>
    <col min="13836" max="13836" width="19.140625" style="175" customWidth="1"/>
    <col min="13837" max="13837" width="8.140625" style="175" customWidth="1"/>
    <col min="13838" max="13838" width="12.140625" style="175" customWidth="1"/>
    <col min="13839" max="13839" width="14.42578125" style="175" customWidth="1"/>
    <col min="13840" max="13840" width="13.5703125" style="175" customWidth="1"/>
    <col min="13841" max="14084" width="9.140625" style="175"/>
    <col min="14085" max="14085" width="5.5703125" style="175" customWidth="1"/>
    <col min="14086" max="14086" width="11.5703125" style="175" customWidth="1"/>
    <col min="14087" max="14087" width="35.7109375" style="175" customWidth="1"/>
    <col min="14088" max="14088" width="9.140625" style="175" customWidth="1"/>
    <col min="14089" max="14089" width="11.5703125" style="175" customWidth="1"/>
    <col min="14090" max="14090" width="15.7109375" style="175" customWidth="1"/>
    <col min="14091" max="14091" width="13.42578125" style="175" customWidth="1"/>
    <col min="14092" max="14092" width="19.140625" style="175" customWidth="1"/>
    <col min="14093" max="14093" width="8.140625" style="175" customWidth="1"/>
    <col min="14094" max="14094" width="12.140625" style="175" customWidth="1"/>
    <col min="14095" max="14095" width="14.42578125" style="175" customWidth="1"/>
    <col min="14096" max="14096" width="13.5703125" style="175" customWidth="1"/>
    <col min="14097" max="14340" width="9.140625" style="175"/>
    <col min="14341" max="14341" width="5.5703125" style="175" customWidth="1"/>
    <col min="14342" max="14342" width="11.5703125" style="175" customWidth="1"/>
    <col min="14343" max="14343" width="35.7109375" style="175" customWidth="1"/>
    <col min="14344" max="14344" width="9.140625" style="175" customWidth="1"/>
    <col min="14345" max="14345" width="11.5703125" style="175" customWidth="1"/>
    <col min="14346" max="14346" width="15.7109375" style="175" customWidth="1"/>
    <col min="14347" max="14347" width="13.42578125" style="175" customWidth="1"/>
    <col min="14348" max="14348" width="19.140625" style="175" customWidth="1"/>
    <col min="14349" max="14349" width="8.140625" style="175" customWidth="1"/>
    <col min="14350" max="14350" width="12.140625" style="175" customWidth="1"/>
    <col min="14351" max="14351" width="14.42578125" style="175" customWidth="1"/>
    <col min="14352" max="14352" width="13.5703125" style="175" customWidth="1"/>
    <col min="14353" max="14596" width="9.140625" style="175"/>
    <col min="14597" max="14597" width="5.5703125" style="175" customWidth="1"/>
    <col min="14598" max="14598" width="11.5703125" style="175" customWidth="1"/>
    <col min="14599" max="14599" width="35.7109375" style="175" customWidth="1"/>
    <col min="14600" max="14600" width="9.140625" style="175" customWidth="1"/>
    <col min="14601" max="14601" width="11.5703125" style="175" customWidth="1"/>
    <col min="14602" max="14602" width="15.7109375" style="175" customWidth="1"/>
    <col min="14603" max="14603" width="13.42578125" style="175" customWidth="1"/>
    <col min="14604" max="14604" width="19.140625" style="175" customWidth="1"/>
    <col min="14605" max="14605" width="8.140625" style="175" customWidth="1"/>
    <col min="14606" max="14606" width="12.140625" style="175" customWidth="1"/>
    <col min="14607" max="14607" width="14.42578125" style="175" customWidth="1"/>
    <col min="14608" max="14608" width="13.5703125" style="175" customWidth="1"/>
    <col min="14609" max="14852" width="9.140625" style="175"/>
    <col min="14853" max="14853" width="5.5703125" style="175" customWidth="1"/>
    <col min="14854" max="14854" width="11.5703125" style="175" customWidth="1"/>
    <col min="14855" max="14855" width="35.7109375" style="175" customWidth="1"/>
    <col min="14856" max="14856" width="9.140625" style="175" customWidth="1"/>
    <col min="14857" max="14857" width="11.5703125" style="175" customWidth="1"/>
    <col min="14858" max="14858" width="15.7109375" style="175" customWidth="1"/>
    <col min="14859" max="14859" width="13.42578125" style="175" customWidth="1"/>
    <col min="14860" max="14860" width="19.140625" style="175" customWidth="1"/>
    <col min="14861" max="14861" width="8.140625" style="175" customWidth="1"/>
    <col min="14862" max="14862" width="12.140625" style="175" customWidth="1"/>
    <col min="14863" max="14863" width="14.42578125" style="175" customWidth="1"/>
    <col min="14864" max="14864" width="13.5703125" style="175" customWidth="1"/>
    <col min="14865" max="15108" width="9.140625" style="175"/>
    <col min="15109" max="15109" width="5.5703125" style="175" customWidth="1"/>
    <col min="15110" max="15110" width="11.5703125" style="175" customWidth="1"/>
    <col min="15111" max="15111" width="35.7109375" style="175" customWidth="1"/>
    <col min="15112" max="15112" width="9.140625" style="175" customWidth="1"/>
    <col min="15113" max="15113" width="11.5703125" style="175" customWidth="1"/>
    <col min="15114" max="15114" width="15.7109375" style="175" customWidth="1"/>
    <col min="15115" max="15115" width="13.42578125" style="175" customWidth="1"/>
    <col min="15116" max="15116" width="19.140625" style="175" customWidth="1"/>
    <col min="15117" max="15117" width="8.140625" style="175" customWidth="1"/>
    <col min="15118" max="15118" width="12.140625" style="175" customWidth="1"/>
    <col min="15119" max="15119" width="14.42578125" style="175" customWidth="1"/>
    <col min="15120" max="15120" width="13.5703125" style="175" customWidth="1"/>
    <col min="15121" max="15364" width="9.140625" style="175"/>
    <col min="15365" max="15365" width="5.5703125" style="175" customWidth="1"/>
    <col min="15366" max="15366" width="11.5703125" style="175" customWidth="1"/>
    <col min="15367" max="15367" width="35.7109375" style="175" customWidth="1"/>
    <col min="15368" max="15368" width="9.140625" style="175" customWidth="1"/>
    <col min="15369" max="15369" width="11.5703125" style="175" customWidth="1"/>
    <col min="15370" max="15370" width="15.7109375" style="175" customWidth="1"/>
    <col min="15371" max="15371" width="13.42578125" style="175" customWidth="1"/>
    <col min="15372" max="15372" width="19.140625" style="175" customWidth="1"/>
    <col min="15373" max="15373" width="8.140625" style="175" customWidth="1"/>
    <col min="15374" max="15374" width="12.140625" style="175" customWidth="1"/>
    <col min="15375" max="15375" width="14.42578125" style="175" customWidth="1"/>
    <col min="15376" max="15376" width="13.5703125" style="175" customWidth="1"/>
    <col min="15377" max="15620" width="9.140625" style="175"/>
    <col min="15621" max="15621" width="5.5703125" style="175" customWidth="1"/>
    <col min="15622" max="15622" width="11.5703125" style="175" customWidth="1"/>
    <col min="15623" max="15623" width="35.7109375" style="175" customWidth="1"/>
    <col min="15624" max="15624" width="9.140625" style="175" customWidth="1"/>
    <col min="15625" max="15625" width="11.5703125" style="175" customWidth="1"/>
    <col min="15626" max="15626" width="15.7109375" style="175" customWidth="1"/>
    <col min="15627" max="15627" width="13.42578125" style="175" customWidth="1"/>
    <col min="15628" max="15628" width="19.140625" style="175" customWidth="1"/>
    <col min="15629" max="15629" width="8.140625" style="175" customWidth="1"/>
    <col min="15630" max="15630" width="12.140625" style="175" customWidth="1"/>
    <col min="15631" max="15631" width="14.42578125" style="175" customWidth="1"/>
    <col min="15632" max="15632" width="13.5703125" style="175" customWidth="1"/>
    <col min="15633" max="15876" width="9.140625" style="175"/>
    <col min="15877" max="15877" width="5.5703125" style="175" customWidth="1"/>
    <col min="15878" max="15878" width="11.5703125" style="175" customWidth="1"/>
    <col min="15879" max="15879" width="35.7109375" style="175" customWidth="1"/>
    <col min="15880" max="15880" width="9.140625" style="175" customWidth="1"/>
    <col min="15881" max="15881" width="11.5703125" style="175" customWidth="1"/>
    <col min="15882" max="15882" width="15.7109375" style="175" customWidth="1"/>
    <col min="15883" max="15883" width="13.42578125" style="175" customWidth="1"/>
    <col min="15884" max="15884" width="19.140625" style="175" customWidth="1"/>
    <col min="15885" max="15885" width="8.140625" style="175" customWidth="1"/>
    <col min="15886" max="15886" width="12.140625" style="175" customWidth="1"/>
    <col min="15887" max="15887" width="14.42578125" style="175" customWidth="1"/>
    <col min="15888" max="15888" width="13.5703125" style="175" customWidth="1"/>
    <col min="15889" max="16132" width="9.140625" style="175"/>
    <col min="16133" max="16133" width="5.5703125" style="175" customWidth="1"/>
    <col min="16134" max="16134" width="11.5703125" style="175" customWidth="1"/>
    <col min="16135" max="16135" width="35.7109375" style="175" customWidth="1"/>
    <col min="16136" max="16136" width="9.140625" style="175" customWidth="1"/>
    <col min="16137" max="16137" width="11.5703125" style="175" customWidth="1"/>
    <col min="16138" max="16138" width="15.7109375" style="175" customWidth="1"/>
    <col min="16139" max="16139" width="13.42578125" style="175" customWidth="1"/>
    <col min="16140" max="16140" width="19.140625" style="175" customWidth="1"/>
    <col min="16141" max="16141" width="8.140625" style="175" customWidth="1"/>
    <col min="16142" max="16142" width="12.140625" style="175" customWidth="1"/>
    <col min="16143" max="16143" width="14.42578125" style="175" customWidth="1"/>
    <col min="16144" max="16144" width="13.5703125" style="175" customWidth="1"/>
    <col min="16145" max="16384" width="9.140625" style="175"/>
  </cols>
  <sheetData>
    <row r="1" spans="1:25" x14ac:dyDescent="0.2">
      <c r="X1" s="211" t="s">
        <v>601</v>
      </c>
    </row>
    <row r="2" spans="1:25" x14ac:dyDescent="0.2">
      <c r="X2" s="211" t="s">
        <v>602</v>
      </c>
    </row>
    <row r="3" spans="1:25" x14ac:dyDescent="0.2">
      <c r="X3" s="211" t="s">
        <v>603</v>
      </c>
    </row>
    <row r="4" spans="1:25" x14ac:dyDescent="0.2">
      <c r="X4" s="211" t="s">
        <v>801</v>
      </c>
    </row>
    <row r="5" spans="1:25" s="212" customFormat="1" ht="27.75" customHeight="1" x14ac:dyDescent="0.25">
      <c r="A5" s="840" t="s">
        <v>600</v>
      </c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840"/>
      <c r="N5" s="840"/>
      <c r="O5" s="840"/>
      <c r="P5" s="840"/>
      <c r="Q5" s="840"/>
      <c r="R5" s="840"/>
      <c r="S5" s="840"/>
      <c r="T5" s="840"/>
      <c r="U5" s="840"/>
      <c r="V5" s="840"/>
      <c r="X5" s="213"/>
    </row>
    <row r="6" spans="1:25" ht="20.25" customHeight="1" x14ac:dyDescent="0.2">
      <c r="A6" s="841" t="s">
        <v>552</v>
      </c>
      <c r="B6" s="842" t="s">
        <v>326</v>
      </c>
      <c r="C6" s="843" t="s">
        <v>553</v>
      </c>
      <c r="D6" s="844" t="s">
        <v>554</v>
      </c>
      <c r="E6" s="845" t="s">
        <v>599</v>
      </c>
      <c r="F6" s="846" t="s">
        <v>448</v>
      </c>
      <c r="G6" s="847"/>
      <c r="H6" s="847"/>
      <c r="I6" s="847"/>
      <c r="J6" s="847"/>
      <c r="K6" s="847"/>
      <c r="L6" s="847"/>
      <c r="M6" s="847"/>
      <c r="N6" s="847"/>
      <c r="O6" s="845" t="s">
        <v>715</v>
      </c>
      <c r="P6" s="846" t="s">
        <v>448</v>
      </c>
      <c r="Q6" s="847"/>
      <c r="R6" s="847"/>
      <c r="S6" s="847"/>
      <c r="T6" s="847"/>
      <c r="U6" s="848"/>
      <c r="V6" s="845" t="s">
        <v>555</v>
      </c>
      <c r="W6" s="849" t="s">
        <v>556</v>
      </c>
      <c r="X6" s="845" t="s">
        <v>413</v>
      </c>
    </row>
    <row r="7" spans="1:25" ht="37.5" customHeight="1" x14ac:dyDescent="0.2">
      <c r="A7" s="841"/>
      <c r="B7" s="842"/>
      <c r="C7" s="843"/>
      <c r="D7" s="844"/>
      <c r="E7" s="845"/>
      <c r="F7" s="845" t="s">
        <v>557</v>
      </c>
      <c r="G7" s="845" t="s">
        <v>448</v>
      </c>
      <c r="H7" s="845"/>
      <c r="I7" s="849" t="s">
        <v>558</v>
      </c>
      <c r="J7" s="851" t="s">
        <v>767</v>
      </c>
      <c r="K7" s="854" t="s">
        <v>729</v>
      </c>
      <c r="L7" s="856" t="s">
        <v>559</v>
      </c>
      <c r="M7" s="575" t="s">
        <v>745</v>
      </c>
      <c r="N7" s="845" t="s">
        <v>604</v>
      </c>
      <c r="O7" s="845"/>
      <c r="P7" s="845" t="s">
        <v>560</v>
      </c>
      <c r="Q7" s="849" t="s">
        <v>730</v>
      </c>
      <c r="R7" s="856" t="s">
        <v>561</v>
      </c>
      <c r="S7" s="856" t="s">
        <v>562</v>
      </c>
      <c r="T7" s="849" t="s">
        <v>746</v>
      </c>
      <c r="U7" s="849" t="s">
        <v>563</v>
      </c>
      <c r="V7" s="845"/>
      <c r="W7" s="853"/>
      <c r="X7" s="845"/>
    </row>
    <row r="8" spans="1:25" ht="93.75" customHeight="1" x14ac:dyDescent="0.2">
      <c r="A8" s="841"/>
      <c r="B8" s="842"/>
      <c r="C8" s="843"/>
      <c r="D8" s="844"/>
      <c r="E8" s="845"/>
      <c r="F8" s="845"/>
      <c r="G8" s="177" t="s">
        <v>564</v>
      </c>
      <c r="H8" s="177" t="s">
        <v>565</v>
      </c>
      <c r="I8" s="850"/>
      <c r="J8" s="852"/>
      <c r="K8" s="855"/>
      <c r="L8" s="856"/>
      <c r="M8" s="576" t="s">
        <v>753</v>
      </c>
      <c r="N8" s="845"/>
      <c r="O8" s="845"/>
      <c r="P8" s="845"/>
      <c r="Q8" s="850"/>
      <c r="R8" s="856"/>
      <c r="S8" s="856"/>
      <c r="T8" s="850"/>
      <c r="U8" s="850"/>
      <c r="V8" s="845"/>
      <c r="W8" s="850"/>
      <c r="X8" s="845"/>
    </row>
    <row r="9" spans="1:25" x14ac:dyDescent="0.2">
      <c r="A9" s="178">
        <v>1</v>
      </c>
      <c r="B9" s="179" t="s">
        <v>76</v>
      </c>
      <c r="C9" s="180" t="s">
        <v>77</v>
      </c>
      <c r="D9" s="181" t="s">
        <v>566</v>
      </c>
      <c r="E9" s="182">
        <v>3062</v>
      </c>
      <c r="F9" s="182">
        <v>0</v>
      </c>
      <c r="G9" s="182">
        <v>0</v>
      </c>
      <c r="H9" s="182"/>
      <c r="I9" s="182">
        <v>0</v>
      </c>
      <c r="J9" s="182">
        <v>2</v>
      </c>
      <c r="K9" s="182">
        <v>0</v>
      </c>
      <c r="L9" s="182"/>
      <c r="M9" s="182"/>
      <c r="N9" s="182">
        <v>3060</v>
      </c>
      <c r="O9" s="181"/>
      <c r="P9" s="181"/>
      <c r="Q9" s="181"/>
      <c r="R9" s="181"/>
      <c r="S9" s="181"/>
      <c r="T9" s="181"/>
      <c r="U9" s="181"/>
      <c r="V9" s="182">
        <v>3062</v>
      </c>
      <c r="W9" s="182">
        <v>0</v>
      </c>
      <c r="X9" s="182">
        <f>V9+W9</f>
        <v>3062</v>
      </c>
      <c r="Y9" s="183"/>
    </row>
    <row r="10" spans="1:25" ht="11.25" customHeight="1" x14ac:dyDescent="0.2">
      <c r="A10" s="178">
        <v>2</v>
      </c>
      <c r="B10" s="184" t="s">
        <v>210</v>
      </c>
      <c r="C10" s="180" t="s">
        <v>211</v>
      </c>
      <c r="D10" s="181" t="s">
        <v>566</v>
      </c>
      <c r="E10" s="182">
        <v>1884</v>
      </c>
      <c r="F10" s="182">
        <v>0</v>
      </c>
      <c r="G10" s="182">
        <v>0</v>
      </c>
      <c r="H10" s="182"/>
      <c r="I10" s="182">
        <v>0</v>
      </c>
      <c r="J10" s="182">
        <v>0</v>
      </c>
      <c r="K10" s="182">
        <v>0</v>
      </c>
      <c r="L10" s="182"/>
      <c r="M10" s="182"/>
      <c r="N10" s="182">
        <v>1884</v>
      </c>
      <c r="O10" s="181"/>
      <c r="P10" s="181"/>
      <c r="Q10" s="181"/>
      <c r="R10" s="181"/>
      <c r="S10" s="181"/>
      <c r="T10" s="181"/>
      <c r="U10" s="181"/>
      <c r="V10" s="182">
        <v>1884</v>
      </c>
      <c r="W10" s="182">
        <v>0</v>
      </c>
      <c r="X10" s="182">
        <f t="shared" ref="X10:X70" si="0">V10+W10</f>
        <v>1884</v>
      </c>
    </row>
    <row r="11" spans="1:25" x14ac:dyDescent="0.2">
      <c r="A11" s="178">
        <v>3</v>
      </c>
      <c r="B11" s="179" t="s">
        <v>78</v>
      </c>
      <c r="C11" s="180" t="s">
        <v>79</v>
      </c>
      <c r="D11" s="181" t="s">
        <v>566</v>
      </c>
      <c r="E11" s="182">
        <v>4018</v>
      </c>
      <c r="F11" s="182">
        <v>0</v>
      </c>
      <c r="G11" s="182">
        <v>0</v>
      </c>
      <c r="H11" s="182"/>
      <c r="I11" s="182">
        <v>0</v>
      </c>
      <c r="J11" s="182">
        <v>0</v>
      </c>
      <c r="K11" s="182">
        <v>0</v>
      </c>
      <c r="L11" s="182"/>
      <c r="M11" s="182"/>
      <c r="N11" s="182">
        <v>4018</v>
      </c>
      <c r="O11" s="181"/>
      <c r="P11" s="181"/>
      <c r="Q11" s="181"/>
      <c r="R11" s="181"/>
      <c r="S11" s="181"/>
      <c r="T11" s="181"/>
      <c r="U11" s="181"/>
      <c r="V11" s="182">
        <v>4018</v>
      </c>
      <c r="W11" s="182">
        <v>0</v>
      </c>
      <c r="X11" s="182">
        <f t="shared" si="0"/>
        <v>4018</v>
      </c>
    </row>
    <row r="12" spans="1:25" x14ac:dyDescent="0.2">
      <c r="A12" s="178">
        <v>4</v>
      </c>
      <c r="B12" s="185" t="s">
        <v>54</v>
      </c>
      <c r="C12" s="180" t="s">
        <v>55</v>
      </c>
      <c r="D12" s="181" t="s">
        <v>566</v>
      </c>
      <c r="E12" s="182">
        <v>2213</v>
      </c>
      <c r="F12" s="182">
        <v>0</v>
      </c>
      <c r="G12" s="182">
        <v>0</v>
      </c>
      <c r="H12" s="182"/>
      <c r="I12" s="182">
        <v>0</v>
      </c>
      <c r="J12" s="182">
        <v>5</v>
      </c>
      <c r="K12" s="182">
        <v>0</v>
      </c>
      <c r="L12" s="182"/>
      <c r="M12" s="182"/>
      <c r="N12" s="182">
        <v>2208</v>
      </c>
      <c r="O12" s="181"/>
      <c r="P12" s="181"/>
      <c r="Q12" s="181"/>
      <c r="R12" s="181"/>
      <c r="S12" s="181"/>
      <c r="T12" s="181"/>
      <c r="U12" s="181"/>
      <c r="V12" s="182">
        <v>2213</v>
      </c>
      <c r="W12" s="182">
        <v>0</v>
      </c>
      <c r="X12" s="182">
        <f t="shared" si="0"/>
        <v>2213</v>
      </c>
    </row>
    <row r="13" spans="1:25" x14ac:dyDescent="0.2">
      <c r="A13" s="178">
        <v>5</v>
      </c>
      <c r="B13" s="179" t="s">
        <v>80</v>
      </c>
      <c r="C13" s="180" t="s">
        <v>81</v>
      </c>
      <c r="D13" s="181" t="s">
        <v>566</v>
      </c>
      <c r="E13" s="182">
        <v>6499</v>
      </c>
      <c r="F13" s="182">
        <v>0</v>
      </c>
      <c r="G13" s="182">
        <v>0</v>
      </c>
      <c r="H13" s="182"/>
      <c r="I13" s="182">
        <v>0</v>
      </c>
      <c r="J13" s="182">
        <v>0</v>
      </c>
      <c r="K13" s="182">
        <v>0</v>
      </c>
      <c r="L13" s="182"/>
      <c r="M13" s="182"/>
      <c r="N13" s="182">
        <v>6499</v>
      </c>
      <c r="O13" s="181"/>
      <c r="P13" s="181"/>
      <c r="Q13" s="181"/>
      <c r="R13" s="181"/>
      <c r="S13" s="181"/>
      <c r="T13" s="181"/>
      <c r="U13" s="181"/>
      <c r="V13" s="182">
        <v>6499</v>
      </c>
      <c r="W13" s="182">
        <v>0</v>
      </c>
      <c r="X13" s="182">
        <f t="shared" si="0"/>
        <v>6499</v>
      </c>
    </row>
    <row r="14" spans="1:25" x14ac:dyDescent="0.2">
      <c r="A14" s="178">
        <v>6</v>
      </c>
      <c r="B14" s="185" t="s">
        <v>118</v>
      </c>
      <c r="C14" s="180" t="s">
        <v>119</v>
      </c>
      <c r="D14" s="181" t="s">
        <v>566</v>
      </c>
      <c r="E14" s="182">
        <v>2955</v>
      </c>
      <c r="F14" s="182">
        <v>0</v>
      </c>
      <c r="G14" s="182">
        <v>0</v>
      </c>
      <c r="H14" s="182"/>
      <c r="I14" s="182">
        <v>0</v>
      </c>
      <c r="J14" s="182">
        <v>7</v>
      </c>
      <c r="K14" s="182">
        <v>0</v>
      </c>
      <c r="L14" s="182"/>
      <c r="M14" s="182"/>
      <c r="N14" s="182">
        <v>2948</v>
      </c>
      <c r="O14" s="181"/>
      <c r="P14" s="181"/>
      <c r="Q14" s="181"/>
      <c r="R14" s="181"/>
      <c r="S14" s="181"/>
      <c r="T14" s="181"/>
      <c r="U14" s="181"/>
      <c r="V14" s="182">
        <v>2955</v>
      </c>
      <c r="W14" s="182">
        <v>0</v>
      </c>
      <c r="X14" s="182">
        <f t="shared" si="0"/>
        <v>2955</v>
      </c>
    </row>
    <row r="15" spans="1:25" x14ac:dyDescent="0.2">
      <c r="A15" s="178">
        <v>7</v>
      </c>
      <c r="B15" s="184" t="s">
        <v>56</v>
      </c>
      <c r="C15" s="180" t="s">
        <v>57</v>
      </c>
      <c r="D15" s="181" t="s">
        <v>566</v>
      </c>
      <c r="E15" s="182">
        <v>1804</v>
      </c>
      <c r="F15" s="182">
        <v>0</v>
      </c>
      <c r="G15" s="182">
        <v>0</v>
      </c>
      <c r="H15" s="182"/>
      <c r="I15" s="182">
        <v>0</v>
      </c>
      <c r="J15" s="182">
        <v>4</v>
      </c>
      <c r="K15" s="182">
        <v>0</v>
      </c>
      <c r="L15" s="182"/>
      <c r="M15" s="182"/>
      <c r="N15" s="182">
        <v>1800</v>
      </c>
      <c r="O15" s="181"/>
      <c r="P15" s="181"/>
      <c r="Q15" s="181"/>
      <c r="R15" s="181"/>
      <c r="S15" s="181"/>
      <c r="T15" s="181"/>
      <c r="U15" s="181"/>
      <c r="V15" s="182">
        <v>1804</v>
      </c>
      <c r="W15" s="182">
        <v>0</v>
      </c>
      <c r="X15" s="182">
        <f t="shared" si="0"/>
        <v>1804</v>
      </c>
    </row>
    <row r="16" spans="1:25" x14ac:dyDescent="0.2">
      <c r="A16" s="178">
        <v>8</v>
      </c>
      <c r="B16" s="179" t="s">
        <v>212</v>
      </c>
      <c r="C16" s="180" t="s">
        <v>213</v>
      </c>
      <c r="D16" s="181" t="s">
        <v>566</v>
      </c>
      <c r="E16" s="182">
        <v>2127</v>
      </c>
      <c r="F16" s="182">
        <v>0</v>
      </c>
      <c r="G16" s="182">
        <v>0</v>
      </c>
      <c r="H16" s="182"/>
      <c r="I16" s="182">
        <v>0</v>
      </c>
      <c r="J16" s="182">
        <v>0</v>
      </c>
      <c r="K16" s="182">
        <v>0</v>
      </c>
      <c r="L16" s="182"/>
      <c r="M16" s="182"/>
      <c r="N16" s="182">
        <v>2127</v>
      </c>
      <c r="O16" s="181"/>
      <c r="P16" s="181"/>
      <c r="Q16" s="181"/>
      <c r="R16" s="181"/>
      <c r="S16" s="181"/>
      <c r="T16" s="181"/>
      <c r="U16" s="181"/>
      <c r="V16" s="182">
        <v>2127</v>
      </c>
      <c r="W16" s="182">
        <v>0</v>
      </c>
      <c r="X16" s="182">
        <f t="shared" si="0"/>
        <v>2127</v>
      </c>
    </row>
    <row r="17" spans="1:24" ht="12" customHeight="1" x14ac:dyDescent="0.2">
      <c r="A17" s="178">
        <v>9</v>
      </c>
      <c r="B17" s="186" t="s">
        <v>122</v>
      </c>
      <c r="C17" s="180" t="s">
        <v>123</v>
      </c>
      <c r="D17" s="181" t="s">
        <v>566</v>
      </c>
      <c r="E17" s="182">
        <v>2286</v>
      </c>
      <c r="F17" s="182">
        <v>0</v>
      </c>
      <c r="G17" s="182">
        <v>0</v>
      </c>
      <c r="H17" s="182"/>
      <c r="I17" s="182">
        <v>0</v>
      </c>
      <c r="J17" s="182">
        <v>0</v>
      </c>
      <c r="K17" s="182">
        <v>0</v>
      </c>
      <c r="L17" s="182"/>
      <c r="M17" s="182"/>
      <c r="N17" s="182">
        <v>2286</v>
      </c>
      <c r="O17" s="181"/>
      <c r="P17" s="181"/>
      <c r="Q17" s="181"/>
      <c r="R17" s="181"/>
      <c r="S17" s="181"/>
      <c r="T17" s="181"/>
      <c r="U17" s="181"/>
      <c r="V17" s="182">
        <v>2286</v>
      </c>
      <c r="W17" s="182">
        <v>0</v>
      </c>
      <c r="X17" s="182">
        <f t="shared" si="0"/>
        <v>2286</v>
      </c>
    </row>
    <row r="18" spans="1:24" x14ac:dyDescent="0.2">
      <c r="A18" s="178">
        <v>10</v>
      </c>
      <c r="B18" s="179" t="s">
        <v>214</v>
      </c>
      <c r="C18" s="180" t="s">
        <v>215</v>
      </c>
      <c r="D18" s="181" t="s">
        <v>566</v>
      </c>
      <c r="E18" s="182">
        <v>5098</v>
      </c>
      <c r="F18" s="182">
        <v>0</v>
      </c>
      <c r="G18" s="182">
        <v>0</v>
      </c>
      <c r="H18" s="182"/>
      <c r="I18" s="182">
        <v>0</v>
      </c>
      <c r="J18" s="182">
        <v>0</v>
      </c>
      <c r="K18" s="182">
        <v>0</v>
      </c>
      <c r="L18" s="182"/>
      <c r="M18" s="182"/>
      <c r="N18" s="182">
        <v>5098</v>
      </c>
      <c r="O18" s="181"/>
      <c r="P18" s="181"/>
      <c r="Q18" s="181"/>
      <c r="R18" s="181"/>
      <c r="S18" s="181"/>
      <c r="T18" s="181"/>
      <c r="U18" s="181"/>
      <c r="V18" s="182">
        <v>5098</v>
      </c>
      <c r="W18" s="182">
        <v>0</v>
      </c>
      <c r="X18" s="182">
        <f t="shared" si="0"/>
        <v>5098</v>
      </c>
    </row>
    <row r="19" spans="1:24" x14ac:dyDescent="0.2">
      <c r="A19" s="178">
        <v>11</v>
      </c>
      <c r="B19" s="184" t="s">
        <v>216</v>
      </c>
      <c r="C19" s="180" t="s">
        <v>217</v>
      </c>
      <c r="D19" s="181" t="s">
        <v>566</v>
      </c>
      <c r="E19" s="182">
        <v>2513</v>
      </c>
      <c r="F19" s="182">
        <v>0</v>
      </c>
      <c r="G19" s="182">
        <v>0</v>
      </c>
      <c r="H19" s="182"/>
      <c r="I19" s="182">
        <v>0</v>
      </c>
      <c r="J19" s="182">
        <v>16</v>
      </c>
      <c r="K19" s="182">
        <v>0</v>
      </c>
      <c r="L19" s="182"/>
      <c r="M19" s="182"/>
      <c r="N19" s="182">
        <v>2497</v>
      </c>
      <c r="O19" s="181"/>
      <c r="P19" s="181"/>
      <c r="Q19" s="181"/>
      <c r="R19" s="181"/>
      <c r="S19" s="181"/>
      <c r="T19" s="181"/>
      <c r="U19" s="181"/>
      <c r="V19" s="182">
        <v>2513</v>
      </c>
      <c r="W19" s="182">
        <v>0</v>
      </c>
      <c r="X19" s="182">
        <f t="shared" si="0"/>
        <v>2513</v>
      </c>
    </row>
    <row r="20" spans="1:24" x14ac:dyDescent="0.2">
      <c r="A20" s="178">
        <v>12</v>
      </c>
      <c r="B20" s="184" t="s">
        <v>124</v>
      </c>
      <c r="C20" s="180" t="s">
        <v>125</v>
      </c>
      <c r="D20" s="181" t="s">
        <v>566</v>
      </c>
      <c r="E20" s="182">
        <v>3451</v>
      </c>
      <c r="F20" s="182">
        <v>2</v>
      </c>
      <c r="G20" s="182">
        <v>0</v>
      </c>
      <c r="H20" s="182">
        <v>2</v>
      </c>
      <c r="I20" s="182">
        <v>0</v>
      </c>
      <c r="J20" s="182">
        <v>3</v>
      </c>
      <c r="K20" s="182">
        <v>0</v>
      </c>
      <c r="L20" s="182"/>
      <c r="M20" s="182"/>
      <c r="N20" s="182">
        <v>3446</v>
      </c>
      <c r="O20" s="181"/>
      <c r="P20" s="181"/>
      <c r="Q20" s="181"/>
      <c r="R20" s="181"/>
      <c r="S20" s="181"/>
      <c r="T20" s="181"/>
      <c r="U20" s="181"/>
      <c r="V20" s="182">
        <v>3451</v>
      </c>
      <c r="W20" s="182">
        <v>0</v>
      </c>
      <c r="X20" s="182">
        <f t="shared" si="0"/>
        <v>3451</v>
      </c>
    </row>
    <row r="21" spans="1:24" x14ac:dyDescent="0.2">
      <c r="A21" s="178">
        <v>13</v>
      </c>
      <c r="B21" s="185" t="s">
        <v>58</v>
      </c>
      <c r="C21" s="180" t="s">
        <v>59</v>
      </c>
      <c r="D21" s="181" t="s">
        <v>566</v>
      </c>
      <c r="E21" s="182">
        <v>1994</v>
      </c>
      <c r="F21" s="182">
        <v>0</v>
      </c>
      <c r="G21" s="182">
        <v>0</v>
      </c>
      <c r="H21" s="182"/>
      <c r="I21" s="182">
        <v>0</v>
      </c>
      <c r="J21" s="182">
        <v>0</v>
      </c>
      <c r="K21" s="182">
        <v>0</v>
      </c>
      <c r="L21" s="182"/>
      <c r="M21" s="182"/>
      <c r="N21" s="182">
        <v>1994</v>
      </c>
      <c r="O21" s="181"/>
      <c r="P21" s="181"/>
      <c r="Q21" s="181"/>
      <c r="R21" s="181"/>
      <c r="S21" s="181"/>
      <c r="T21" s="181"/>
      <c r="U21" s="181"/>
      <c r="V21" s="182">
        <v>1994</v>
      </c>
      <c r="W21" s="182">
        <v>0</v>
      </c>
      <c r="X21" s="182">
        <f t="shared" si="0"/>
        <v>1994</v>
      </c>
    </row>
    <row r="22" spans="1:24" x14ac:dyDescent="0.2">
      <c r="A22" s="178">
        <v>14</v>
      </c>
      <c r="B22" s="185" t="s">
        <v>82</v>
      </c>
      <c r="C22" s="180" t="s">
        <v>83</v>
      </c>
      <c r="D22" s="181" t="s">
        <v>566</v>
      </c>
      <c r="E22" s="182">
        <v>1613</v>
      </c>
      <c r="F22" s="182">
        <v>0</v>
      </c>
      <c r="G22" s="182">
        <v>0</v>
      </c>
      <c r="H22" s="182"/>
      <c r="I22" s="182">
        <v>0</v>
      </c>
      <c r="J22" s="182">
        <v>3</v>
      </c>
      <c r="K22" s="182">
        <v>0</v>
      </c>
      <c r="L22" s="182"/>
      <c r="M22" s="182"/>
      <c r="N22" s="182">
        <v>1610</v>
      </c>
      <c r="O22" s="181"/>
      <c r="P22" s="181"/>
      <c r="Q22" s="181"/>
      <c r="R22" s="181"/>
      <c r="S22" s="181"/>
      <c r="T22" s="181"/>
      <c r="U22" s="181"/>
      <c r="V22" s="182">
        <v>1613</v>
      </c>
      <c r="W22" s="182">
        <v>0</v>
      </c>
      <c r="X22" s="182">
        <f t="shared" si="0"/>
        <v>1613</v>
      </c>
    </row>
    <row r="23" spans="1:24" x14ac:dyDescent="0.2">
      <c r="A23" s="178">
        <v>15</v>
      </c>
      <c r="B23" s="185" t="s">
        <v>60</v>
      </c>
      <c r="C23" s="180" t="s">
        <v>61</v>
      </c>
      <c r="D23" s="181" t="s">
        <v>566</v>
      </c>
      <c r="E23" s="182">
        <v>2404</v>
      </c>
      <c r="F23" s="182">
        <v>0</v>
      </c>
      <c r="G23" s="182">
        <v>0</v>
      </c>
      <c r="H23" s="182"/>
      <c r="I23" s="182">
        <v>0</v>
      </c>
      <c r="J23" s="182">
        <v>2</v>
      </c>
      <c r="K23" s="182">
        <v>0</v>
      </c>
      <c r="L23" s="182"/>
      <c r="M23" s="182"/>
      <c r="N23" s="182">
        <v>2402</v>
      </c>
      <c r="O23" s="181"/>
      <c r="P23" s="181"/>
      <c r="Q23" s="181"/>
      <c r="R23" s="181"/>
      <c r="S23" s="181"/>
      <c r="T23" s="181"/>
      <c r="U23" s="181"/>
      <c r="V23" s="182">
        <v>2404</v>
      </c>
      <c r="W23" s="182">
        <v>0</v>
      </c>
      <c r="X23" s="182">
        <f t="shared" si="0"/>
        <v>2404</v>
      </c>
    </row>
    <row r="24" spans="1:24" x14ac:dyDescent="0.2">
      <c r="A24" s="178">
        <v>16</v>
      </c>
      <c r="B24" s="179" t="s">
        <v>126</v>
      </c>
      <c r="C24" s="180" t="s">
        <v>127</v>
      </c>
      <c r="D24" s="181" t="s">
        <v>566</v>
      </c>
      <c r="E24" s="182">
        <v>3406</v>
      </c>
      <c r="F24" s="182">
        <v>1</v>
      </c>
      <c r="G24" s="182">
        <v>0</v>
      </c>
      <c r="H24" s="182">
        <v>1</v>
      </c>
      <c r="I24" s="182">
        <v>0</v>
      </c>
      <c r="J24" s="182">
        <v>0</v>
      </c>
      <c r="K24" s="182">
        <v>0</v>
      </c>
      <c r="L24" s="182"/>
      <c r="M24" s="182"/>
      <c r="N24" s="182">
        <v>3405</v>
      </c>
      <c r="O24" s="181"/>
      <c r="P24" s="181"/>
      <c r="Q24" s="181"/>
      <c r="R24" s="181"/>
      <c r="S24" s="181"/>
      <c r="T24" s="181"/>
      <c r="U24" s="181"/>
      <c r="V24" s="182">
        <v>3406</v>
      </c>
      <c r="W24" s="182">
        <v>0</v>
      </c>
      <c r="X24" s="182">
        <f t="shared" si="0"/>
        <v>3406</v>
      </c>
    </row>
    <row r="25" spans="1:24" x14ac:dyDescent="0.2">
      <c r="A25" s="178">
        <v>17</v>
      </c>
      <c r="B25" s="184" t="s">
        <v>128</v>
      </c>
      <c r="C25" s="180" t="s">
        <v>129</v>
      </c>
      <c r="D25" s="181" t="s">
        <v>566</v>
      </c>
      <c r="E25" s="182">
        <v>4287</v>
      </c>
      <c r="F25" s="182">
        <v>0</v>
      </c>
      <c r="G25" s="182">
        <v>0</v>
      </c>
      <c r="H25" s="182"/>
      <c r="I25" s="182">
        <v>0</v>
      </c>
      <c r="J25" s="182">
        <v>0</v>
      </c>
      <c r="K25" s="182">
        <v>0</v>
      </c>
      <c r="L25" s="182"/>
      <c r="M25" s="182"/>
      <c r="N25" s="182">
        <v>4287</v>
      </c>
      <c r="O25" s="181"/>
      <c r="P25" s="181"/>
      <c r="Q25" s="181"/>
      <c r="R25" s="181"/>
      <c r="S25" s="181"/>
      <c r="T25" s="181"/>
      <c r="U25" s="181"/>
      <c r="V25" s="182">
        <v>4287</v>
      </c>
      <c r="W25" s="182">
        <v>0</v>
      </c>
      <c r="X25" s="182">
        <f t="shared" si="0"/>
        <v>4287</v>
      </c>
    </row>
    <row r="26" spans="1:24" x14ac:dyDescent="0.2">
      <c r="A26" s="178">
        <v>18</v>
      </c>
      <c r="B26" s="179" t="s">
        <v>130</v>
      </c>
      <c r="C26" s="180" t="s">
        <v>131</v>
      </c>
      <c r="D26" s="181" t="s">
        <v>566</v>
      </c>
      <c r="E26" s="182">
        <v>1582</v>
      </c>
      <c r="F26" s="182">
        <v>0</v>
      </c>
      <c r="G26" s="182">
        <v>0</v>
      </c>
      <c r="H26" s="182"/>
      <c r="I26" s="182">
        <v>0</v>
      </c>
      <c r="J26" s="182">
        <v>0</v>
      </c>
      <c r="K26" s="182">
        <v>0</v>
      </c>
      <c r="L26" s="182"/>
      <c r="M26" s="182"/>
      <c r="N26" s="182">
        <v>1582</v>
      </c>
      <c r="O26" s="181"/>
      <c r="P26" s="181"/>
      <c r="Q26" s="181"/>
      <c r="R26" s="181"/>
      <c r="S26" s="181"/>
      <c r="T26" s="181"/>
      <c r="U26" s="181"/>
      <c r="V26" s="182">
        <v>1582</v>
      </c>
      <c r="W26" s="182">
        <v>0</v>
      </c>
      <c r="X26" s="182">
        <f t="shared" si="0"/>
        <v>1582</v>
      </c>
    </row>
    <row r="27" spans="1:24" x14ac:dyDescent="0.2">
      <c r="A27" s="178">
        <v>19</v>
      </c>
      <c r="B27" s="185" t="s">
        <v>84</v>
      </c>
      <c r="C27" s="180" t="s">
        <v>85</v>
      </c>
      <c r="D27" s="181" t="s">
        <v>566</v>
      </c>
      <c r="E27" s="182">
        <v>1545</v>
      </c>
      <c r="F27" s="182">
        <v>0</v>
      </c>
      <c r="G27" s="182">
        <v>0</v>
      </c>
      <c r="H27" s="182"/>
      <c r="I27" s="182">
        <v>0</v>
      </c>
      <c r="J27" s="182">
        <v>0</v>
      </c>
      <c r="K27" s="182">
        <v>0</v>
      </c>
      <c r="L27" s="182"/>
      <c r="M27" s="182"/>
      <c r="N27" s="182">
        <v>1545</v>
      </c>
      <c r="O27" s="181"/>
      <c r="P27" s="181"/>
      <c r="Q27" s="181"/>
      <c r="R27" s="181"/>
      <c r="S27" s="181"/>
      <c r="T27" s="181"/>
      <c r="U27" s="181"/>
      <c r="V27" s="182">
        <v>1545</v>
      </c>
      <c r="W27" s="182">
        <v>0</v>
      </c>
      <c r="X27" s="182">
        <f t="shared" si="0"/>
        <v>1545</v>
      </c>
    </row>
    <row r="28" spans="1:24" x14ac:dyDescent="0.2">
      <c r="A28" s="178">
        <v>20</v>
      </c>
      <c r="B28" s="185" t="s">
        <v>218</v>
      </c>
      <c r="C28" s="180" t="s">
        <v>219</v>
      </c>
      <c r="D28" s="181" t="s">
        <v>566</v>
      </c>
      <c r="E28" s="182">
        <v>3529</v>
      </c>
      <c r="F28" s="182">
        <v>0</v>
      </c>
      <c r="G28" s="182">
        <v>0</v>
      </c>
      <c r="H28" s="182"/>
      <c r="I28" s="182">
        <v>0</v>
      </c>
      <c r="J28" s="182">
        <v>0</v>
      </c>
      <c r="K28" s="182">
        <v>0</v>
      </c>
      <c r="L28" s="182"/>
      <c r="M28" s="182"/>
      <c r="N28" s="182">
        <v>3529</v>
      </c>
      <c r="O28" s="181"/>
      <c r="P28" s="181"/>
      <c r="Q28" s="181"/>
      <c r="R28" s="181"/>
      <c r="S28" s="181"/>
      <c r="T28" s="181"/>
      <c r="U28" s="181"/>
      <c r="V28" s="182">
        <v>3529</v>
      </c>
      <c r="W28" s="182">
        <v>0</v>
      </c>
      <c r="X28" s="182">
        <f t="shared" si="0"/>
        <v>3529</v>
      </c>
    </row>
    <row r="29" spans="1:24" x14ac:dyDescent="0.2">
      <c r="A29" s="178">
        <v>21</v>
      </c>
      <c r="B29" s="184" t="s">
        <v>100</v>
      </c>
      <c r="C29" s="180" t="s">
        <v>101</v>
      </c>
      <c r="D29" s="181" t="s">
        <v>566</v>
      </c>
      <c r="E29" s="182">
        <v>2835</v>
      </c>
      <c r="F29" s="182">
        <v>0</v>
      </c>
      <c r="G29" s="182">
        <v>0</v>
      </c>
      <c r="H29" s="182"/>
      <c r="I29" s="182">
        <v>0</v>
      </c>
      <c r="J29" s="182">
        <v>0</v>
      </c>
      <c r="K29" s="182">
        <v>0</v>
      </c>
      <c r="L29" s="182"/>
      <c r="M29" s="182"/>
      <c r="N29" s="182">
        <v>2835</v>
      </c>
      <c r="O29" s="181"/>
      <c r="P29" s="181"/>
      <c r="Q29" s="181"/>
      <c r="R29" s="181"/>
      <c r="S29" s="181"/>
      <c r="T29" s="181"/>
      <c r="U29" s="181"/>
      <c r="V29" s="182">
        <v>2835</v>
      </c>
      <c r="W29" s="182">
        <v>0</v>
      </c>
      <c r="X29" s="182">
        <f t="shared" si="0"/>
        <v>2835</v>
      </c>
    </row>
    <row r="30" spans="1:24" x14ac:dyDescent="0.2">
      <c r="A30" s="178">
        <v>22</v>
      </c>
      <c r="B30" s="179" t="s">
        <v>64</v>
      </c>
      <c r="C30" s="180" t="s">
        <v>65</v>
      </c>
      <c r="D30" s="181" t="s">
        <v>566</v>
      </c>
      <c r="E30" s="182">
        <v>1967</v>
      </c>
      <c r="F30" s="182">
        <v>2</v>
      </c>
      <c r="G30" s="182">
        <v>0</v>
      </c>
      <c r="H30" s="182">
        <v>2</v>
      </c>
      <c r="I30" s="182">
        <v>0</v>
      </c>
      <c r="J30" s="182">
        <v>0</v>
      </c>
      <c r="K30" s="182">
        <v>0</v>
      </c>
      <c r="L30" s="182"/>
      <c r="M30" s="182"/>
      <c r="N30" s="182">
        <v>1965</v>
      </c>
      <c r="O30" s="181"/>
      <c r="P30" s="181"/>
      <c r="Q30" s="181"/>
      <c r="R30" s="181"/>
      <c r="S30" s="181"/>
      <c r="T30" s="181"/>
      <c r="U30" s="181"/>
      <c r="V30" s="182">
        <v>1967</v>
      </c>
      <c r="W30" s="182">
        <v>0</v>
      </c>
      <c r="X30" s="182">
        <f t="shared" si="0"/>
        <v>1967</v>
      </c>
    </row>
    <row r="31" spans="1:24" x14ac:dyDescent="0.2">
      <c r="A31" s="178">
        <v>23</v>
      </c>
      <c r="B31" s="179" t="s">
        <v>66</v>
      </c>
      <c r="C31" s="180" t="s">
        <v>67</v>
      </c>
      <c r="D31" s="181" t="s">
        <v>566</v>
      </c>
      <c r="E31" s="182">
        <v>2915</v>
      </c>
      <c r="F31" s="182">
        <v>0</v>
      </c>
      <c r="G31" s="182">
        <v>0</v>
      </c>
      <c r="H31" s="182"/>
      <c r="I31" s="182">
        <v>0</v>
      </c>
      <c r="J31" s="182">
        <v>0</v>
      </c>
      <c r="K31" s="182">
        <v>0</v>
      </c>
      <c r="L31" s="182"/>
      <c r="M31" s="182"/>
      <c r="N31" s="182">
        <v>2915</v>
      </c>
      <c r="O31" s="181"/>
      <c r="P31" s="181"/>
      <c r="Q31" s="181"/>
      <c r="R31" s="181"/>
      <c r="S31" s="181"/>
      <c r="T31" s="181"/>
      <c r="U31" s="181"/>
      <c r="V31" s="182">
        <v>2915</v>
      </c>
      <c r="W31" s="182">
        <v>0</v>
      </c>
      <c r="X31" s="182">
        <f t="shared" si="0"/>
        <v>2915</v>
      </c>
    </row>
    <row r="32" spans="1:24" x14ac:dyDescent="0.2">
      <c r="A32" s="178">
        <v>24</v>
      </c>
      <c r="B32" s="185" t="s">
        <v>220</v>
      </c>
      <c r="C32" s="180" t="s">
        <v>221</v>
      </c>
      <c r="D32" s="181" t="s">
        <v>566</v>
      </c>
      <c r="E32" s="182">
        <v>4565</v>
      </c>
      <c r="F32" s="182">
        <v>0</v>
      </c>
      <c r="G32" s="182">
        <v>0</v>
      </c>
      <c r="H32" s="182"/>
      <c r="I32" s="182">
        <v>0</v>
      </c>
      <c r="J32" s="182">
        <v>6</v>
      </c>
      <c r="K32" s="182">
        <v>0</v>
      </c>
      <c r="L32" s="182"/>
      <c r="M32" s="182"/>
      <c r="N32" s="182">
        <v>4559</v>
      </c>
      <c r="O32" s="181"/>
      <c r="P32" s="181"/>
      <c r="Q32" s="181"/>
      <c r="R32" s="181"/>
      <c r="S32" s="181"/>
      <c r="T32" s="181"/>
      <c r="U32" s="181"/>
      <c r="V32" s="182">
        <v>4565</v>
      </c>
      <c r="W32" s="182">
        <v>0</v>
      </c>
      <c r="X32" s="182">
        <f t="shared" si="0"/>
        <v>4565</v>
      </c>
    </row>
    <row r="33" spans="1:24" x14ac:dyDescent="0.2">
      <c r="A33" s="178">
        <v>25</v>
      </c>
      <c r="B33" s="179" t="s">
        <v>222</v>
      </c>
      <c r="C33" s="180" t="s">
        <v>223</v>
      </c>
      <c r="D33" s="181" t="s">
        <v>566</v>
      </c>
      <c r="E33" s="182">
        <v>1658</v>
      </c>
      <c r="F33" s="182">
        <v>0</v>
      </c>
      <c r="G33" s="182">
        <v>0</v>
      </c>
      <c r="H33" s="182"/>
      <c r="I33" s="182">
        <v>0</v>
      </c>
      <c r="J33" s="182">
        <v>4</v>
      </c>
      <c r="K33" s="182">
        <v>0</v>
      </c>
      <c r="L33" s="182"/>
      <c r="M33" s="182"/>
      <c r="N33" s="182">
        <v>1654</v>
      </c>
      <c r="O33" s="181"/>
      <c r="P33" s="181"/>
      <c r="Q33" s="181"/>
      <c r="R33" s="181"/>
      <c r="S33" s="181"/>
      <c r="T33" s="181"/>
      <c r="U33" s="181"/>
      <c r="V33" s="182">
        <v>1658</v>
      </c>
      <c r="W33" s="182">
        <v>0</v>
      </c>
      <c r="X33" s="182">
        <f t="shared" si="0"/>
        <v>1658</v>
      </c>
    </row>
    <row r="34" spans="1:24" x14ac:dyDescent="0.2">
      <c r="A34" s="178">
        <v>26</v>
      </c>
      <c r="B34" s="179" t="s">
        <v>68</v>
      </c>
      <c r="C34" s="180" t="s">
        <v>69</v>
      </c>
      <c r="D34" s="181" t="s">
        <v>566</v>
      </c>
      <c r="E34" s="182">
        <v>2092</v>
      </c>
      <c r="F34" s="182">
        <v>0</v>
      </c>
      <c r="G34" s="182">
        <v>0</v>
      </c>
      <c r="H34" s="182"/>
      <c r="I34" s="182">
        <v>0</v>
      </c>
      <c r="J34" s="182">
        <v>4</v>
      </c>
      <c r="K34" s="182">
        <v>0</v>
      </c>
      <c r="L34" s="182"/>
      <c r="M34" s="182"/>
      <c r="N34" s="182">
        <v>2088</v>
      </c>
      <c r="O34" s="181"/>
      <c r="P34" s="181"/>
      <c r="Q34" s="181"/>
      <c r="R34" s="181"/>
      <c r="S34" s="181"/>
      <c r="T34" s="181"/>
      <c r="U34" s="181"/>
      <c r="V34" s="182">
        <v>2092</v>
      </c>
      <c r="W34" s="182">
        <v>0</v>
      </c>
      <c r="X34" s="182">
        <f t="shared" si="0"/>
        <v>2092</v>
      </c>
    </row>
    <row r="35" spans="1:24" x14ac:dyDescent="0.2">
      <c r="A35" s="178">
        <v>27</v>
      </c>
      <c r="B35" s="184" t="s">
        <v>104</v>
      </c>
      <c r="C35" s="180" t="s">
        <v>105</v>
      </c>
      <c r="D35" s="181" t="s">
        <v>566</v>
      </c>
      <c r="E35" s="182">
        <v>3189</v>
      </c>
      <c r="F35" s="182">
        <v>0</v>
      </c>
      <c r="G35" s="182">
        <v>0</v>
      </c>
      <c r="H35" s="182"/>
      <c r="I35" s="182">
        <v>0</v>
      </c>
      <c r="J35" s="182">
        <v>12</v>
      </c>
      <c r="K35" s="182">
        <v>0</v>
      </c>
      <c r="L35" s="182"/>
      <c r="M35" s="182"/>
      <c r="N35" s="182">
        <v>3177</v>
      </c>
      <c r="O35" s="181"/>
      <c r="P35" s="181"/>
      <c r="Q35" s="181"/>
      <c r="R35" s="181"/>
      <c r="S35" s="181"/>
      <c r="T35" s="181"/>
      <c r="U35" s="181"/>
      <c r="V35" s="182">
        <v>3189</v>
      </c>
      <c r="W35" s="182">
        <v>0</v>
      </c>
      <c r="X35" s="182">
        <f t="shared" si="0"/>
        <v>3189</v>
      </c>
    </row>
    <row r="36" spans="1:24" x14ac:dyDescent="0.2">
      <c r="A36" s="178">
        <v>28</v>
      </c>
      <c r="B36" s="185" t="s">
        <v>224</v>
      </c>
      <c r="C36" s="180" t="s">
        <v>225</v>
      </c>
      <c r="D36" s="181" t="s">
        <v>566</v>
      </c>
      <c r="E36" s="182">
        <v>2522</v>
      </c>
      <c r="F36" s="182">
        <v>0</v>
      </c>
      <c r="G36" s="182">
        <v>0</v>
      </c>
      <c r="H36" s="182"/>
      <c r="I36" s="182">
        <v>0</v>
      </c>
      <c r="J36" s="182">
        <v>0</v>
      </c>
      <c r="K36" s="182">
        <v>0</v>
      </c>
      <c r="L36" s="182"/>
      <c r="M36" s="182"/>
      <c r="N36" s="182">
        <v>2522</v>
      </c>
      <c r="O36" s="181"/>
      <c r="P36" s="181"/>
      <c r="Q36" s="181"/>
      <c r="R36" s="181"/>
      <c r="S36" s="181"/>
      <c r="T36" s="181"/>
      <c r="U36" s="181"/>
      <c r="V36" s="182">
        <v>2522</v>
      </c>
      <c r="W36" s="182">
        <v>0</v>
      </c>
      <c r="X36" s="182">
        <f t="shared" si="0"/>
        <v>2522</v>
      </c>
    </row>
    <row r="37" spans="1:24" x14ac:dyDescent="0.2">
      <c r="A37" s="178">
        <v>29</v>
      </c>
      <c r="B37" s="179" t="s">
        <v>70</v>
      </c>
      <c r="C37" s="180" t="s">
        <v>71</v>
      </c>
      <c r="D37" s="181" t="s">
        <v>566</v>
      </c>
      <c r="E37" s="182">
        <v>2645</v>
      </c>
      <c r="F37" s="182">
        <v>0</v>
      </c>
      <c r="G37" s="182">
        <v>0</v>
      </c>
      <c r="H37" s="182"/>
      <c r="I37" s="182">
        <v>0</v>
      </c>
      <c r="J37" s="182">
        <v>0</v>
      </c>
      <c r="K37" s="182">
        <v>0</v>
      </c>
      <c r="L37" s="182"/>
      <c r="M37" s="182"/>
      <c r="N37" s="182">
        <v>2645</v>
      </c>
      <c r="O37" s="181"/>
      <c r="P37" s="181"/>
      <c r="Q37" s="181"/>
      <c r="R37" s="181"/>
      <c r="S37" s="181"/>
      <c r="T37" s="181"/>
      <c r="U37" s="181"/>
      <c r="V37" s="182">
        <v>2645</v>
      </c>
      <c r="W37" s="182">
        <v>0</v>
      </c>
      <c r="X37" s="182">
        <f t="shared" si="0"/>
        <v>2645</v>
      </c>
    </row>
    <row r="38" spans="1:24" x14ac:dyDescent="0.2">
      <c r="A38" s="178">
        <v>30</v>
      </c>
      <c r="B38" s="184" t="s">
        <v>132</v>
      </c>
      <c r="C38" s="180" t="s">
        <v>133</v>
      </c>
      <c r="D38" s="181" t="s">
        <v>566</v>
      </c>
      <c r="E38" s="182">
        <v>3021</v>
      </c>
      <c r="F38" s="182">
        <v>0</v>
      </c>
      <c r="G38" s="182">
        <v>0</v>
      </c>
      <c r="H38" s="182"/>
      <c r="I38" s="182">
        <v>0</v>
      </c>
      <c r="J38" s="182">
        <v>0</v>
      </c>
      <c r="K38" s="182">
        <v>0</v>
      </c>
      <c r="L38" s="182"/>
      <c r="M38" s="182"/>
      <c r="N38" s="182">
        <v>3021</v>
      </c>
      <c r="O38" s="181"/>
      <c r="P38" s="181"/>
      <c r="Q38" s="181"/>
      <c r="R38" s="181"/>
      <c r="S38" s="181"/>
      <c r="T38" s="181"/>
      <c r="U38" s="181"/>
      <c r="V38" s="182">
        <v>3021</v>
      </c>
      <c r="W38" s="182">
        <v>0</v>
      </c>
      <c r="X38" s="182">
        <f t="shared" si="0"/>
        <v>3021</v>
      </c>
    </row>
    <row r="39" spans="1:24" x14ac:dyDescent="0.2">
      <c r="A39" s="178">
        <v>31</v>
      </c>
      <c r="B39" s="187" t="s">
        <v>108</v>
      </c>
      <c r="C39" s="180" t="s">
        <v>109</v>
      </c>
      <c r="D39" s="181" t="s">
        <v>566</v>
      </c>
      <c r="E39" s="182">
        <v>3256</v>
      </c>
      <c r="F39" s="182">
        <v>0</v>
      </c>
      <c r="G39" s="182">
        <v>0</v>
      </c>
      <c r="H39" s="182"/>
      <c r="I39" s="182">
        <v>0</v>
      </c>
      <c r="J39" s="182">
        <v>0</v>
      </c>
      <c r="K39" s="182">
        <v>0</v>
      </c>
      <c r="L39" s="182"/>
      <c r="M39" s="182"/>
      <c r="N39" s="182">
        <v>3256</v>
      </c>
      <c r="O39" s="181"/>
      <c r="P39" s="181"/>
      <c r="Q39" s="181"/>
      <c r="R39" s="181"/>
      <c r="S39" s="181"/>
      <c r="T39" s="181"/>
      <c r="U39" s="181"/>
      <c r="V39" s="182">
        <v>3256</v>
      </c>
      <c r="W39" s="182">
        <v>0</v>
      </c>
      <c r="X39" s="182">
        <f t="shared" si="0"/>
        <v>3256</v>
      </c>
    </row>
    <row r="40" spans="1:24" x14ac:dyDescent="0.2">
      <c r="A40" s="178">
        <v>32</v>
      </c>
      <c r="B40" s="179" t="s">
        <v>228</v>
      </c>
      <c r="C40" s="180" t="s">
        <v>229</v>
      </c>
      <c r="D40" s="181" t="s">
        <v>566</v>
      </c>
      <c r="E40" s="182">
        <v>1959</v>
      </c>
      <c r="F40" s="182">
        <v>0</v>
      </c>
      <c r="G40" s="182">
        <v>0</v>
      </c>
      <c r="H40" s="182"/>
      <c r="I40" s="182">
        <v>0</v>
      </c>
      <c r="J40" s="182">
        <v>0</v>
      </c>
      <c r="K40" s="182">
        <v>0</v>
      </c>
      <c r="L40" s="182"/>
      <c r="M40" s="182"/>
      <c r="N40" s="182">
        <v>1959</v>
      </c>
      <c r="O40" s="181"/>
      <c r="P40" s="181"/>
      <c r="Q40" s="181"/>
      <c r="R40" s="181"/>
      <c r="S40" s="181"/>
      <c r="T40" s="181"/>
      <c r="U40" s="181"/>
      <c r="V40" s="182">
        <v>1959</v>
      </c>
      <c r="W40" s="182">
        <v>0</v>
      </c>
      <c r="X40" s="182">
        <f t="shared" si="0"/>
        <v>1959</v>
      </c>
    </row>
    <row r="41" spans="1:24" x14ac:dyDescent="0.2">
      <c r="A41" s="178">
        <v>33</v>
      </c>
      <c r="B41" s="179" t="s">
        <v>134</v>
      </c>
      <c r="C41" s="180" t="s">
        <v>135</v>
      </c>
      <c r="D41" s="181" t="s">
        <v>566</v>
      </c>
      <c r="E41" s="182">
        <v>4278</v>
      </c>
      <c r="F41" s="182">
        <v>0</v>
      </c>
      <c r="G41" s="182">
        <v>0</v>
      </c>
      <c r="H41" s="182"/>
      <c r="I41" s="182">
        <v>0</v>
      </c>
      <c r="J41" s="182">
        <v>0</v>
      </c>
      <c r="K41" s="182">
        <v>0</v>
      </c>
      <c r="L41" s="182"/>
      <c r="M41" s="182"/>
      <c r="N41" s="182">
        <v>4278</v>
      </c>
      <c r="O41" s="181"/>
      <c r="P41" s="181"/>
      <c r="Q41" s="181"/>
      <c r="R41" s="181"/>
      <c r="S41" s="181"/>
      <c r="T41" s="181"/>
      <c r="U41" s="181"/>
      <c r="V41" s="182">
        <v>4278</v>
      </c>
      <c r="W41" s="182">
        <v>0</v>
      </c>
      <c r="X41" s="182">
        <f t="shared" si="0"/>
        <v>4278</v>
      </c>
    </row>
    <row r="42" spans="1:24" x14ac:dyDescent="0.2">
      <c r="A42" s="178">
        <v>34</v>
      </c>
      <c r="B42" s="185" t="s">
        <v>110</v>
      </c>
      <c r="C42" s="180" t="s">
        <v>111</v>
      </c>
      <c r="D42" s="181" t="s">
        <v>566</v>
      </c>
      <c r="E42" s="182">
        <v>1990</v>
      </c>
      <c r="F42" s="182">
        <v>0</v>
      </c>
      <c r="G42" s="182">
        <v>0</v>
      </c>
      <c r="H42" s="182"/>
      <c r="I42" s="182">
        <v>0</v>
      </c>
      <c r="J42" s="182">
        <v>4</v>
      </c>
      <c r="K42" s="182">
        <v>0</v>
      </c>
      <c r="L42" s="182"/>
      <c r="M42" s="182"/>
      <c r="N42" s="182">
        <v>1986</v>
      </c>
      <c r="O42" s="181"/>
      <c r="P42" s="181"/>
      <c r="Q42" s="181"/>
      <c r="R42" s="181"/>
      <c r="S42" s="181"/>
      <c r="T42" s="181"/>
      <c r="U42" s="181"/>
      <c r="V42" s="182">
        <v>1990</v>
      </c>
      <c r="W42" s="182">
        <v>0</v>
      </c>
      <c r="X42" s="182">
        <f t="shared" si="0"/>
        <v>1990</v>
      </c>
    </row>
    <row r="43" spans="1:24" x14ac:dyDescent="0.2">
      <c r="A43" s="178">
        <v>35</v>
      </c>
      <c r="B43" s="185" t="s">
        <v>112</v>
      </c>
      <c r="C43" s="180" t="s">
        <v>113</v>
      </c>
      <c r="D43" s="181" t="s">
        <v>566</v>
      </c>
      <c r="E43" s="182">
        <v>2862</v>
      </c>
      <c r="F43" s="182">
        <v>0</v>
      </c>
      <c r="G43" s="182">
        <v>0</v>
      </c>
      <c r="H43" s="182"/>
      <c r="I43" s="182">
        <v>0</v>
      </c>
      <c r="J43" s="182">
        <v>1</v>
      </c>
      <c r="K43" s="182">
        <v>0</v>
      </c>
      <c r="L43" s="182"/>
      <c r="M43" s="182"/>
      <c r="N43" s="182">
        <v>2861</v>
      </c>
      <c r="O43" s="181"/>
      <c r="P43" s="181"/>
      <c r="Q43" s="181"/>
      <c r="R43" s="181"/>
      <c r="S43" s="181"/>
      <c r="T43" s="181"/>
      <c r="U43" s="181"/>
      <c r="V43" s="182">
        <v>2862</v>
      </c>
      <c r="W43" s="182">
        <v>0</v>
      </c>
      <c r="X43" s="182">
        <f t="shared" si="0"/>
        <v>2862</v>
      </c>
    </row>
    <row r="44" spans="1:24" x14ac:dyDescent="0.2">
      <c r="A44" s="178">
        <v>36</v>
      </c>
      <c r="B44" s="179" t="s">
        <v>114</v>
      </c>
      <c r="C44" s="180" t="s">
        <v>115</v>
      </c>
      <c r="D44" s="181" t="s">
        <v>566</v>
      </c>
      <c r="E44" s="182">
        <v>1569</v>
      </c>
      <c r="F44" s="182">
        <v>0</v>
      </c>
      <c r="G44" s="182">
        <v>0</v>
      </c>
      <c r="H44" s="182"/>
      <c r="I44" s="182">
        <v>0</v>
      </c>
      <c r="J44" s="182">
        <v>0</v>
      </c>
      <c r="K44" s="182">
        <v>0</v>
      </c>
      <c r="L44" s="182"/>
      <c r="M44" s="182"/>
      <c r="N44" s="182">
        <v>1569</v>
      </c>
      <c r="O44" s="181"/>
      <c r="P44" s="181"/>
      <c r="Q44" s="181"/>
      <c r="R44" s="181"/>
      <c r="S44" s="181"/>
      <c r="T44" s="181"/>
      <c r="U44" s="181"/>
      <c r="V44" s="182">
        <v>1569</v>
      </c>
      <c r="W44" s="182">
        <v>0</v>
      </c>
      <c r="X44" s="182">
        <f t="shared" si="0"/>
        <v>1569</v>
      </c>
    </row>
    <row r="45" spans="1:24" x14ac:dyDescent="0.2">
      <c r="A45" s="178">
        <v>37</v>
      </c>
      <c r="B45" s="179" t="s">
        <v>138</v>
      </c>
      <c r="C45" s="180" t="s">
        <v>139</v>
      </c>
      <c r="D45" s="181" t="s">
        <v>566</v>
      </c>
      <c r="E45" s="182">
        <v>2788</v>
      </c>
      <c r="F45" s="182">
        <v>0</v>
      </c>
      <c r="G45" s="182">
        <v>0</v>
      </c>
      <c r="H45" s="182"/>
      <c r="I45" s="182">
        <v>0</v>
      </c>
      <c r="J45" s="182">
        <v>7</v>
      </c>
      <c r="K45" s="182">
        <v>0</v>
      </c>
      <c r="L45" s="182"/>
      <c r="M45" s="182"/>
      <c r="N45" s="182">
        <v>2781</v>
      </c>
      <c r="O45" s="181"/>
      <c r="P45" s="181"/>
      <c r="Q45" s="181"/>
      <c r="R45" s="181"/>
      <c r="S45" s="181"/>
      <c r="T45" s="181"/>
      <c r="U45" s="181"/>
      <c r="V45" s="182">
        <v>2788</v>
      </c>
      <c r="W45" s="182">
        <v>0</v>
      </c>
      <c r="X45" s="182">
        <f t="shared" si="0"/>
        <v>2788</v>
      </c>
    </row>
    <row r="46" spans="1:24" x14ac:dyDescent="0.2">
      <c r="A46" s="178">
        <v>38</v>
      </c>
      <c r="B46" s="185" t="s">
        <v>230</v>
      </c>
      <c r="C46" s="180" t="s">
        <v>231</v>
      </c>
      <c r="D46" s="181" t="s">
        <v>566</v>
      </c>
      <c r="E46" s="182">
        <v>4145</v>
      </c>
      <c r="F46" s="182">
        <v>0</v>
      </c>
      <c r="G46" s="182">
        <v>0</v>
      </c>
      <c r="H46" s="182"/>
      <c r="I46" s="182">
        <v>0</v>
      </c>
      <c r="J46" s="182">
        <v>0</v>
      </c>
      <c r="K46" s="182">
        <v>0</v>
      </c>
      <c r="L46" s="182"/>
      <c r="M46" s="182"/>
      <c r="N46" s="182">
        <v>4145</v>
      </c>
      <c r="O46" s="181"/>
      <c r="P46" s="181"/>
      <c r="Q46" s="181"/>
      <c r="R46" s="181"/>
      <c r="S46" s="181"/>
      <c r="T46" s="181"/>
      <c r="U46" s="181"/>
      <c r="V46" s="182">
        <v>4145</v>
      </c>
      <c r="W46" s="182">
        <v>0</v>
      </c>
      <c r="X46" s="182">
        <f t="shared" si="0"/>
        <v>4145</v>
      </c>
    </row>
    <row r="47" spans="1:24" x14ac:dyDescent="0.2">
      <c r="A47" s="178">
        <v>39</v>
      </c>
      <c r="B47" s="179" t="s">
        <v>140</v>
      </c>
      <c r="C47" s="180" t="s">
        <v>141</v>
      </c>
      <c r="D47" s="181" t="s">
        <v>566</v>
      </c>
      <c r="E47" s="182">
        <v>2533</v>
      </c>
      <c r="F47" s="182">
        <v>0</v>
      </c>
      <c r="G47" s="182">
        <v>0</v>
      </c>
      <c r="H47" s="182"/>
      <c r="I47" s="182">
        <v>0</v>
      </c>
      <c r="J47" s="182">
        <v>1</v>
      </c>
      <c r="K47" s="182">
        <v>0</v>
      </c>
      <c r="L47" s="182"/>
      <c r="M47" s="182"/>
      <c r="N47" s="182">
        <v>2532</v>
      </c>
      <c r="O47" s="181"/>
      <c r="P47" s="181"/>
      <c r="Q47" s="181"/>
      <c r="R47" s="181"/>
      <c r="S47" s="181"/>
      <c r="T47" s="181"/>
      <c r="U47" s="181"/>
      <c r="V47" s="182">
        <v>2533</v>
      </c>
      <c r="W47" s="182">
        <v>0</v>
      </c>
      <c r="X47" s="182">
        <f t="shared" si="0"/>
        <v>2533</v>
      </c>
    </row>
    <row r="48" spans="1:24" x14ac:dyDescent="0.2">
      <c r="A48" s="178">
        <v>40</v>
      </c>
      <c r="B48" s="184" t="s">
        <v>142</v>
      </c>
      <c r="C48" s="180" t="s">
        <v>143</v>
      </c>
      <c r="D48" s="181" t="s">
        <v>566</v>
      </c>
      <c r="E48" s="182">
        <v>2087</v>
      </c>
      <c r="F48" s="182">
        <v>0</v>
      </c>
      <c r="G48" s="182">
        <v>0</v>
      </c>
      <c r="H48" s="182"/>
      <c r="I48" s="182">
        <v>0</v>
      </c>
      <c r="J48" s="182">
        <v>16</v>
      </c>
      <c r="K48" s="182">
        <v>0</v>
      </c>
      <c r="L48" s="182"/>
      <c r="M48" s="182"/>
      <c r="N48" s="182">
        <v>2071</v>
      </c>
      <c r="O48" s="181"/>
      <c r="P48" s="181"/>
      <c r="Q48" s="181"/>
      <c r="R48" s="181"/>
      <c r="S48" s="181"/>
      <c r="T48" s="181"/>
      <c r="U48" s="181"/>
      <c r="V48" s="182">
        <v>2087</v>
      </c>
      <c r="W48" s="182">
        <v>0</v>
      </c>
      <c r="X48" s="182">
        <f t="shared" si="0"/>
        <v>2087</v>
      </c>
    </row>
    <row r="49" spans="1:24" x14ac:dyDescent="0.2">
      <c r="A49" s="178">
        <v>41</v>
      </c>
      <c r="B49" s="179" t="s">
        <v>72</v>
      </c>
      <c r="C49" s="180" t="s">
        <v>73</v>
      </c>
      <c r="D49" s="181" t="s">
        <v>566</v>
      </c>
      <c r="E49" s="182">
        <v>5019</v>
      </c>
      <c r="F49" s="182">
        <v>0</v>
      </c>
      <c r="G49" s="182">
        <v>0</v>
      </c>
      <c r="H49" s="182"/>
      <c r="I49" s="182">
        <v>0</v>
      </c>
      <c r="J49" s="182">
        <v>5</v>
      </c>
      <c r="K49" s="182">
        <v>0</v>
      </c>
      <c r="L49" s="182"/>
      <c r="M49" s="182"/>
      <c r="N49" s="182">
        <v>5014</v>
      </c>
      <c r="O49" s="181"/>
      <c r="P49" s="181"/>
      <c r="Q49" s="181"/>
      <c r="R49" s="181"/>
      <c r="S49" s="181"/>
      <c r="T49" s="181"/>
      <c r="U49" s="181"/>
      <c r="V49" s="182">
        <v>5019</v>
      </c>
      <c r="W49" s="182">
        <v>0</v>
      </c>
      <c r="X49" s="182">
        <f t="shared" si="0"/>
        <v>5019</v>
      </c>
    </row>
    <row r="50" spans="1:24" x14ac:dyDescent="0.2">
      <c r="A50" s="178">
        <v>42</v>
      </c>
      <c r="B50" s="185" t="s">
        <v>188</v>
      </c>
      <c r="C50" s="180" t="s">
        <v>460</v>
      </c>
      <c r="D50" s="181" t="s">
        <v>566</v>
      </c>
      <c r="E50" s="182">
        <v>1011</v>
      </c>
      <c r="F50" s="182">
        <v>0</v>
      </c>
      <c r="G50" s="182">
        <v>0</v>
      </c>
      <c r="H50" s="182"/>
      <c r="I50" s="182">
        <v>0</v>
      </c>
      <c r="J50" s="182">
        <v>0</v>
      </c>
      <c r="K50" s="182">
        <v>0</v>
      </c>
      <c r="L50" s="182"/>
      <c r="M50" s="182"/>
      <c r="N50" s="182">
        <v>1011</v>
      </c>
      <c r="O50" s="181"/>
      <c r="P50" s="181"/>
      <c r="Q50" s="181"/>
      <c r="R50" s="181"/>
      <c r="S50" s="181"/>
      <c r="T50" s="181"/>
      <c r="U50" s="181"/>
      <c r="V50" s="182">
        <v>1011</v>
      </c>
      <c r="W50" s="182">
        <v>0</v>
      </c>
      <c r="X50" s="182">
        <f t="shared" si="0"/>
        <v>1011</v>
      </c>
    </row>
    <row r="51" spans="1:24" x14ac:dyDescent="0.2">
      <c r="A51" s="178">
        <v>43</v>
      </c>
      <c r="B51" s="185" t="s">
        <v>120</v>
      </c>
      <c r="C51" s="180" t="s">
        <v>121</v>
      </c>
      <c r="D51" s="181" t="s">
        <v>568</v>
      </c>
      <c r="E51" s="182">
        <v>13189</v>
      </c>
      <c r="F51" s="182">
        <v>2</v>
      </c>
      <c r="G51" s="182">
        <v>0</v>
      </c>
      <c r="H51" s="182">
        <v>2</v>
      </c>
      <c r="I51" s="182">
        <v>0</v>
      </c>
      <c r="J51" s="182">
        <v>0</v>
      </c>
      <c r="K51" s="182">
        <v>0</v>
      </c>
      <c r="L51" s="182"/>
      <c r="M51" s="182"/>
      <c r="N51" s="182">
        <v>13187</v>
      </c>
      <c r="O51" s="181"/>
      <c r="P51" s="181"/>
      <c r="Q51" s="181"/>
      <c r="R51" s="181"/>
      <c r="S51" s="181"/>
      <c r="T51" s="181"/>
      <c r="U51" s="181"/>
      <c r="V51" s="182">
        <v>13189</v>
      </c>
      <c r="W51" s="182">
        <v>0</v>
      </c>
      <c r="X51" s="182">
        <f t="shared" si="0"/>
        <v>13189</v>
      </c>
    </row>
    <row r="52" spans="1:24" x14ac:dyDescent="0.2">
      <c r="A52" s="607">
        <v>44</v>
      </c>
      <c r="B52" s="179" t="s">
        <v>16</v>
      </c>
      <c r="C52" s="180" t="s">
        <v>17</v>
      </c>
      <c r="D52" s="181" t="s">
        <v>568</v>
      </c>
      <c r="E52" s="182">
        <v>8850</v>
      </c>
      <c r="F52" s="182">
        <v>0</v>
      </c>
      <c r="G52" s="182">
        <v>0</v>
      </c>
      <c r="H52" s="182"/>
      <c r="I52" s="182">
        <v>0</v>
      </c>
      <c r="J52" s="182">
        <v>0</v>
      </c>
      <c r="K52" s="182">
        <v>0</v>
      </c>
      <c r="L52" s="182"/>
      <c r="M52" s="182"/>
      <c r="N52" s="182">
        <v>8850</v>
      </c>
      <c r="O52" s="181"/>
      <c r="P52" s="181"/>
      <c r="Q52" s="181"/>
      <c r="R52" s="181"/>
      <c r="S52" s="181"/>
      <c r="T52" s="181"/>
      <c r="U52" s="181"/>
      <c r="V52" s="182">
        <v>8850</v>
      </c>
      <c r="W52" s="182">
        <v>0</v>
      </c>
      <c r="X52" s="182">
        <f t="shared" si="0"/>
        <v>8850</v>
      </c>
    </row>
    <row r="53" spans="1:24" x14ac:dyDescent="0.2">
      <c r="A53" s="607">
        <v>45</v>
      </c>
      <c r="B53" s="179" t="s">
        <v>182</v>
      </c>
      <c r="C53" s="180" t="s">
        <v>569</v>
      </c>
      <c r="D53" s="181" t="s">
        <v>568</v>
      </c>
      <c r="E53" s="182">
        <v>10332</v>
      </c>
      <c r="F53" s="182">
        <v>1</v>
      </c>
      <c r="G53" s="182">
        <v>0</v>
      </c>
      <c r="H53" s="182">
        <v>1</v>
      </c>
      <c r="I53" s="182">
        <v>0</v>
      </c>
      <c r="J53" s="182">
        <v>0</v>
      </c>
      <c r="K53" s="182">
        <v>0</v>
      </c>
      <c r="L53" s="182"/>
      <c r="M53" s="182"/>
      <c r="N53" s="182">
        <v>10331</v>
      </c>
      <c r="O53" s="181"/>
      <c r="P53" s="181"/>
      <c r="Q53" s="181"/>
      <c r="R53" s="181"/>
      <c r="S53" s="181"/>
      <c r="T53" s="181"/>
      <c r="U53" s="181"/>
      <c r="V53" s="182">
        <v>10332</v>
      </c>
      <c r="W53" s="182">
        <v>405</v>
      </c>
      <c r="X53" s="182">
        <f t="shared" si="0"/>
        <v>10737</v>
      </c>
    </row>
    <row r="54" spans="1:24" x14ac:dyDescent="0.2">
      <c r="A54" s="607">
        <v>46</v>
      </c>
      <c r="B54" s="185" t="s">
        <v>62</v>
      </c>
      <c r="C54" s="180" t="s">
        <v>63</v>
      </c>
      <c r="D54" s="181" t="s">
        <v>568</v>
      </c>
      <c r="E54" s="182">
        <v>8003</v>
      </c>
      <c r="F54" s="182">
        <v>0</v>
      </c>
      <c r="G54" s="182">
        <v>0</v>
      </c>
      <c r="H54" s="182"/>
      <c r="I54" s="182">
        <v>0</v>
      </c>
      <c r="J54" s="182">
        <v>29</v>
      </c>
      <c r="K54" s="182">
        <v>0</v>
      </c>
      <c r="L54" s="182"/>
      <c r="M54" s="182"/>
      <c r="N54" s="182">
        <v>7974</v>
      </c>
      <c r="O54" s="181"/>
      <c r="P54" s="181"/>
      <c r="Q54" s="181"/>
      <c r="R54" s="181"/>
      <c r="S54" s="181"/>
      <c r="T54" s="181"/>
      <c r="U54" s="181"/>
      <c r="V54" s="182">
        <v>8003</v>
      </c>
      <c r="W54" s="182">
        <v>0</v>
      </c>
      <c r="X54" s="182">
        <f t="shared" si="0"/>
        <v>8003</v>
      </c>
    </row>
    <row r="55" spans="1:24" x14ac:dyDescent="0.2">
      <c r="A55" s="607">
        <v>47</v>
      </c>
      <c r="B55" s="185" t="s">
        <v>106</v>
      </c>
      <c r="C55" s="180" t="s">
        <v>107</v>
      </c>
      <c r="D55" s="181" t="s">
        <v>568</v>
      </c>
      <c r="E55" s="182">
        <v>9618</v>
      </c>
      <c r="F55" s="182">
        <v>0</v>
      </c>
      <c r="G55" s="182">
        <v>0</v>
      </c>
      <c r="H55" s="182"/>
      <c r="I55" s="182">
        <v>0</v>
      </c>
      <c r="J55" s="182">
        <v>0</v>
      </c>
      <c r="K55" s="182">
        <v>0</v>
      </c>
      <c r="L55" s="182"/>
      <c r="M55" s="182"/>
      <c r="N55" s="182">
        <v>9618</v>
      </c>
      <c r="O55" s="181"/>
      <c r="P55" s="181"/>
      <c r="Q55" s="181"/>
      <c r="R55" s="181"/>
      <c r="S55" s="181"/>
      <c r="T55" s="181"/>
      <c r="U55" s="181"/>
      <c r="V55" s="182">
        <v>9618</v>
      </c>
      <c r="W55" s="182">
        <v>0</v>
      </c>
      <c r="X55" s="182">
        <f t="shared" si="0"/>
        <v>9618</v>
      </c>
    </row>
    <row r="56" spans="1:24" x14ac:dyDescent="0.2">
      <c r="A56" s="607">
        <v>48</v>
      </c>
      <c r="B56" s="179" t="s">
        <v>136</v>
      </c>
      <c r="C56" s="180" t="s">
        <v>137</v>
      </c>
      <c r="D56" s="181" t="s">
        <v>568</v>
      </c>
      <c r="E56" s="182">
        <v>19002</v>
      </c>
      <c r="F56" s="182">
        <v>7</v>
      </c>
      <c r="G56" s="182">
        <v>0</v>
      </c>
      <c r="H56" s="182">
        <v>7</v>
      </c>
      <c r="I56" s="182">
        <v>1056</v>
      </c>
      <c r="J56" s="182">
        <v>7</v>
      </c>
      <c r="K56" s="182">
        <v>0</v>
      </c>
      <c r="L56" s="182"/>
      <c r="M56" s="182"/>
      <c r="N56" s="182">
        <v>17932</v>
      </c>
      <c r="O56" s="181"/>
      <c r="P56" s="181"/>
      <c r="Q56" s="181"/>
      <c r="R56" s="181"/>
      <c r="S56" s="181"/>
      <c r="T56" s="181"/>
      <c r="U56" s="181"/>
      <c r="V56" s="182">
        <v>19002</v>
      </c>
      <c r="W56" s="182">
        <v>0</v>
      </c>
      <c r="X56" s="182">
        <f t="shared" si="0"/>
        <v>19002</v>
      </c>
    </row>
    <row r="57" spans="1:24" x14ac:dyDescent="0.2">
      <c r="A57" s="607">
        <v>49</v>
      </c>
      <c r="B57" s="185" t="s">
        <v>86</v>
      </c>
      <c r="C57" s="188" t="s">
        <v>87</v>
      </c>
      <c r="D57" s="181" t="s">
        <v>568</v>
      </c>
      <c r="E57" s="182">
        <v>9067</v>
      </c>
      <c r="F57" s="182">
        <v>1</v>
      </c>
      <c r="G57" s="182">
        <v>0</v>
      </c>
      <c r="H57" s="182">
        <v>1</v>
      </c>
      <c r="I57" s="182">
        <v>0</v>
      </c>
      <c r="J57" s="182">
        <v>0</v>
      </c>
      <c r="K57" s="182">
        <v>0</v>
      </c>
      <c r="L57" s="182"/>
      <c r="M57" s="182"/>
      <c r="N57" s="182">
        <v>9066</v>
      </c>
      <c r="O57" s="181"/>
      <c r="P57" s="181"/>
      <c r="Q57" s="181"/>
      <c r="R57" s="181"/>
      <c r="S57" s="181"/>
      <c r="T57" s="181"/>
      <c r="U57" s="181"/>
      <c r="V57" s="182">
        <v>9067</v>
      </c>
      <c r="W57" s="182">
        <v>416</v>
      </c>
      <c r="X57" s="182">
        <f t="shared" si="0"/>
        <v>9483</v>
      </c>
    </row>
    <row r="58" spans="1:24" x14ac:dyDescent="0.2">
      <c r="A58" s="607">
        <v>50</v>
      </c>
      <c r="B58" s="179" t="s">
        <v>208</v>
      </c>
      <c r="C58" s="180" t="s">
        <v>570</v>
      </c>
      <c r="D58" s="181" t="s">
        <v>568</v>
      </c>
      <c r="E58" s="182">
        <v>6385</v>
      </c>
      <c r="F58" s="182">
        <v>0</v>
      </c>
      <c r="G58" s="182">
        <v>0</v>
      </c>
      <c r="H58" s="182"/>
      <c r="I58" s="182">
        <v>0</v>
      </c>
      <c r="J58" s="182">
        <v>0</v>
      </c>
      <c r="K58" s="182">
        <v>0</v>
      </c>
      <c r="L58" s="182"/>
      <c r="M58" s="182"/>
      <c r="N58" s="182">
        <v>6385</v>
      </c>
      <c r="O58" s="181"/>
      <c r="P58" s="181"/>
      <c r="Q58" s="181"/>
      <c r="R58" s="181"/>
      <c r="S58" s="181"/>
      <c r="T58" s="181"/>
      <c r="U58" s="181"/>
      <c r="V58" s="182">
        <v>6385</v>
      </c>
      <c r="W58" s="182">
        <v>845</v>
      </c>
      <c r="X58" s="182">
        <f t="shared" si="0"/>
        <v>7230</v>
      </c>
    </row>
    <row r="59" spans="1:24" x14ac:dyDescent="0.2">
      <c r="A59" s="607">
        <v>51</v>
      </c>
      <c r="B59" s="179" t="s">
        <v>298</v>
      </c>
      <c r="C59" s="180" t="s">
        <v>299</v>
      </c>
      <c r="D59" s="181" t="s">
        <v>568</v>
      </c>
      <c r="E59" s="182">
        <v>0</v>
      </c>
      <c r="F59" s="182">
        <v>0</v>
      </c>
      <c r="G59" s="182">
        <v>0</v>
      </c>
      <c r="H59" s="182"/>
      <c r="I59" s="182">
        <v>0</v>
      </c>
      <c r="J59" s="182">
        <v>0</v>
      </c>
      <c r="K59" s="182">
        <v>0</v>
      </c>
      <c r="L59" s="182"/>
      <c r="M59" s="182"/>
      <c r="N59" s="182">
        <v>0</v>
      </c>
      <c r="O59" s="181"/>
      <c r="P59" s="181"/>
      <c r="Q59" s="181"/>
      <c r="R59" s="181"/>
      <c r="S59" s="181"/>
      <c r="T59" s="181"/>
      <c r="U59" s="181"/>
      <c r="V59" s="182">
        <v>0</v>
      </c>
      <c r="W59" s="182">
        <v>500</v>
      </c>
      <c r="X59" s="182">
        <f t="shared" si="0"/>
        <v>500</v>
      </c>
    </row>
    <row r="60" spans="1:24" x14ac:dyDescent="0.2">
      <c r="A60" s="607">
        <v>52</v>
      </c>
      <c r="B60" s="179" t="s">
        <v>254</v>
      </c>
      <c r="C60" s="180" t="s">
        <v>255</v>
      </c>
      <c r="D60" s="181" t="s">
        <v>568</v>
      </c>
      <c r="E60" s="182">
        <v>314</v>
      </c>
      <c r="F60" s="182">
        <v>0</v>
      </c>
      <c r="G60" s="182">
        <v>0</v>
      </c>
      <c r="H60" s="182"/>
      <c r="I60" s="182">
        <v>0</v>
      </c>
      <c r="J60" s="182">
        <v>0</v>
      </c>
      <c r="K60" s="182">
        <v>0</v>
      </c>
      <c r="L60" s="182"/>
      <c r="M60" s="182"/>
      <c r="N60" s="182">
        <v>314</v>
      </c>
      <c r="O60" s="181"/>
      <c r="P60" s="181"/>
      <c r="Q60" s="181"/>
      <c r="R60" s="181"/>
      <c r="S60" s="181"/>
      <c r="T60" s="181"/>
      <c r="U60" s="181"/>
      <c r="V60" s="182">
        <v>314</v>
      </c>
      <c r="W60" s="182">
        <v>0</v>
      </c>
      <c r="X60" s="182">
        <f t="shared" si="0"/>
        <v>314</v>
      </c>
    </row>
    <row r="61" spans="1:24" x14ac:dyDescent="0.2">
      <c r="A61" s="607">
        <v>53</v>
      </c>
      <c r="B61" s="179" t="s">
        <v>184</v>
      </c>
      <c r="C61" s="180" t="s">
        <v>571</v>
      </c>
      <c r="D61" s="181" t="s">
        <v>572</v>
      </c>
      <c r="E61" s="182">
        <v>3253</v>
      </c>
      <c r="F61" s="182">
        <v>0</v>
      </c>
      <c r="G61" s="182">
        <v>0</v>
      </c>
      <c r="H61" s="182"/>
      <c r="I61" s="182">
        <v>0</v>
      </c>
      <c r="J61" s="182">
        <v>30</v>
      </c>
      <c r="K61" s="182">
        <v>0</v>
      </c>
      <c r="L61" s="182"/>
      <c r="M61" s="182"/>
      <c r="N61" s="182">
        <v>3223</v>
      </c>
      <c r="O61" s="182"/>
      <c r="P61" s="182"/>
      <c r="Q61" s="182"/>
      <c r="R61" s="182"/>
      <c r="S61" s="182"/>
      <c r="T61" s="182"/>
      <c r="U61" s="182"/>
      <c r="V61" s="182">
        <v>3253</v>
      </c>
      <c r="W61" s="182">
        <v>987</v>
      </c>
      <c r="X61" s="182">
        <f t="shared" si="0"/>
        <v>4240</v>
      </c>
    </row>
    <row r="62" spans="1:24" x14ac:dyDescent="0.2">
      <c r="A62" s="607">
        <v>54</v>
      </c>
      <c r="B62" s="179" t="s">
        <v>286</v>
      </c>
      <c r="C62" s="180" t="s">
        <v>287</v>
      </c>
      <c r="D62" s="181" t="s">
        <v>572</v>
      </c>
      <c r="E62" s="182">
        <v>23976</v>
      </c>
      <c r="F62" s="182">
        <v>0</v>
      </c>
      <c r="G62" s="182">
        <v>0</v>
      </c>
      <c r="H62" s="182"/>
      <c r="I62" s="182">
        <v>1205</v>
      </c>
      <c r="J62" s="182">
        <v>0</v>
      </c>
      <c r="K62" s="182">
        <v>0</v>
      </c>
      <c r="L62" s="182"/>
      <c r="M62" s="182"/>
      <c r="N62" s="182">
        <v>22771</v>
      </c>
      <c r="O62" s="182"/>
      <c r="P62" s="182"/>
      <c r="Q62" s="182"/>
      <c r="R62" s="182"/>
      <c r="S62" s="182"/>
      <c r="T62" s="182"/>
      <c r="U62" s="182"/>
      <c r="V62" s="182">
        <v>23976</v>
      </c>
      <c r="W62" s="182">
        <v>0</v>
      </c>
      <c r="X62" s="182">
        <f t="shared" si="0"/>
        <v>23976</v>
      </c>
    </row>
    <row r="63" spans="1:24" s="194" customFormat="1" ht="26.25" customHeight="1" x14ac:dyDescent="0.2">
      <c r="A63" s="189">
        <v>55</v>
      </c>
      <c r="B63" s="190" t="s">
        <v>144</v>
      </c>
      <c r="C63" s="191" t="s">
        <v>573</v>
      </c>
      <c r="D63" s="192" t="s">
        <v>574</v>
      </c>
      <c r="E63" s="193">
        <v>5132</v>
      </c>
      <c r="F63" s="193">
        <v>0</v>
      </c>
      <c r="G63" s="193">
        <v>0</v>
      </c>
      <c r="H63" s="193">
        <v>0</v>
      </c>
      <c r="I63" s="193">
        <v>0</v>
      </c>
      <c r="J63" s="193">
        <v>0</v>
      </c>
      <c r="K63" s="193">
        <v>671</v>
      </c>
      <c r="L63" s="193">
        <v>13</v>
      </c>
      <c r="M63" s="193">
        <v>0</v>
      </c>
      <c r="N63" s="193">
        <v>4448</v>
      </c>
      <c r="O63" s="193">
        <v>114</v>
      </c>
      <c r="P63" s="193">
        <v>0</v>
      </c>
      <c r="Q63" s="193">
        <v>53</v>
      </c>
      <c r="R63" s="193">
        <v>46</v>
      </c>
      <c r="S63" s="193">
        <v>0</v>
      </c>
      <c r="T63" s="193">
        <v>0</v>
      </c>
      <c r="U63" s="193">
        <v>0</v>
      </c>
      <c r="V63" s="193">
        <v>5246</v>
      </c>
      <c r="W63" s="193">
        <v>0</v>
      </c>
      <c r="X63" s="193">
        <f t="shared" ref="X63" si="1">X64+X65</f>
        <v>5246</v>
      </c>
    </row>
    <row r="64" spans="1:24" x14ac:dyDescent="0.2">
      <c r="A64" s="178"/>
      <c r="B64" s="179"/>
      <c r="C64" s="195" t="s">
        <v>575</v>
      </c>
      <c r="D64" s="181" t="s">
        <v>567</v>
      </c>
      <c r="E64" s="182">
        <v>0</v>
      </c>
      <c r="F64" s="182">
        <v>0</v>
      </c>
      <c r="G64" s="182">
        <v>0</v>
      </c>
      <c r="H64" s="182"/>
      <c r="I64" s="182">
        <v>0</v>
      </c>
      <c r="J64" s="182">
        <v>0</v>
      </c>
      <c r="K64" s="182">
        <v>0</v>
      </c>
      <c r="L64" s="182"/>
      <c r="M64" s="182">
        <v>0</v>
      </c>
      <c r="N64" s="182">
        <v>0</v>
      </c>
      <c r="O64" s="182"/>
      <c r="P64" s="182"/>
      <c r="Q64" s="182"/>
      <c r="R64" s="182"/>
      <c r="S64" s="182"/>
      <c r="T64" s="182"/>
      <c r="U64" s="182"/>
      <c r="V64" s="182">
        <v>0</v>
      </c>
      <c r="W64" s="182">
        <v>0</v>
      </c>
      <c r="X64" s="182">
        <f t="shared" si="0"/>
        <v>0</v>
      </c>
    </row>
    <row r="65" spans="1:25" x14ac:dyDescent="0.2">
      <c r="A65" s="178"/>
      <c r="B65" s="179"/>
      <c r="C65" s="195" t="s">
        <v>575</v>
      </c>
      <c r="D65" s="181" t="s">
        <v>574</v>
      </c>
      <c r="E65" s="182">
        <v>5132</v>
      </c>
      <c r="F65" s="182">
        <v>0</v>
      </c>
      <c r="G65" s="182">
        <v>0</v>
      </c>
      <c r="H65" s="182"/>
      <c r="I65" s="182">
        <v>0</v>
      </c>
      <c r="J65" s="182">
        <v>0</v>
      </c>
      <c r="K65" s="182">
        <v>671</v>
      </c>
      <c r="L65" s="182">
        <v>13</v>
      </c>
      <c r="M65" s="182">
        <v>0</v>
      </c>
      <c r="N65" s="182">
        <v>4448</v>
      </c>
      <c r="O65" s="182">
        <v>114</v>
      </c>
      <c r="P65" s="182">
        <v>0</v>
      </c>
      <c r="Q65" s="182">
        <v>53</v>
      </c>
      <c r="R65" s="182">
        <v>46</v>
      </c>
      <c r="S65" s="182">
        <v>0</v>
      </c>
      <c r="T65" s="182">
        <v>0</v>
      </c>
      <c r="U65" s="182">
        <v>0</v>
      </c>
      <c r="V65" s="182">
        <v>5246</v>
      </c>
      <c r="W65" s="182">
        <v>0</v>
      </c>
      <c r="X65" s="182">
        <f t="shared" si="0"/>
        <v>5246</v>
      </c>
    </row>
    <row r="66" spans="1:25" ht="18" customHeight="1" x14ac:dyDescent="0.2">
      <c r="A66" s="189">
        <v>56</v>
      </c>
      <c r="B66" s="190" t="s">
        <v>226</v>
      </c>
      <c r="C66" s="191" t="s">
        <v>227</v>
      </c>
      <c r="D66" s="192" t="s">
        <v>574</v>
      </c>
      <c r="E66" s="193">
        <v>3369</v>
      </c>
      <c r="F66" s="193">
        <v>0</v>
      </c>
      <c r="G66" s="193">
        <v>0</v>
      </c>
      <c r="H66" s="193">
        <v>0</v>
      </c>
      <c r="I66" s="193">
        <v>0</v>
      </c>
      <c r="J66" s="193">
        <v>0</v>
      </c>
      <c r="K66" s="193">
        <v>0</v>
      </c>
      <c r="L66" s="193"/>
      <c r="M66" s="193"/>
      <c r="N66" s="193">
        <v>3369</v>
      </c>
      <c r="O66" s="193">
        <v>100</v>
      </c>
      <c r="P66" s="193">
        <v>0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3">
        <v>3469</v>
      </c>
      <c r="W66" s="193">
        <v>0</v>
      </c>
      <c r="X66" s="193">
        <f>X67+X68</f>
        <v>3469</v>
      </c>
    </row>
    <row r="67" spans="1:25" x14ac:dyDescent="0.2">
      <c r="A67" s="196"/>
      <c r="B67" s="179"/>
      <c r="C67" s="195" t="s">
        <v>575</v>
      </c>
      <c r="D67" s="181" t="s">
        <v>576</v>
      </c>
      <c r="E67" s="182">
        <v>2944</v>
      </c>
      <c r="F67" s="182">
        <v>0</v>
      </c>
      <c r="G67" s="182">
        <v>0</v>
      </c>
      <c r="H67" s="182"/>
      <c r="I67" s="182">
        <v>0</v>
      </c>
      <c r="J67" s="182">
        <v>0</v>
      </c>
      <c r="K67" s="182">
        <v>0</v>
      </c>
      <c r="L67" s="182"/>
      <c r="M67" s="182">
        <v>0</v>
      </c>
      <c r="N67" s="182">
        <v>2944</v>
      </c>
      <c r="O67" s="182"/>
      <c r="P67" s="182"/>
      <c r="Q67" s="182"/>
      <c r="R67" s="182"/>
      <c r="S67" s="182"/>
      <c r="T67" s="182"/>
      <c r="U67" s="182"/>
      <c r="V67" s="182">
        <v>2944</v>
      </c>
      <c r="W67" s="182">
        <v>0</v>
      </c>
      <c r="X67" s="182">
        <f t="shared" si="0"/>
        <v>2944</v>
      </c>
    </row>
    <row r="68" spans="1:25" x14ac:dyDescent="0.2">
      <c r="A68" s="196"/>
      <c r="B68" s="179"/>
      <c r="C68" s="195" t="s">
        <v>575</v>
      </c>
      <c r="D68" s="181" t="s">
        <v>577</v>
      </c>
      <c r="E68" s="182">
        <v>425</v>
      </c>
      <c r="F68" s="182">
        <v>0</v>
      </c>
      <c r="G68" s="182">
        <v>0</v>
      </c>
      <c r="H68" s="182"/>
      <c r="I68" s="182">
        <v>0</v>
      </c>
      <c r="J68" s="182">
        <v>0</v>
      </c>
      <c r="K68" s="182">
        <v>0</v>
      </c>
      <c r="L68" s="182"/>
      <c r="M68" s="182">
        <v>0</v>
      </c>
      <c r="N68" s="182">
        <v>425</v>
      </c>
      <c r="O68" s="182">
        <v>100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525</v>
      </c>
      <c r="W68" s="182">
        <v>0</v>
      </c>
      <c r="X68" s="182">
        <f t="shared" si="0"/>
        <v>525</v>
      </c>
    </row>
    <row r="69" spans="1:25" ht="18" customHeight="1" x14ac:dyDescent="0.2">
      <c r="A69" s="189">
        <v>57</v>
      </c>
      <c r="B69" s="190" t="s">
        <v>116</v>
      </c>
      <c r="C69" s="191" t="s">
        <v>578</v>
      </c>
      <c r="D69" s="192" t="s">
        <v>574</v>
      </c>
      <c r="E69" s="193">
        <v>575</v>
      </c>
      <c r="F69" s="193">
        <v>3</v>
      </c>
      <c r="G69" s="193">
        <v>0</v>
      </c>
      <c r="H69" s="193">
        <v>3</v>
      </c>
      <c r="I69" s="193">
        <v>0</v>
      </c>
      <c r="J69" s="193">
        <v>0</v>
      </c>
      <c r="K69" s="193">
        <v>17</v>
      </c>
      <c r="L69" s="193">
        <v>0</v>
      </c>
      <c r="M69" s="193">
        <v>0</v>
      </c>
      <c r="N69" s="193">
        <v>555</v>
      </c>
      <c r="O69" s="193">
        <v>62</v>
      </c>
      <c r="P69" s="193">
        <v>0</v>
      </c>
      <c r="Q69" s="193">
        <v>0</v>
      </c>
      <c r="R69" s="193">
        <v>0</v>
      </c>
      <c r="S69" s="193">
        <v>0</v>
      </c>
      <c r="T69" s="193">
        <v>0</v>
      </c>
      <c r="U69" s="193">
        <v>0</v>
      </c>
      <c r="V69" s="193">
        <v>637</v>
      </c>
      <c r="W69" s="193">
        <v>0</v>
      </c>
      <c r="X69" s="193">
        <f>SUM(X70:X71)</f>
        <v>637</v>
      </c>
    </row>
    <row r="70" spans="1:25" x14ac:dyDescent="0.2">
      <c r="A70" s="196"/>
      <c r="B70" s="179"/>
      <c r="C70" s="195" t="s">
        <v>575</v>
      </c>
      <c r="D70" s="181" t="s">
        <v>568</v>
      </c>
      <c r="E70" s="182">
        <v>375</v>
      </c>
      <c r="F70" s="182">
        <v>3</v>
      </c>
      <c r="G70" s="182">
        <v>0</v>
      </c>
      <c r="H70" s="182">
        <v>3</v>
      </c>
      <c r="I70" s="182">
        <v>0</v>
      </c>
      <c r="J70" s="182">
        <v>0</v>
      </c>
      <c r="K70" s="182">
        <v>17</v>
      </c>
      <c r="L70" s="182"/>
      <c r="M70" s="182">
        <v>0</v>
      </c>
      <c r="N70" s="182">
        <v>355</v>
      </c>
      <c r="O70" s="182"/>
      <c r="P70" s="182"/>
      <c r="Q70" s="182"/>
      <c r="R70" s="182"/>
      <c r="S70" s="182"/>
      <c r="T70" s="182"/>
      <c r="U70" s="182"/>
      <c r="V70" s="182">
        <v>375</v>
      </c>
      <c r="W70" s="182">
        <v>0</v>
      </c>
      <c r="X70" s="182">
        <f t="shared" si="0"/>
        <v>375</v>
      </c>
    </row>
    <row r="71" spans="1:25" x14ac:dyDescent="0.2">
      <c r="A71" s="196"/>
      <c r="B71" s="179"/>
      <c r="C71" s="195" t="s">
        <v>575</v>
      </c>
      <c r="D71" s="181" t="s">
        <v>577</v>
      </c>
      <c r="E71" s="182">
        <v>200</v>
      </c>
      <c r="F71" s="182">
        <v>0</v>
      </c>
      <c r="G71" s="182">
        <v>0</v>
      </c>
      <c r="H71" s="182"/>
      <c r="I71" s="182">
        <v>0</v>
      </c>
      <c r="J71" s="182">
        <v>0</v>
      </c>
      <c r="K71" s="182">
        <v>0</v>
      </c>
      <c r="L71" s="182"/>
      <c r="M71" s="182">
        <v>0</v>
      </c>
      <c r="N71" s="182">
        <v>200</v>
      </c>
      <c r="O71" s="182">
        <v>62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262</v>
      </c>
      <c r="W71" s="182">
        <v>0</v>
      </c>
      <c r="X71" s="182">
        <f>V71+W71</f>
        <v>262</v>
      </c>
    </row>
    <row r="72" spans="1:25" ht="18" customHeight="1" x14ac:dyDescent="0.2">
      <c r="A72" s="189">
        <v>58</v>
      </c>
      <c r="B72" s="190" t="s">
        <v>102</v>
      </c>
      <c r="C72" s="191" t="s">
        <v>103</v>
      </c>
      <c r="D72" s="192" t="s">
        <v>574</v>
      </c>
      <c r="E72" s="193">
        <v>10445</v>
      </c>
      <c r="F72" s="193">
        <v>21</v>
      </c>
      <c r="G72" s="193">
        <v>0</v>
      </c>
      <c r="H72" s="193">
        <v>21</v>
      </c>
      <c r="I72" s="193">
        <v>0</v>
      </c>
      <c r="J72" s="193">
        <v>0</v>
      </c>
      <c r="K72" s="193">
        <v>0</v>
      </c>
      <c r="L72" s="193">
        <v>0</v>
      </c>
      <c r="M72" s="193">
        <v>0</v>
      </c>
      <c r="N72" s="193">
        <v>10424</v>
      </c>
      <c r="O72" s="193">
        <v>130</v>
      </c>
      <c r="P72" s="193">
        <v>0</v>
      </c>
      <c r="Q72" s="193">
        <v>0</v>
      </c>
      <c r="R72" s="193">
        <v>0</v>
      </c>
      <c r="S72" s="193">
        <v>0</v>
      </c>
      <c r="T72" s="193">
        <v>0</v>
      </c>
      <c r="U72" s="193">
        <v>0</v>
      </c>
      <c r="V72" s="193">
        <v>10575</v>
      </c>
      <c r="W72" s="193">
        <v>0</v>
      </c>
      <c r="X72" s="193">
        <f>SUM(X73:X74)</f>
        <v>10575</v>
      </c>
    </row>
    <row r="73" spans="1:25" x14ac:dyDescent="0.2">
      <c r="A73" s="196"/>
      <c r="B73" s="179"/>
      <c r="C73" s="195" t="s">
        <v>575</v>
      </c>
      <c r="D73" s="181" t="s">
        <v>568</v>
      </c>
      <c r="E73" s="182">
        <v>8694</v>
      </c>
      <c r="F73" s="182">
        <v>21</v>
      </c>
      <c r="G73" s="182">
        <v>0</v>
      </c>
      <c r="H73" s="182">
        <v>21</v>
      </c>
      <c r="I73" s="182">
        <v>0</v>
      </c>
      <c r="J73" s="182">
        <v>0</v>
      </c>
      <c r="K73" s="182">
        <v>0</v>
      </c>
      <c r="L73" s="182"/>
      <c r="M73" s="182">
        <v>0</v>
      </c>
      <c r="N73" s="182">
        <v>8673</v>
      </c>
      <c r="O73" s="182"/>
      <c r="P73" s="182"/>
      <c r="Q73" s="182"/>
      <c r="R73" s="182"/>
      <c r="S73" s="182"/>
      <c r="T73" s="182"/>
      <c r="U73" s="182"/>
      <c r="V73" s="182">
        <v>8694</v>
      </c>
      <c r="W73" s="182">
        <v>0</v>
      </c>
      <c r="X73" s="182">
        <f>V73+W73</f>
        <v>8694</v>
      </c>
    </row>
    <row r="74" spans="1:25" x14ac:dyDescent="0.2">
      <c r="A74" s="196"/>
      <c r="B74" s="179"/>
      <c r="C74" s="195" t="s">
        <v>575</v>
      </c>
      <c r="D74" s="181" t="s">
        <v>577</v>
      </c>
      <c r="E74" s="182">
        <v>1751</v>
      </c>
      <c r="F74" s="182">
        <v>0</v>
      </c>
      <c r="G74" s="182">
        <v>0</v>
      </c>
      <c r="H74" s="182"/>
      <c r="I74" s="182">
        <v>0</v>
      </c>
      <c r="J74" s="182">
        <v>0</v>
      </c>
      <c r="K74" s="182">
        <v>0</v>
      </c>
      <c r="L74" s="182"/>
      <c r="M74" s="182">
        <v>0</v>
      </c>
      <c r="N74" s="182">
        <v>1751</v>
      </c>
      <c r="O74" s="182">
        <v>130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2">
        <v>1881</v>
      </c>
      <c r="W74" s="182">
        <v>0</v>
      </c>
      <c r="X74" s="182">
        <f>V74+W74</f>
        <v>1881</v>
      </c>
    </row>
    <row r="75" spans="1:25" s="194" customFormat="1" ht="18" customHeight="1" x14ac:dyDescent="0.2">
      <c r="A75" s="189">
        <v>59</v>
      </c>
      <c r="B75" s="197" t="s">
        <v>26</v>
      </c>
      <c r="C75" s="191" t="s">
        <v>579</v>
      </c>
      <c r="D75" s="192" t="s">
        <v>577</v>
      </c>
      <c r="E75" s="193">
        <v>11236</v>
      </c>
      <c r="F75" s="193">
        <v>1</v>
      </c>
      <c r="G75" s="193">
        <v>0</v>
      </c>
      <c r="H75" s="193">
        <v>1</v>
      </c>
      <c r="I75" s="193">
        <v>0</v>
      </c>
      <c r="J75" s="193">
        <v>11</v>
      </c>
      <c r="K75" s="193">
        <v>89</v>
      </c>
      <c r="L75" s="193">
        <v>0</v>
      </c>
      <c r="M75" s="193">
        <v>0</v>
      </c>
      <c r="N75" s="193">
        <v>11135</v>
      </c>
      <c r="O75" s="193">
        <v>124</v>
      </c>
      <c r="P75" s="193">
        <v>0</v>
      </c>
      <c r="Q75" s="193">
        <v>4</v>
      </c>
      <c r="R75" s="193">
        <v>0</v>
      </c>
      <c r="S75" s="193">
        <v>0</v>
      </c>
      <c r="T75" s="193">
        <v>0</v>
      </c>
      <c r="U75" s="193">
        <v>0</v>
      </c>
      <c r="V75" s="193">
        <v>11360</v>
      </c>
      <c r="W75" s="214">
        <v>454</v>
      </c>
      <c r="X75" s="193">
        <f>SUM(X76:X77)</f>
        <v>11814</v>
      </c>
      <c r="Y75" s="198"/>
    </row>
    <row r="76" spans="1:25" x14ac:dyDescent="0.2">
      <c r="A76" s="196"/>
      <c r="B76" s="178"/>
      <c r="C76" s="195" t="s">
        <v>575</v>
      </c>
      <c r="D76" s="181" t="s">
        <v>567</v>
      </c>
      <c r="E76" s="182">
        <v>9279</v>
      </c>
      <c r="F76" s="182">
        <v>1</v>
      </c>
      <c r="G76" s="182">
        <v>0</v>
      </c>
      <c r="H76" s="182">
        <v>1</v>
      </c>
      <c r="I76" s="182">
        <v>0</v>
      </c>
      <c r="J76" s="182">
        <v>11</v>
      </c>
      <c r="K76" s="182">
        <v>0</v>
      </c>
      <c r="L76" s="182"/>
      <c r="M76" s="182">
        <v>0</v>
      </c>
      <c r="N76" s="182">
        <v>9267</v>
      </c>
      <c r="O76" s="181"/>
      <c r="P76" s="181"/>
      <c r="Q76" s="181"/>
      <c r="R76" s="181"/>
      <c r="S76" s="181"/>
      <c r="T76" s="181"/>
      <c r="U76" s="181"/>
      <c r="V76" s="182">
        <v>9279</v>
      </c>
      <c r="W76" s="182">
        <v>454</v>
      </c>
      <c r="X76" s="182">
        <f>V76+W76</f>
        <v>9733</v>
      </c>
    </row>
    <row r="77" spans="1:25" x14ac:dyDescent="0.2">
      <c r="A77" s="196"/>
      <c r="B77" s="178"/>
      <c r="C77" s="195" t="s">
        <v>575</v>
      </c>
      <c r="D77" s="181" t="s">
        <v>577</v>
      </c>
      <c r="E77" s="182">
        <v>1957</v>
      </c>
      <c r="F77" s="182">
        <v>0</v>
      </c>
      <c r="G77" s="182">
        <v>0</v>
      </c>
      <c r="H77" s="181"/>
      <c r="I77" s="182">
        <v>0</v>
      </c>
      <c r="J77" s="182">
        <v>0</v>
      </c>
      <c r="K77" s="182">
        <v>89</v>
      </c>
      <c r="L77" s="182"/>
      <c r="M77" s="182">
        <v>0</v>
      </c>
      <c r="N77" s="182">
        <v>1868</v>
      </c>
      <c r="O77" s="182">
        <v>124</v>
      </c>
      <c r="P77" s="182">
        <v>0</v>
      </c>
      <c r="Q77" s="182">
        <v>4</v>
      </c>
      <c r="R77" s="182">
        <v>0</v>
      </c>
      <c r="S77" s="182">
        <v>0</v>
      </c>
      <c r="T77" s="182">
        <v>0</v>
      </c>
      <c r="U77" s="182">
        <v>0</v>
      </c>
      <c r="V77" s="182">
        <v>2081</v>
      </c>
      <c r="W77" s="182">
        <v>0</v>
      </c>
      <c r="X77" s="182">
        <f>V77+W77</f>
        <v>2081</v>
      </c>
    </row>
    <row r="78" spans="1:25" s="194" customFormat="1" ht="18" customHeight="1" x14ac:dyDescent="0.2">
      <c r="A78" s="189">
        <v>60</v>
      </c>
      <c r="B78" s="197" t="s">
        <v>32</v>
      </c>
      <c r="C78" s="191" t="s">
        <v>33</v>
      </c>
      <c r="D78" s="192" t="s">
        <v>577</v>
      </c>
      <c r="E78" s="193">
        <v>5016</v>
      </c>
      <c r="F78" s="193">
        <v>94</v>
      </c>
      <c r="G78" s="193">
        <v>0</v>
      </c>
      <c r="H78" s="193">
        <v>94</v>
      </c>
      <c r="I78" s="193">
        <v>0</v>
      </c>
      <c r="J78" s="193">
        <v>2</v>
      </c>
      <c r="K78" s="193">
        <v>252</v>
      </c>
      <c r="L78" s="193">
        <v>1</v>
      </c>
      <c r="M78" s="193">
        <v>0</v>
      </c>
      <c r="N78" s="193">
        <v>4667</v>
      </c>
      <c r="O78" s="193">
        <v>46</v>
      </c>
      <c r="P78" s="193">
        <v>0</v>
      </c>
      <c r="Q78" s="193">
        <v>4</v>
      </c>
      <c r="R78" s="193">
        <v>0</v>
      </c>
      <c r="S78" s="193">
        <v>0</v>
      </c>
      <c r="T78" s="193">
        <v>0</v>
      </c>
      <c r="U78" s="193">
        <v>0</v>
      </c>
      <c r="V78" s="193">
        <v>5062</v>
      </c>
      <c r="W78" s="193">
        <v>411</v>
      </c>
      <c r="X78" s="193">
        <f>SUM(X79:X80)</f>
        <v>5473</v>
      </c>
    </row>
    <row r="79" spans="1:25" x14ac:dyDescent="0.2">
      <c r="A79" s="196"/>
      <c r="B79" s="178"/>
      <c r="C79" s="195" t="s">
        <v>575</v>
      </c>
      <c r="D79" s="181" t="s">
        <v>567</v>
      </c>
      <c r="E79" s="182">
        <v>3494</v>
      </c>
      <c r="F79" s="182">
        <v>94</v>
      </c>
      <c r="G79" s="182">
        <v>0</v>
      </c>
      <c r="H79" s="182">
        <v>94</v>
      </c>
      <c r="I79" s="182">
        <v>0</v>
      </c>
      <c r="J79" s="182">
        <v>2</v>
      </c>
      <c r="K79" s="182">
        <v>0</v>
      </c>
      <c r="L79" s="182"/>
      <c r="M79" s="182">
        <v>0</v>
      </c>
      <c r="N79" s="182">
        <v>3398</v>
      </c>
      <c r="O79" s="181"/>
      <c r="P79" s="181"/>
      <c r="Q79" s="181"/>
      <c r="R79" s="181"/>
      <c r="S79" s="181"/>
      <c r="T79" s="181"/>
      <c r="U79" s="181"/>
      <c r="V79" s="182">
        <v>3494</v>
      </c>
      <c r="W79" s="182">
        <v>411</v>
      </c>
      <c r="X79" s="182">
        <f>V79+W79</f>
        <v>3905</v>
      </c>
    </row>
    <row r="80" spans="1:25" x14ac:dyDescent="0.2">
      <c r="A80" s="196"/>
      <c r="B80" s="178"/>
      <c r="C80" s="195" t="s">
        <v>575</v>
      </c>
      <c r="D80" s="196" t="s">
        <v>577</v>
      </c>
      <c r="E80" s="199">
        <v>1522</v>
      </c>
      <c r="F80" s="200">
        <v>0</v>
      </c>
      <c r="G80" s="199">
        <v>0</v>
      </c>
      <c r="H80" s="200"/>
      <c r="I80" s="199">
        <v>0</v>
      </c>
      <c r="J80" s="199">
        <v>0</v>
      </c>
      <c r="K80" s="199">
        <v>252</v>
      </c>
      <c r="L80" s="199">
        <v>1</v>
      </c>
      <c r="M80" s="199">
        <v>0</v>
      </c>
      <c r="N80" s="199">
        <v>1269</v>
      </c>
      <c r="O80" s="201">
        <v>46</v>
      </c>
      <c r="P80" s="201">
        <v>0</v>
      </c>
      <c r="Q80" s="201">
        <v>4</v>
      </c>
      <c r="R80" s="201">
        <v>0</v>
      </c>
      <c r="S80" s="201">
        <v>0</v>
      </c>
      <c r="T80" s="201">
        <v>0</v>
      </c>
      <c r="U80" s="201">
        <v>0</v>
      </c>
      <c r="V80" s="182">
        <v>1568</v>
      </c>
      <c r="W80" s="182">
        <v>0</v>
      </c>
      <c r="X80" s="182">
        <f>V80+W80</f>
        <v>1568</v>
      </c>
    </row>
    <row r="81" spans="1:24" s="194" customFormat="1" ht="18" customHeight="1" x14ac:dyDescent="0.2">
      <c r="A81" s="189">
        <v>61</v>
      </c>
      <c r="B81" s="190" t="s">
        <v>20</v>
      </c>
      <c r="C81" s="191" t="s">
        <v>21</v>
      </c>
      <c r="D81" s="192" t="s">
        <v>577</v>
      </c>
      <c r="E81" s="193">
        <v>17655</v>
      </c>
      <c r="F81" s="193">
        <v>59</v>
      </c>
      <c r="G81" s="193">
        <v>0</v>
      </c>
      <c r="H81" s="193">
        <v>59</v>
      </c>
      <c r="I81" s="193">
        <v>0</v>
      </c>
      <c r="J81" s="193">
        <v>2</v>
      </c>
      <c r="K81" s="193">
        <v>231</v>
      </c>
      <c r="L81" s="193">
        <v>0</v>
      </c>
      <c r="M81" s="193">
        <v>0</v>
      </c>
      <c r="N81" s="193">
        <v>17363</v>
      </c>
      <c r="O81" s="193">
        <v>36</v>
      </c>
      <c r="P81" s="193">
        <v>0</v>
      </c>
      <c r="Q81" s="193">
        <v>4</v>
      </c>
      <c r="R81" s="193">
        <v>0</v>
      </c>
      <c r="S81" s="193">
        <v>0</v>
      </c>
      <c r="T81" s="193">
        <v>0</v>
      </c>
      <c r="U81" s="193">
        <v>0</v>
      </c>
      <c r="V81" s="193">
        <v>17691</v>
      </c>
      <c r="W81" s="193">
        <v>415</v>
      </c>
      <c r="X81" s="193">
        <f>SUM(X82:X83)</f>
        <v>18106</v>
      </c>
    </row>
    <row r="82" spans="1:24" x14ac:dyDescent="0.2">
      <c r="A82" s="196"/>
      <c r="B82" s="178"/>
      <c r="C82" s="195" t="s">
        <v>575</v>
      </c>
      <c r="D82" s="181" t="s">
        <v>567</v>
      </c>
      <c r="E82" s="182">
        <v>14993</v>
      </c>
      <c r="F82" s="182">
        <v>59</v>
      </c>
      <c r="G82" s="182">
        <v>0</v>
      </c>
      <c r="H82" s="182">
        <v>59</v>
      </c>
      <c r="I82" s="182">
        <v>0</v>
      </c>
      <c r="J82" s="182">
        <v>2</v>
      </c>
      <c r="K82" s="182">
        <v>0</v>
      </c>
      <c r="L82" s="182"/>
      <c r="M82" s="182">
        <v>0</v>
      </c>
      <c r="N82" s="182">
        <v>14932</v>
      </c>
      <c r="O82" s="181"/>
      <c r="P82" s="181"/>
      <c r="Q82" s="181"/>
      <c r="R82" s="181"/>
      <c r="S82" s="181"/>
      <c r="T82" s="181"/>
      <c r="U82" s="181"/>
      <c r="V82" s="182">
        <v>14993</v>
      </c>
      <c r="W82" s="182">
        <v>415</v>
      </c>
      <c r="X82" s="182">
        <f>V82+W82</f>
        <v>15408</v>
      </c>
    </row>
    <row r="83" spans="1:24" x14ac:dyDescent="0.2">
      <c r="A83" s="196"/>
      <c r="B83" s="178"/>
      <c r="C83" s="195" t="s">
        <v>575</v>
      </c>
      <c r="D83" s="200" t="s">
        <v>580</v>
      </c>
      <c r="E83" s="199">
        <v>2662</v>
      </c>
      <c r="F83" s="200">
        <v>0</v>
      </c>
      <c r="G83" s="199">
        <v>0</v>
      </c>
      <c r="H83" s="200"/>
      <c r="I83" s="199">
        <v>0</v>
      </c>
      <c r="J83" s="199">
        <v>0</v>
      </c>
      <c r="K83" s="199">
        <v>231</v>
      </c>
      <c r="L83" s="199"/>
      <c r="M83" s="199">
        <v>0</v>
      </c>
      <c r="N83" s="199">
        <v>2431</v>
      </c>
      <c r="O83" s="201">
        <v>36</v>
      </c>
      <c r="P83" s="201">
        <v>0</v>
      </c>
      <c r="Q83" s="201">
        <v>4</v>
      </c>
      <c r="R83" s="201">
        <v>0</v>
      </c>
      <c r="S83" s="201">
        <v>0</v>
      </c>
      <c r="T83" s="201">
        <v>0</v>
      </c>
      <c r="U83" s="201">
        <v>0</v>
      </c>
      <c r="V83" s="182">
        <v>2698</v>
      </c>
      <c r="W83" s="182">
        <v>0</v>
      </c>
      <c r="X83" s="182">
        <f>V83+W83</f>
        <v>2698</v>
      </c>
    </row>
    <row r="84" spans="1:24" s="194" customFormat="1" ht="18" customHeight="1" x14ac:dyDescent="0.2">
      <c r="A84" s="189">
        <v>62</v>
      </c>
      <c r="B84" s="190" t="s">
        <v>28</v>
      </c>
      <c r="C84" s="191" t="s">
        <v>581</v>
      </c>
      <c r="D84" s="192" t="s">
        <v>577</v>
      </c>
      <c r="E84" s="193">
        <v>15202</v>
      </c>
      <c r="F84" s="193">
        <v>1</v>
      </c>
      <c r="G84" s="193">
        <v>0</v>
      </c>
      <c r="H84" s="193">
        <v>1</v>
      </c>
      <c r="I84" s="193">
        <v>0</v>
      </c>
      <c r="J84" s="193">
        <v>0</v>
      </c>
      <c r="K84" s="193">
        <v>0</v>
      </c>
      <c r="L84" s="193">
        <v>0</v>
      </c>
      <c r="M84" s="193">
        <v>0</v>
      </c>
      <c r="N84" s="193">
        <v>15201</v>
      </c>
      <c r="O84" s="193">
        <v>10</v>
      </c>
      <c r="P84" s="193">
        <v>0</v>
      </c>
      <c r="Q84" s="193">
        <v>0</v>
      </c>
      <c r="R84" s="193">
        <v>0</v>
      </c>
      <c r="S84" s="193">
        <v>0</v>
      </c>
      <c r="T84" s="193">
        <v>0</v>
      </c>
      <c r="U84" s="193">
        <v>0</v>
      </c>
      <c r="V84" s="193">
        <v>15212</v>
      </c>
      <c r="W84" s="193">
        <v>723</v>
      </c>
      <c r="X84" s="193">
        <f>SUM(X85:X86)</f>
        <v>15935</v>
      </c>
    </row>
    <row r="85" spans="1:24" x14ac:dyDescent="0.2">
      <c r="A85" s="196"/>
      <c r="B85" s="178"/>
      <c r="C85" s="195" t="s">
        <v>575</v>
      </c>
      <c r="D85" s="181" t="s">
        <v>568</v>
      </c>
      <c r="E85" s="182">
        <v>14243</v>
      </c>
      <c r="F85" s="182">
        <v>1</v>
      </c>
      <c r="G85" s="182">
        <v>0</v>
      </c>
      <c r="H85" s="182">
        <v>1</v>
      </c>
      <c r="I85" s="182">
        <v>0</v>
      </c>
      <c r="J85" s="182">
        <v>0</v>
      </c>
      <c r="K85" s="182">
        <v>0</v>
      </c>
      <c r="L85" s="182"/>
      <c r="M85" s="182">
        <v>0</v>
      </c>
      <c r="N85" s="182">
        <v>14242</v>
      </c>
      <c r="O85" s="181"/>
      <c r="P85" s="181"/>
      <c r="Q85" s="181"/>
      <c r="R85" s="181"/>
      <c r="S85" s="181"/>
      <c r="T85" s="181"/>
      <c r="U85" s="181"/>
      <c r="V85" s="182">
        <v>14243</v>
      </c>
      <c r="W85" s="182">
        <v>723</v>
      </c>
      <c r="X85" s="182">
        <f>V85+W85</f>
        <v>14966</v>
      </c>
    </row>
    <row r="86" spans="1:24" x14ac:dyDescent="0.2">
      <c r="A86" s="196"/>
      <c r="B86" s="178"/>
      <c r="C86" s="195" t="s">
        <v>575</v>
      </c>
      <c r="D86" s="181" t="s">
        <v>577</v>
      </c>
      <c r="E86" s="199">
        <v>959</v>
      </c>
      <c r="F86" s="199">
        <v>0</v>
      </c>
      <c r="G86" s="199">
        <v>0</v>
      </c>
      <c r="H86" s="199"/>
      <c r="I86" s="199">
        <v>0</v>
      </c>
      <c r="J86" s="199">
        <v>0</v>
      </c>
      <c r="K86" s="199">
        <v>0</v>
      </c>
      <c r="L86" s="199"/>
      <c r="M86" s="199">
        <v>0</v>
      </c>
      <c r="N86" s="199">
        <v>959</v>
      </c>
      <c r="O86" s="201">
        <v>10</v>
      </c>
      <c r="P86" s="201">
        <v>0</v>
      </c>
      <c r="Q86" s="201">
        <v>0</v>
      </c>
      <c r="R86" s="201">
        <v>0</v>
      </c>
      <c r="S86" s="201">
        <v>0</v>
      </c>
      <c r="T86" s="201">
        <v>0</v>
      </c>
      <c r="U86" s="201">
        <v>0</v>
      </c>
      <c r="V86" s="182">
        <v>969</v>
      </c>
      <c r="W86" s="182">
        <v>0</v>
      </c>
      <c r="X86" s="182">
        <f>V86+W86</f>
        <v>969</v>
      </c>
    </row>
    <row r="87" spans="1:24" s="194" customFormat="1" ht="18" customHeight="1" x14ac:dyDescent="0.2">
      <c r="A87" s="189">
        <v>63</v>
      </c>
      <c r="B87" s="190" t="s">
        <v>18</v>
      </c>
      <c r="C87" s="191" t="s">
        <v>582</v>
      </c>
      <c r="D87" s="192" t="s">
        <v>577</v>
      </c>
      <c r="E87" s="193">
        <v>22849</v>
      </c>
      <c r="F87" s="193">
        <v>30</v>
      </c>
      <c r="G87" s="193">
        <v>0</v>
      </c>
      <c r="H87" s="193">
        <v>30</v>
      </c>
      <c r="I87" s="193">
        <v>0</v>
      </c>
      <c r="J87" s="193">
        <v>20</v>
      </c>
      <c r="K87" s="193">
        <v>445</v>
      </c>
      <c r="L87" s="193">
        <v>0</v>
      </c>
      <c r="M87" s="193">
        <v>0</v>
      </c>
      <c r="N87" s="193">
        <v>22354</v>
      </c>
      <c r="O87" s="193">
        <v>4</v>
      </c>
      <c r="P87" s="193">
        <v>0</v>
      </c>
      <c r="Q87" s="193">
        <v>4</v>
      </c>
      <c r="R87" s="193">
        <v>0</v>
      </c>
      <c r="S87" s="193">
        <v>0</v>
      </c>
      <c r="T87" s="193">
        <v>0</v>
      </c>
      <c r="U87" s="193">
        <v>0</v>
      </c>
      <c r="V87" s="193">
        <v>22853</v>
      </c>
      <c r="W87" s="193">
        <v>676</v>
      </c>
      <c r="X87" s="193">
        <f>SUM(X88:X89)</f>
        <v>23529</v>
      </c>
    </row>
    <row r="88" spans="1:24" x14ac:dyDescent="0.2">
      <c r="A88" s="196"/>
      <c r="B88" s="178"/>
      <c r="C88" s="195" t="s">
        <v>575</v>
      </c>
      <c r="D88" s="181" t="s">
        <v>568</v>
      </c>
      <c r="E88" s="182">
        <v>22256</v>
      </c>
      <c r="F88" s="182">
        <v>30</v>
      </c>
      <c r="G88" s="182">
        <v>0</v>
      </c>
      <c r="H88" s="182">
        <v>30</v>
      </c>
      <c r="I88" s="182">
        <v>0</v>
      </c>
      <c r="J88" s="182">
        <v>20</v>
      </c>
      <c r="K88" s="182">
        <v>0</v>
      </c>
      <c r="L88" s="182"/>
      <c r="M88" s="182">
        <v>0</v>
      </c>
      <c r="N88" s="182">
        <v>22206</v>
      </c>
      <c r="O88" s="181"/>
      <c r="P88" s="181"/>
      <c r="Q88" s="181"/>
      <c r="R88" s="181"/>
      <c r="S88" s="181"/>
      <c r="T88" s="181"/>
      <c r="U88" s="181"/>
      <c r="V88" s="182">
        <v>22256</v>
      </c>
      <c r="W88" s="182">
        <v>676</v>
      </c>
      <c r="X88" s="182">
        <f>V88+W88</f>
        <v>22932</v>
      </c>
    </row>
    <row r="89" spans="1:24" x14ac:dyDescent="0.2">
      <c r="A89" s="196"/>
      <c r="B89" s="178"/>
      <c r="C89" s="195" t="s">
        <v>575</v>
      </c>
      <c r="D89" s="181" t="s">
        <v>577</v>
      </c>
      <c r="E89" s="182">
        <v>593</v>
      </c>
      <c r="F89" s="182">
        <v>0</v>
      </c>
      <c r="G89" s="182">
        <v>0</v>
      </c>
      <c r="H89" s="182"/>
      <c r="I89" s="182">
        <v>0</v>
      </c>
      <c r="J89" s="182">
        <v>0</v>
      </c>
      <c r="K89" s="182">
        <v>445</v>
      </c>
      <c r="L89" s="182"/>
      <c r="M89" s="182">
        <v>0</v>
      </c>
      <c r="N89" s="182">
        <v>148</v>
      </c>
      <c r="O89" s="202">
        <v>4</v>
      </c>
      <c r="P89" s="202">
        <v>0</v>
      </c>
      <c r="Q89" s="202">
        <v>4</v>
      </c>
      <c r="R89" s="202">
        <v>0</v>
      </c>
      <c r="S89" s="202">
        <v>0</v>
      </c>
      <c r="T89" s="202">
        <v>0</v>
      </c>
      <c r="U89" s="202">
        <v>0</v>
      </c>
      <c r="V89" s="182">
        <v>597</v>
      </c>
      <c r="W89" s="182">
        <v>0</v>
      </c>
      <c r="X89" s="182">
        <f>V89+W89</f>
        <v>597</v>
      </c>
    </row>
    <row r="90" spans="1:24" s="194" customFormat="1" ht="18" customHeight="1" x14ac:dyDescent="0.2">
      <c r="A90" s="189">
        <v>64</v>
      </c>
      <c r="B90" s="203" t="s">
        <v>98</v>
      </c>
      <c r="C90" s="191" t="s">
        <v>583</v>
      </c>
      <c r="D90" s="192" t="s">
        <v>577</v>
      </c>
      <c r="E90" s="193">
        <v>19145</v>
      </c>
      <c r="F90" s="193">
        <v>24</v>
      </c>
      <c r="G90" s="193">
        <v>0</v>
      </c>
      <c r="H90" s="193">
        <v>24</v>
      </c>
      <c r="I90" s="193">
        <v>0</v>
      </c>
      <c r="J90" s="193">
        <v>0</v>
      </c>
      <c r="K90" s="193">
        <v>429</v>
      </c>
      <c r="L90" s="193">
        <v>0</v>
      </c>
      <c r="M90" s="193">
        <v>5</v>
      </c>
      <c r="N90" s="193">
        <v>18687</v>
      </c>
      <c r="O90" s="193">
        <v>152</v>
      </c>
      <c r="P90" s="193">
        <v>0</v>
      </c>
      <c r="Q90" s="193">
        <v>3</v>
      </c>
      <c r="R90" s="193">
        <v>0</v>
      </c>
      <c r="S90" s="193">
        <v>0</v>
      </c>
      <c r="T90" s="193">
        <v>0</v>
      </c>
      <c r="U90" s="193">
        <v>0</v>
      </c>
      <c r="V90" s="193">
        <v>19297</v>
      </c>
      <c r="W90" s="193">
        <v>0</v>
      </c>
      <c r="X90" s="193">
        <f>X91+X92</f>
        <v>19297</v>
      </c>
    </row>
    <row r="91" spans="1:24" x14ac:dyDescent="0.2">
      <c r="A91" s="196"/>
      <c r="B91" s="178"/>
      <c r="C91" s="195" t="s">
        <v>575</v>
      </c>
      <c r="D91" s="181" t="s">
        <v>567</v>
      </c>
      <c r="E91" s="182">
        <v>16135</v>
      </c>
      <c r="F91" s="182">
        <v>24</v>
      </c>
      <c r="G91" s="182">
        <v>0</v>
      </c>
      <c r="H91" s="182">
        <v>24</v>
      </c>
      <c r="I91" s="182">
        <v>0</v>
      </c>
      <c r="J91" s="182">
        <v>0</v>
      </c>
      <c r="K91" s="182">
        <v>0</v>
      </c>
      <c r="L91" s="182"/>
      <c r="M91" s="182">
        <v>0</v>
      </c>
      <c r="N91" s="182">
        <v>16111</v>
      </c>
      <c r="O91" s="181"/>
      <c r="P91" s="181"/>
      <c r="Q91" s="181"/>
      <c r="R91" s="181"/>
      <c r="S91" s="181"/>
      <c r="T91" s="181"/>
      <c r="U91" s="181"/>
      <c r="V91" s="182">
        <v>16135</v>
      </c>
      <c r="W91" s="182">
        <v>0</v>
      </c>
      <c r="X91" s="182">
        <f>V91+W91</f>
        <v>16135</v>
      </c>
    </row>
    <row r="92" spans="1:24" x14ac:dyDescent="0.2">
      <c r="A92" s="196"/>
      <c r="B92" s="178"/>
      <c r="C92" s="195" t="s">
        <v>575</v>
      </c>
      <c r="D92" s="196" t="s">
        <v>577</v>
      </c>
      <c r="E92" s="199">
        <v>3010</v>
      </c>
      <c r="F92" s="199">
        <v>0</v>
      </c>
      <c r="G92" s="199">
        <v>0</v>
      </c>
      <c r="H92" s="199"/>
      <c r="I92" s="199">
        <v>0</v>
      </c>
      <c r="J92" s="199">
        <v>0</v>
      </c>
      <c r="K92" s="199">
        <v>429</v>
      </c>
      <c r="L92" s="199"/>
      <c r="M92" s="199">
        <v>5</v>
      </c>
      <c r="N92" s="199">
        <v>2576</v>
      </c>
      <c r="O92" s="202">
        <v>152</v>
      </c>
      <c r="P92" s="202">
        <v>0</v>
      </c>
      <c r="Q92" s="202">
        <v>3</v>
      </c>
      <c r="R92" s="202">
        <v>0</v>
      </c>
      <c r="S92" s="202">
        <v>0</v>
      </c>
      <c r="T92" s="202">
        <v>0</v>
      </c>
      <c r="U92" s="202">
        <v>0</v>
      </c>
      <c r="V92" s="182">
        <v>3162</v>
      </c>
      <c r="W92" s="182">
        <v>0</v>
      </c>
      <c r="X92" s="182">
        <f>V92+W92</f>
        <v>3162</v>
      </c>
    </row>
    <row r="93" spans="1:24" s="194" customFormat="1" ht="18" customHeight="1" x14ac:dyDescent="0.2">
      <c r="A93" s="189">
        <v>65</v>
      </c>
      <c r="B93" s="203" t="s">
        <v>92</v>
      </c>
      <c r="C93" s="191" t="s">
        <v>584</v>
      </c>
      <c r="D93" s="192" t="s">
        <v>577</v>
      </c>
      <c r="E93" s="193">
        <v>45639</v>
      </c>
      <c r="F93" s="193">
        <v>970</v>
      </c>
      <c r="G93" s="193">
        <v>654</v>
      </c>
      <c r="H93" s="193">
        <v>316</v>
      </c>
      <c r="I93" s="193">
        <v>0</v>
      </c>
      <c r="J93" s="193">
        <v>0</v>
      </c>
      <c r="K93" s="193">
        <v>554</v>
      </c>
      <c r="L93" s="193">
        <v>0</v>
      </c>
      <c r="M93" s="193">
        <v>50</v>
      </c>
      <c r="N93" s="193">
        <v>44065</v>
      </c>
      <c r="O93" s="193">
        <v>819</v>
      </c>
      <c r="P93" s="193">
        <v>190</v>
      </c>
      <c r="Q93" s="193">
        <v>5</v>
      </c>
      <c r="R93" s="193">
        <v>0</v>
      </c>
      <c r="S93" s="193">
        <v>0</v>
      </c>
      <c r="T93" s="193">
        <v>105</v>
      </c>
      <c r="U93" s="193">
        <v>0</v>
      </c>
      <c r="V93" s="193">
        <v>46458</v>
      </c>
      <c r="W93" s="193">
        <v>1562</v>
      </c>
      <c r="X93" s="193">
        <f>X94+X95</f>
        <v>48020</v>
      </c>
    </row>
    <row r="94" spans="1:24" x14ac:dyDescent="0.2">
      <c r="A94" s="196"/>
      <c r="B94" s="178"/>
      <c r="C94" s="195" t="s">
        <v>575</v>
      </c>
      <c r="D94" s="181" t="s">
        <v>567</v>
      </c>
      <c r="E94" s="182">
        <v>34412</v>
      </c>
      <c r="F94" s="182">
        <v>244</v>
      </c>
      <c r="G94" s="182">
        <v>54</v>
      </c>
      <c r="H94" s="182">
        <v>190</v>
      </c>
      <c r="I94" s="182">
        <v>0</v>
      </c>
      <c r="J94" s="182">
        <v>0</v>
      </c>
      <c r="K94" s="182">
        <v>0</v>
      </c>
      <c r="L94" s="182"/>
      <c r="M94" s="182">
        <v>0</v>
      </c>
      <c r="N94" s="182">
        <v>34168</v>
      </c>
      <c r="O94" s="181"/>
      <c r="P94" s="181"/>
      <c r="Q94" s="181"/>
      <c r="R94" s="181"/>
      <c r="S94" s="181"/>
      <c r="T94" s="181"/>
      <c r="U94" s="181"/>
      <c r="V94" s="182">
        <v>34412</v>
      </c>
      <c r="W94" s="182">
        <v>1562</v>
      </c>
      <c r="X94" s="182">
        <f>V94+W94</f>
        <v>35974</v>
      </c>
    </row>
    <row r="95" spans="1:24" x14ac:dyDescent="0.2">
      <c r="A95" s="196"/>
      <c r="B95" s="178"/>
      <c r="C95" s="195" t="s">
        <v>575</v>
      </c>
      <c r="D95" s="196" t="s">
        <v>577</v>
      </c>
      <c r="E95" s="199">
        <v>11227</v>
      </c>
      <c r="F95" s="199">
        <v>726</v>
      </c>
      <c r="G95" s="199">
        <v>600</v>
      </c>
      <c r="H95" s="199">
        <v>126</v>
      </c>
      <c r="I95" s="199">
        <v>0</v>
      </c>
      <c r="J95" s="199">
        <v>0</v>
      </c>
      <c r="K95" s="199">
        <v>554</v>
      </c>
      <c r="L95" s="199"/>
      <c r="M95" s="199">
        <v>50</v>
      </c>
      <c r="N95" s="199">
        <v>9897</v>
      </c>
      <c r="O95" s="201">
        <v>819</v>
      </c>
      <c r="P95" s="201">
        <v>190</v>
      </c>
      <c r="Q95" s="201">
        <v>5</v>
      </c>
      <c r="R95" s="201">
        <v>0</v>
      </c>
      <c r="S95" s="201">
        <v>0</v>
      </c>
      <c r="T95" s="201">
        <v>105</v>
      </c>
      <c r="U95" s="201">
        <v>0</v>
      </c>
      <c r="V95" s="182">
        <v>12046</v>
      </c>
      <c r="W95" s="182">
        <v>0</v>
      </c>
      <c r="X95" s="182">
        <f>V95+W95</f>
        <v>12046</v>
      </c>
    </row>
    <row r="96" spans="1:24" s="194" customFormat="1" x14ac:dyDescent="0.2">
      <c r="A96" s="606"/>
      <c r="B96" s="610" t="s">
        <v>94</v>
      </c>
      <c r="C96" s="191" t="s">
        <v>799</v>
      </c>
      <c r="D96" s="606" t="s">
        <v>800</v>
      </c>
      <c r="E96" s="608">
        <v>1139</v>
      </c>
      <c r="F96" s="608"/>
      <c r="G96" s="608"/>
      <c r="H96" s="608"/>
      <c r="I96" s="608"/>
      <c r="J96" s="608"/>
      <c r="K96" s="608"/>
      <c r="L96" s="608"/>
      <c r="M96" s="608"/>
      <c r="N96" s="608">
        <v>1139</v>
      </c>
      <c r="O96" s="609"/>
      <c r="P96" s="609"/>
      <c r="Q96" s="609"/>
      <c r="R96" s="609"/>
      <c r="S96" s="609"/>
      <c r="T96" s="609"/>
      <c r="U96" s="609"/>
      <c r="V96" s="193">
        <v>1139</v>
      </c>
      <c r="W96" s="193">
        <v>240</v>
      </c>
      <c r="X96" s="193">
        <f>V96+W96</f>
        <v>1379</v>
      </c>
    </row>
    <row r="97" spans="1:25" s="194" customFormat="1" ht="18" customHeight="1" x14ac:dyDescent="0.2">
      <c r="A97" s="189">
        <v>66</v>
      </c>
      <c r="B97" s="203" t="s">
        <v>190</v>
      </c>
      <c r="C97" s="191" t="s">
        <v>431</v>
      </c>
      <c r="D97" s="192" t="s">
        <v>577</v>
      </c>
      <c r="E97" s="193">
        <v>11907</v>
      </c>
      <c r="F97" s="193">
        <v>1177</v>
      </c>
      <c r="G97" s="193">
        <v>1146</v>
      </c>
      <c r="H97" s="193">
        <v>31</v>
      </c>
      <c r="I97" s="193">
        <v>0</v>
      </c>
      <c r="J97" s="193">
        <v>15</v>
      </c>
      <c r="K97" s="193">
        <v>0</v>
      </c>
      <c r="L97" s="193">
        <v>0</v>
      </c>
      <c r="M97" s="193">
        <v>0</v>
      </c>
      <c r="N97" s="193">
        <v>10715</v>
      </c>
      <c r="O97" s="193">
        <v>405</v>
      </c>
      <c r="P97" s="193">
        <v>0</v>
      </c>
      <c r="Q97" s="193">
        <v>0</v>
      </c>
      <c r="R97" s="193">
        <v>0</v>
      </c>
      <c r="S97" s="193">
        <v>0</v>
      </c>
      <c r="T97" s="193">
        <v>0</v>
      </c>
      <c r="U97" s="193">
        <v>0</v>
      </c>
      <c r="V97" s="193">
        <v>12312</v>
      </c>
      <c r="W97" s="193">
        <v>768</v>
      </c>
      <c r="X97" s="193">
        <f>SUM(X98:X99)</f>
        <v>13080</v>
      </c>
    </row>
    <row r="98" spans="1:25" x14ac:dyDescent="0.2">
      <c r="A98" s="196"/>
      <c r="B98" s="178"/>
      <c r="C98" s="195" t="s">
        <v>575</v>
      </c>
      <c r="D98" s="181" t="s">
        <v>568</v>
      </c>
      <c r="E98" s="182">
        <v>5975</v>
      </c>
      <c r="F98" s="182">
        <v>38</v>
      </c>
      <c r="G98" s="182">
        <v>9</v>
      </c>
      <c r="H98" s="182">
        <v>29</v>
      </c>
      <c r="I98" s="182">
        <v>0</v>
      </c>
      <c r="J98" s="182">
        <v>15</v>
      </c>
      <c r="K98" s="182">
        <v>0</v>
      </c>
      <c r="L98" s="182"/>
      <c r="M98" s="182">
        <v>0</v>
      </c>
      <c r="N98" s="182">
        <v>5922</v>
      </c>
      <c r="O98" s="181"/>
      <c r="P98" s="181"/>
      <c r="Q98" s="181"/>
      <c r="R98" s="181"/>
      <c r="S98" s="181"/>
      <c r="T98" s="181"/>
      <c r="U98" s="181"/>
      <c r="V98" s="182">
        <v>5975</v>
      </c>
      <c r="W98" s="182">
        <v>768</v>
      </c>
      <c r="X98" s="182">
        <f>V98+W98</f>
        <v>6743</v>
      </c>
    </row>
    <row r="99" spans="1:25" x14ac:dyDescent="0.2">
      <c r="A99" s="196"/>
      <c r="B99" s="178"/>
      <c r="C99" s="195" t="s">
        <v>575</v>
      </c>
      <c r="D99" s="196" t="s">
        <v>577</v>
      </c>
      <c r="E99" s="199">
        <v>5932</v>
      </c>
      <c r="F99" s="199">
        <v>1139</v>
      </c>
      <c r="G99" s="199">
        <v>1137</v>
      </c>
      <c r="H99" s="199">
        <v>2</v>
      </c>
      <c r="I99" s="199">
        <v>0</v>
      </c>
      <c r="J99" s="199">
        <v>0</v>
      </c>
      <c r="K99" s="199">
        <v>0</v>
      </c>
      <c r="L99" s="199"/>
      <c r="M99" s="199">
        <v>0</v>
      </c>
      <c r="N99" s="199">
        <v>4793</v>
      </c>
      <c r="O99" s="201">
        <v>405</v>
      </c>
      <c r="P99" s="201">
        <v>0</v>
      </c>
      <c r="Q99" s="201">
        <v>0</v>
      </c>
      <c r="R99" s="201">
        <v>0</v>
      </c>
      <c r="S99" s="201">
        <v>0</v>
      </c>
      <c r="T99" s="201">
        <v>0</v>
      </c>
      <c r="U99" s="201">
        <v>0</v>
      </c>
      <c r="V99" s="182">
        <v>6337</v>
      </c>
      <c r="W99" s="182">
        <v>0</v>
      </c>
      <c r="X99" s="182">
        <f>V99+W99</f>
        <v>6337</v>
      </c>
    </row>
    <row r="100" spans="1:25" s="194" customFormat="1" ht="18" customHeight="1" x14ac:dyDescent="0.2">
      <c r="A100" s="189">
        <v>67</v>
      </c>
      <c r="B100" s="190" t="s">
        <v>186</v>
      </c>
      <c r="C100" s="191" t="s">
        <v>585</v>
      </c>
      <c r="D100" s="192" t="s">
        <v>577</v>
      </c>
      <c r="E100" s="193">
        <v>25027</v>
      </c>
      <c r="F100" s="193">
        <v>1</v>
      </c>
      <c r="G100" s="193">
        <v>0</v>
      </c>
      <c r="H100" s="193">
        <v>1</v>
      </c>
      <c r="I100" s="193">
        <v>0</v>
      </c>
      <c r="J100" s="193">
        <v>0</v>
      </c>
      <c r="K100" s="193">
        <v>0</v>
      </c>
      <c r="L100" s="193">
        <v>0</v>
      </c>
      <c r="M100" s="193">
        <v>0</v>
      </c>
      <c r="N100" s="193">
        <v>25026</v>
      </c>
      <c r="O100" s="193">
        <v>1409</v>
      </c>
      <c r="P100" s="193">
        <v>0</v>
      </c>
      <c r="Q100" s="193">
        <v>0</v>
      </c>
      <c r="R100" s="193">
        <v>0</v>
      </c>
      <c r="S100" s="193">
        <v>0</v>
      </c>
      <c r="T100" s="193">
        <v>0</v>
      </c>
      <c r="U100" s="193">
        <v>0</v>
      </c>
      <c r="V100" s="193">
        <v>26436</v>
      </c>
      <c r="W100" s="193">
        <v>1191</v>
      </c>
      <c r="X100" s="193">
        <f>SUM(X101:X102)</f>
        <v>27627</v>
      </c>
    </row>
    <row r="101" spans="1:25" x14ac:dyDescent="0.2">
      <c r="A101" s="196"/>
      <c r="B101" s="178"/>
      <c r="C101" s="195" t="s">
        <v>575</v>
      </c>
      <c r="D101" s="181" t="s">
        <v>568</v>
      </c>
      <c r="E101" s="182">
        <v>13564</v>
      </c>
      <c r="F101" s="182">
        <v>1</v>
      </c>
      <c r="G101" s="182">
        <v>0</v>
      </c>
      <c r="H101" s="182">
        <v>1</v>
      </c>
      <c r="I101" s="182">
        <v>0</v>
      </c>
      <c r="J101" s="182">
        <v>0</v>
      </c>
      <c r="K101" s="182">
        <v>0</v>
      </c>
      <c r="L101" s="182"/>
      <c r="M101" s="182">
        <v>0</v>
      </c>
      <c r="N101" s="182">
        <v>13563</v>
      </c>
      <c r="O101" s="181"/>
      <c r="P101" s="181"/>
      <c r="Q101" s="181"/>
      <c r="R101" s="181"/>
      <c r="S101" s="181"/>
      <c r="T101" s="181"/>
      <c r="U101" s="181"/>
      <c r="V101" s="182">
        <v>13564</v>
      </c>
      <c r="W101" s="182">
        <v>1191</v>
      </c>
      <c r="X101" s="182">
        <f>V101+W101</f>
        <v>14755</v>
      </c>
    </row>
    <row r="102" spans="1:25" x14ac:dyDescent="0.2">
      <c r="A102" s="196"/>
      <c r="B102" s="178"/>
      <c r="C102" s="195" t="s">
        <v>575</v>
      </c>
      <c r="D102" s="181" t="s">
        <v>577</v>
      </c>
      <c r="E102" s="182">
        <v>11463</v>
      </c>
      <c r="F102" s="182">
        <v>0</v>
      </c>
      <c r="G102" s="182">
        <v>0</v>
      </c>
      <c r="H102" s="182"/>
      <c r="I102" s="182">
        <v>0</v>
      </c>
      <c r="J102" s="182">
        <v>0</v>
      </c>
      <c r="K102" s="182">
        <v>0</v>
      </c>
      <c r="L102" s="182"/>
      <c r="M102" s="182">
        <v>0</v>
      </c>
      <c r="N102" s="182">
        <v>11463</v>
      </c>
      <c r="O102" s="202">
        <v>1409</v>
      </c>
      <c r="P102" s="202">
        <v>0</v>
      </c>
      <c r="Q102" s="202">
        <v>0</v>
      </c>
      <c r="R102" s="202">
        <v>0</v>
      </c>
      <c r="S102" s="202">
        <v>0</v>
      </c>
      <c r="T102" s="202">
        <v>0</v>
      </c>
      <c r="U102" s="202">
        <v>0</v>
      </c>
      <c r="V102" s="182">
        <v>12872</v>
      </c>
      <c r="W102" s="182">
        <v>0</v>
      </c>
      <c r="X102" s="182">
        <f>V102+W102</f>
        <v>12872</v>
      </c>
    </row>
    <row r="103" spans="1:25" s="194" customFormat="1" ht="18" customHeight="1" x14ac:dyDescent="0.2">
      <c r="A103" s="189">
        <v>68</v>
      </c>
      <c r="B103" s="203" t="s">
        <v>196</v>
      </c>
      <c r="C103" s="191" t="s">
        <v>197</v>
      </c>
      <c r="D103" s="192" t="s">
        <v>577</v>
      </c>
      <c r="E103" s="193">
        <v>11162</v>
      </c>
      <c r="F103" s="193">
        <v>0</v>
      </c>
      <c r="G103" s="193">
        <v>0</v>
      </c>
      <c r="H103" s="193">
        <v>0</v>
      </c>
      <c r="I103" s="193">
        <v>0</v>
      </c>
      <c r="J103" s="193">
        <v>0</v>
      </c>
      <c r="K103" s="193">
        <v>0</v>
      </c>
      <c r="L103" s="193">
        <v>0</v>
      </c>
      <c r="M103" s="193">
        <v>0</v>
      </c>
      <c r="N103" s="193">
        <v>11162</v>
      </c>
      <c r="O103" s="193">
        <v>100</v>
      </c>
      <c r="P103" s="193">
        <v>0</v>
      </c>
      <c r="Q103" s="193">
        <v>0</v>
      </c>
      <c r="R103" s="193">
        <v>0</v>
      </c>
      <c r="S103" s="193">
        <v>0</v>
      </c>
      <c r="T103" s="193">
        <v>0</v>
      </c>
      <c r="U103" s="193">
        <v>0</v>
      </c>
      <c r="V103" s="193">
        <v>11262</v>
      </c>
      <c r="W103" s="193">
        <v>0</v>
      </c>
      <c r="X103" s="193">
        <f>X104+X105</f>
        <v>11262</v>
      </c>
    </row>
    <row r="104" spans="1:25" x14ac:dyDescent="0.2">
      <c r="A104" s="196"/>
      <c r="B104" s="178"/>
      <c r="C104" s="195" t="s">
        <v>575</v>
      </c>
      <c r="D104" s="181" t="s">
        <v>567</v>
      </c>
      <c r="E104" s="182">
        <v>30</v>
      </c>
      <c r="F104" s="182">
        <v>0</v>
      </c>
      <c r="G104" s="182">
        <v>0</v>
      </c>
      <c r="H104" s="182"/>
      <c r="I104" s="182">
        <v>0</v>
      </c>
      <c r="J104" s="182">
        <v>0</v>
      </c>
      <c r="K104" s="182">
        <v>0</v>
      </c>
      <c r="L104" s="182"/>
      <c r="M104" s="182">
        <v>0</v>
      </c>
      <c r="N104" s="182">
        <v>30</v>
      </c>
      <c r="O104" s="181"/>
      <c r="P104" s="181"/>
      <c r="Q104" s="181"/>
      <c r="R104" s="181"/>
      <c r="S104" s="181"/>
      <c r="T104" s="181"/>
      <c r="U104" s="181"/>
      <c r="V104" s="182">
        <v>30</v>
      </c>
      <c r="W104" s="182">
        <v>0</v>
      </c>
      <c r="X104" s="182">
        <f>V104+W104</f>
        <v>30</v>
      </c>
    </row>
    <row r="105" spans="1:25" ht="15.75" customHeight="1" x14ac:dyDescent="0.2">
      <c r="A105" s="196"/>
      <c r="B105" s="178"/>
      <c r="C105" s="195" t="s">
        <v>575</v>
      </c>
      <c r="D105" s="196" t="s">
        <v>577</v>
      </c>
      <c r="E105" s="199">
        <v>11132</v>
      </c>
      <c r="F105" s="199">
        <v>0</v>
      </c>
      <c r="G105" s="199">
        <v>0</v>
      </c>
      <c r="H105" s="199"/>
      <c r="I105" s="199">
        <v>0</v>
      </c>
      <c r="J105" s="199">
        <v>0</v>
      </c>
      <c r="K105" s="199">
        <v>0</v>
      </c>
      <c r="L105" s="199"/>
      <c r="M105" s="199">
        <v>0</v>
      </c>
      <c r="N105" s="199">
        <v>11132</v>
      </c>
      <c r="O105" s="199">
        <v>100</v>
      </c>
      <c r="P105" s="199">
        <v>0</v>
      </c>
      <c r="Q105" s="199">
        <v>0</v>
      </c>
      <c r="R105" s="199">
        <v>0</v>
      </c>
      <c r="S105" s="199">
        <v>0</v>
      </c>
      <c r="T105" s="199">
        <v>0</v>
      </c>
      <c r="U105" s="199">
        <v>0</v>
      </c>
      <c r="V105" s="204">
        <v>11232</v>
      </c>
      <c r="W105" s="182">
        <v>0</v>
      </c>
      <c r="X105" s="182">
        <f>V105+W105</f>
        <v>11232</v>
      </c>
    </row>
    <row r="106" spans="1:25" s="194" customFormat="1" ht="18" customHeight="1" x14ac:dyDescent="0.2">
      <c r="A106" s="189">
        <v>69</v>
      </c>
      <c r="B106" s="197" t="s">
        <v>22</v>
      </c>
      <c r="C106" s="191" t="s">
        <v>586</v>
      </c>
      <c r="D106" s="192" t="s">
        <v>577</v>
      </c>
      <c r="E106" s="193">
        <v>11227</v>
      </c>
      <c r="F106" s="193">
        <v>1</v>
      </c>
      <c r="G106" s="193">
        <v>0</v>
      </c>
      <c r="H106" s="193">
        <v>1</v>
      </c>
      <c r="I106" s="193">
        <v>176</v>
      </c>
      <c r="J106" s="193">
        <v>0</v>
      </c>
      <c r="K106" s="193">
        <v>84</v>
      </c>
      <c r="L106" s="193">
        <v>0</v>
      </c>
      <c r="M106" s="193">
        <v>0</v>
      </c>
      <c r="N106" s="193">
        <v>10966</v>
      </c>
      <c r="O106" s="193">
        <v>97</v>
      </c>
      <c r="P106" s="193">
        <v>0</v>
      </c>
      <c r="Q106" s="193">
        <v>2</v>
      </c>
      <c r="R106" s="193">
        <v>0</v>
      </c>
      <c r="S106" s="193">
        <v>0</v>
      </c>
      <c r="T106" s="193">
        <v>0</v>
      </c>
      <c r="U106" s="193">
        <v>0</v>
      </c>
      <c r="V106" s="193">
        <v>11324</v>
      </c>
      <c r="W106" s="193">
        <v>240</v>
      </c>
      <c r="X106" s="193">
        <f>X107+X108</f>
        <v>11564</v>
      </c>
    </row>
    <row r="107" spans="1:25" x14ac:dyDescent="0.2">
      <c r="A107" s="196"/>
      <c r="B107" s="178"/>
      <c r="C107" s="195" t="s">
        <v>575</v>
      </c>
      <c r="D107" s="181" t="s">
        <v>568</v>
      </c>
      <c r="E107" s="182">
        <v>9673</v>
      </c>
      <c r="F107" s="182">
        <v>1</v>
      </c>
      <c r="G107" s="182">
        <v>0</v>
      </c>
      <c r="H107" s="182">
        <v>1</v>
      </c>
      <c r="I107" s="182">
        <v>176</v>
      </c>
      <c r="J107" s="182">
        <v>0</v>
      </c>
      <c r="K107" s="182">
        <v>0</v>
      </c>
      <c r="L107" s="182"/>
      <c r="M107" s="182">
        <v>0</v>
      </c>
      <c r="N107" s="182">
        <v>9496</v>
      </c>
      <c r="O107" s="181"/>
      <c r="P107" s="181"/>
      <c r="Q107" s="181"/>
      <c r="R107" s="181"/>
      <c r="S107" s="181"/>
      <c r="T107" s="181"/>
      <c r="U107" s="181"/>
      <c r="V107" s="182">
        <v>9673</v>
      </c>
      <c r="W107" s="182">
        <v>240</v>
      </c>
      <c r="X107" s="182">
        <f>V107+W107</f>
        <v>9913</v>
      </c>
    </row>
    <row r="108" spans="1:25" x14ac:dyDescent="0.2">
      <c r="A108" s="196"/>
      <c r="B108" s="178"/>
      <c r="C108" s="195" t="s">
        <v>575</v>
      </c>
      <c r="D108" s="196" t="s">
        <v>577</v>
      </c>
      <c r="E108" s="199">
        <v>1554</v>
      </c>
      <c r="F108" s="199">
        <v>0</v>
      </c>
      <c r="G108" s="199">
        <v>0</v>
      </c>
      <c r="H108" s="199"/>
      <c r="I108" s="199">
        <v>0</v>
      </c>
      <c r="J108" s="199">
        <v>0</v>
      </c>
      <c r="K108" s="199">
        <v>84</v>
      </c>
      <c r="L108" s="199"/>
      <c r="M108" s="199">
        <v>0</v>
      </c>
      <c r="N108" s="199">
        <v>1470</v>
      </c>
      <c r="O108" s="201">
        <v>97</v>
      </c>
      <c r="P108" s="201">
        <v>0</v>
      </c>
      <c r="Q108" s="201">
        <v>2</v>
      </c>
      <c r="R108" s="201">
        <v>0</v>
      </c>
      <c r="S108" s="201">
        <v>0</v>
      </c>
      <c r="T108" s="201">
        <v>0</v>
      </c>
      <c r="U108" s="201">
        <v>0</v>
      </c>
      <c r="V108" s="201">
        <v>1651</v>
      </c>
      <c r="W108" s="182">
        <v>0</v>
      </c>
      <c r="X108" s="182">
        <f>V108+W108</f>
        <v>1651</v>
      </c>
    </row>
    <row r="109" spans="1:25" s="194" customFormat="1" ht="18" customHeight="1" x14ac:dyDescent="0.2">
      <c r="A109" s="189">
        <v>70</v>
      </c>
      <c r="B109" s="190" t="s">
        <v>268</v>
      </c>
      <c r="C109" s="191" t="s">
        <v>587</v>
      </c>
      <c r="D109" s="192" t="s">
        <v>588</v>
      </c>
      <c r="E109" s="193">
        <v>30189</v>
      </c>
      <c r="F109" s="193">
        <v>28708</v>
      </c>
      <c r="G109" s="193">
        <v>27893</v>
      </c>
      <c r="H109" s="193">
        <v>815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1481</v>
      </c>
      <c r="O109" s="193">
        <v>1971</v>
      </c>
      <c r="P109" s="193">
        <v>1871</v>
      </c>
      <c r="Q109" s="193">
        <v>0</v>
      </c>
      <c r="R109" s="193">
        <v>0</v>
      </c>
      <c r="S109" s="193">
        <v>0</v>
      </c>
      <c r="T109" s="193">
        <v>0</v>
      </c>
      <c r="U109" s="193">
        <v>0</v>
      </c>
      <c r="V109" s="193">
        <v>32160</v>
      </c>
      <c r="W109" s="193">
        <v>266</v>
      </c>
      <c r="X109" s="193">
        <f>X110+X111</f>
        <v>32426</v>
      </c>
      <c r="Y109" s="198"/>
    </row>
    <row r="110" spans="1:25" x14ac:dyDescent="0.2">
      <c r="A110" s="196"/>
      <c r="B110" s="178"/>
      <c r="C110" s="195" t="s">
        <v>575</v>
      </c>
      <c r="D110" s="181" t="s">
        <v>567</v>
      </c>
      <c r="E110" s="182">
        <v>6533</v>
      </c>
      <c r="F110" s="182">
        <v>6530</v>
      </c>
      <c r="G110" s="182">
        <v>6528</v>
      </c>
      <c r="H110" s="182">
        <v>2</v>
      </c>
      <c r="I110" s="182">
        <v>0</v>
      </c>
      <c r="J110" s="182">
        <v>0</v>
      </c>
      <c r="K110" s="182">
        <v>0</v>
      </c>
      <c r="L110" s="182"/>
      <c r="M110" s="182">
        <v>0</v>
      </c>
      <c r="N110" s="182">
        <v>3</v>
      </c>
      <c r="O110" s="181"/>
      <c r="P110" s="181"/>
      <c r="Q110" s="181"/>
      <c r="R110" s="181"/>
      <c r="S110" s="181"/>
      <c r="T110" s="181"/>
      <c r="U110" s="181"/>
      <c r="V110" s="182">
        <v>6533</v>
      </c>
      <c r="W110" s="182">
        <v>266</v>
      </c>
      <c r="X110" s="182">
        <f>V110+W110</f>
        <v>6799</v>
      </c>
    </row>
    <row r="111" spans="1:25" x14ac:dyDescent="0.2">
      <c r="A111" s="196"/>
      <c r="B111" s="178"/>
      <c r="C111" s="195" t="s">
        <v>575</v>
      </c>
      <c r="D111" s="196" t="s">
        <v>588</v>
      </c>
      <c r="E111" s="199">
        <v>23656</v>
      </c>
      <c r="F111" s="199">
        <v>22178</v>
      </c>
      <c r="G111" s="199">
        <v>21365</v>
      </c>
      <c r="H111" s="199">
        <v>813</v>
      </c>
      <c r="I111" s="199">
        <v>0</v>
      </c>
      <c r="J111" s="199">
        <v>0</v>
      </c>
      <c r="K111" s="199">
        <v>0</v>
      </c>
      <c r="L111" s="199"/>
      <c r="M111" s="199">
        <v>0</v>
      </c>
      <c r="N111" s="199">
        <v>1478</v>
      </c>
      <c r="O111" s="182">
        <v>1971</v>
      </c>
      <c r="P111" s="182">
        <v>1871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25627</v>
      </c>
      <c r="W111" s="182">
        <v>0</v>
      </c>
      <c r="X111" s="182">
        <f>V111+W111</f>
        <v>25627</v>
      </c>
    </row>
    <row r="112" spans="1:25" s="194" customFormat="1" ht="18" customHeight="1" x14ac:dyDescent="0.2">
      <c r="A112" s="189">
        <v>71</v>
      </c>
      <c r="B112" s="190" t="s">
        <v>270</v>
      </c>
      <c r="C112" s="191" t="s">
        <v>589</v>
      </c>
      <c r="D112" s="192" t="s">
        <v>588</v>
      </c>
      <c r="E112" s="193">
        <v>13164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2117</v>
      </c>
      <c r="L112" s="193">
        <v>350</v>
      </c>
      <c r="M112" s="193">
        <v>315</v>
      </c>
      <c r="N112" s="193">
        <v>10382</v>
      </c>
      <c r="O112" s="193">
        <v>3632</v>
      </c>
      <c r="P112" s="193">
        <v>0</v>
      </c>
      <c r="Q112" s="193">
        <v>1023</v>
      </c>
      <c r="R112" s="193">
        <v>1193</v>
      </c>
      <c r="S112" s="193">
        <v>725</v>
      </c>
      <c r="T112" s="193">
        <v>0</v>
      </c>
      <c r="U112" s="193">
        <v>0</v>
      </c>
      <c r="V112" s="193">
        <v>16796</v>
      </c>
      <c r="W112" s="193">
        <v>1002</v>
      </c>
      <c r="X112" s="193">
        <f t="shared" ref="X112" si="2">X113+X114</f>
        <v>17798</v>
      </c>
    </row>
    <row r="113" spans="1:24" x14ac:dyDescent="0.2">
      <c r="A113" s="196"/>
      <c r="B113" s="178"/>
      <c r="C113" s="195" t="s">
        <v>575</v>
      </c>
      <c r="D113" s="181" t="s">
        <v>567</v>
      </c>
      <c r="E113" s="182">
        <v>221</v>
      </c>
      <c r="F113" s="182">
        <v>0</v>
      </c>
      <c r="G113" s="182">
        <v>0</v>
      </c>
      <c r="H113" s="182"/>
      <c r="I113" s="182">
        <v>0</v>
      </c>
      <c r="J113" s="182">
        <v>0</v>
      </c>
      <c r="K113" s="182">
        <v>0</v>
      </c>
      <c r="L113" s="182"/>
      <c r="M113" s="182">
        <v>0</v>
      </c>
      <c r="N113" s="182">
        <v>221</v>
      </c>
      <c r="O113" s="181"/>
      <c r="P113" s="181"/>
      <c r="Q113" s="181"/>
      <c r="R113" s="181"/>
      <c r="S113" s="181"/>
      <c r="T113" s="181"/>
      <c r="U113" s="181"/>
      <c r="V113" s="182">
        <v>221</v>
      </c>
      <c r="W113" s="182">
        <v>1002</v>
      </c>
      <c r="X113" s="182">
        <f>V113+W113</f>
        <v>1223</v>
      </c>
    </row>
    <row r="114" spans="1:24" x14ac:dyDescent="0.2">
      <c r="A114" s="196"/>
      <c r="B114" s="178"/>
      <c r="C114" s="195" t="s">
        <v>575</v>
      </c>
      <c r="D114" s="200" t="s">
        <v>588</v>
      </c>
      <c r="E114" s="199">
        <v>12943</v>
      </c>
      <c r="F114" s="199">
        <v>0</v>
      </c>
      <c r="G114" s="199">
        <v>0</v>
      </c>
      <c r="H114" s="199"/>
      <c r="I114" s="199">
        <v>0</v>
      </c>
      <c r="J114" s="199">
        <v>0</v>
      </c>
      <c r="K114" s="199">
        <v>2117</v>
      </c>
      <c r="L114" s="199">
        <v>350</v>
      </c>
      <c r="M114" s="199">
        <v>315</v>
      </c>
      <c r="N114" s="199">
        <v>10161</v>
      </c>
      <c r="O114" s="182">
        <v>3632</v>
      </c>
      <c r="P114" s="182">
        <v>0</v>
      </c>
      <c r="Q114" s="182">
        <v>1023</v>
      </c>
      <c r="R114" s="182">
        <v>1193</v>
      </c>
      <c r="S114" s="182">
        <v>725</v>
      </c>
      <c r="T114" s="182">
        <v>0</v>
      </c>
      <c r="U114" s="182">
        <v>0</v>
      </c>
      <c r="V114" s="182">
        <v>16575</v>
      </c>
      <c r="W114" s="182">
        <v>0</v>
      </c>
      <c r="X114" s="182">
        <f>V114+W114</f>
        <v>16575</v>
      </c>
    </row>
    <row r="115" spans="1:24" s="194" customFormat="1" ht="18" customHeight="1" x14ac:dyDescent="0.2">
      <c r="A115" s="189">
        <v>72</v>
      </c>
      <c r="B115" s="203" t="s">
        <v>274</v>
      </c>
      <c r="C115" s="191" t="s">
        <v>275</v>
      </c>
      <c r="D115" s="192" t="s">
        <v>590</v>
      </c>
      <c r="E115" s="193">
        <v>6645</v>
      </c>
      <c r="F115" s="193">
        <v>0</v>
      </c>
      <c r="G115" s="193">
        <v>0</v>
      </c>
      <c r="H115" s="193">
        <v>0</v>
      </c>
      <c r="I115" s="193">
        <v>0</v>
      </c>
      <c r="J115" s="193">
        <v>0</v>
      </c>
      <c r="K115" s="193">
        <v>0</v>
      </c>
      <c r="L115" s="193">
        <v>0</v>
      </c>
      <c r="M115" s="193">
        <v>0</v>
      </c>
      <c r="N115" s="193">
        <v>6645</v>
      </c>
      <c r="O115" s="193">
        <v>52</v>
      </c>
      <c r="P115" s="193">
        <v>0</v>
      </c>
      <c r="Q115" s="193">
        <v>0</v>
      </c>
      <c r="R115" s="193">
        <v>0</v>
      </c>
      <c r="S115" s="193">
        <v>0</v>
      </c>
      <c r="T115" s="193">
        <v>0</v>
      </c>
      <c r="U115" s="193">
        <v>0</v>
      </c>
      <c r="V115" s="193">
        <v>6697</v>
      </c>
      <c r="W115" s="193">
        <v>0</v>
      </c>
      <c r="X115" s="193">
        <f>X116+X117</f>
        <v>6697</v>
      </c>
    </row>
    <row r="116" spans="1:24" x14ac:dyDescent="0.2">
      <c r="A116" s="196"/>
      <c r="B116" s="178"/>
      <c r="C116" s="195" t="s">
        <v>575</v>
      </c>
      <c r="D116" s="181" t="s">
        <v>567</v>
      </c>
      <c r="E116" s="182">
        <v>3310</v>
      </c>
      <c r="F116" s="182">
        <v>0</v>
      </c>
      <c r="G116" s="182">
        <v>0</v>
      </c>
      <c r="H116" s="182"/>
      <c r="I116" s="182">
        <v>0</v>
      </c>
      <c r="J116" s="182">
        <v>0</v>
      </c>
      <c r="K116" s="182">
        <v>0</v>
      </c>
      <c r="L116" s="182"/>
      <c r="M116" s="182">
        <v>0</v>
      </c>
      <c r="N116" s="182">
        <v>3310</v>
      </c>
      <c r="O116" s="181"/>
      <c r="P116" s="181"/>
      <c r="Q116" s="181"/>
      <c r="R116" s="181"/>
      <c r="S116" s="181"/>
      <c r="T116" s="181"/>
      <c r="U116" s="181"/>
      <c r="V116" s="182">
        <v>3310</v>
      </c>
      <c r="W116" s="182">
        <v>0</v>
      </c>
      <c r="X116" s="182">
        <f>V116+W116</f>
        <v>3310</v>
      </c>
    </row>
    <row r="117" spans="1:24" x14ac:dyDescent="0.2">
      <c r="A117" s="196"/>
      <c r="B117" s="178"/>
      <c r="C117" s="195" t="s">
        <v>575</v>
      </c>
      <c r="D117" s="200" t="s">
        <v>588</v>
      </c>
      <c r="E117" s="199">
        <v>3335</v>
      </c>
      <c r="F117" s="199">
        <v>0</v>
      </c>
      <c r="G117" s="199">
        <v>0</v>
      </c>
      <c r="H117" s="199"/>
      <c r="I117" s="199">
        <v>0</v>
      </c>
      <c r="J117" s="199">
        <v>0</v>
      </c>
      <c r="K117" s="199">
        <v>0</v>
      </c>
      <c r="L117" s="199"/>
      <c r="M117" s="199">
        <v>0</v>
      </c>
      <c r="N117" s="199">
        <v>3335</v>
      </c>
      <c r="O117" s="182">
        <v>52</v>
      </c>
      <c r="P117" s="182">
        <v>0</v>
      </c>
      <c r="Q117" s="182">
        <v>0</v>
      </c>
      <c r="R117" s="182">
        <v>0</v>
      </c>
      <c r="S117" s="182">
        <v>0</v>
      </c>
      <c r="T117" s="182">
        <v>0</v>
      </c>
      <c r="U117" s="182">
        <v>0</v>
      </c>
      <c r="V117" s="182">
        <v>3387</v>
      </c>
      <c r="W117" s="182">
        <v>0</v>
      </c>
      <c r="X117" s="182">
        <f>V117+W117</f>
        <v>3387</v>
      </c>
    </row>
    <row r="118" spans="1:24" s="194" customFormat="1" ht="18" customHeight="1" x14ac:dyDescent="0.2">
      <c r="A118" s="189">
        <v>73</v>
      </c>
      <c r="B118" s="203" t="s">
        <v>276</v>
      </c>
      <c r="C118" s="191" t="s">
        <v>591</v>
      </c>
      <c r="D118" s="192" t="s">
        <v>588</v>
      </c>
      <c r="E118" s="193">
        <v>22663</v>
      </c>
      <c r="F118" s="193">
        <v>0</v>
      </c>
      <c r="G118" s="193">
        <v>0</v>
      </c>
      <c r="H118" s="193">
        <v>0</v>
      </c>
      <c r="I118" s="193">
        <v>0</v>
      </c>
      <c r="J118" s="193">
        <v>0</v>
      </c>
      <c r="K118" s="193">
        <v>0</v>
      </c>
      <c r="L118" s="193">
        <v>0</v>
      </c>
      <c r="M118" s="193">
        <v>0</v>
      </c>
      <c r="N118" s="193">
        <v>22663</v>
      </c>
      <c r="O118" s="193">
        <v>905</v>
      </c>
      <c r="P118" s="193">
        <v>0</v>
      </c>
      <c r="Q118" s="193">
        <v>0</v>
      </c>
      <c r="R118" s="193">
        <v>0</v>
      </c>
      <c r="S118" s="193">
        <v>0</v>
      </c>
      <c r="T118" s="193">
        <v>0</v>
      </c>
      <c r="U118" s="193">
        <v>0</v>
      </c>
      <c r="V118" s="193">
        <v>23568</v>
      </c>
      <c r="W118" s="193">
        <v>0</v>
      </c>
      <c r="X118" s="193">
        <f>X119+X120</f>
        <v>23568</v>
      </c>
    </row>
    <row r="119" spans="1:24" ht="15" customHeight="1" x14ac:dyDescent="0.2">
      <c r="A119" s="196"/>
      <c r="B119" s="178"/>
      <c r="C119" s="195" t="s">
        <v>575</v>
      </c>
      <c r="D119" s="181" t="s">
        <v>567</v>
      </c>
      <c r="E119" s="182">
        <v>180</v>
      </c>
      <c r="F119" s="182">
        <v>0</v>
      </c>
      <c r="G119" s="182">
        <v>0</v>
      </c>
      <c r="H119" s="182"/>
      <c r="I119" s="182">
        <v>0</v>
      </c>
      <c r="J119" s="182">
        <v>0</v>
      </c>
      <c r="K119" s="182">
        <v>0</v>
      </c>
      <c r="L119" s="182"/>
      <c r="M119" s="182">
        <v>0</v>
      </c>
      <c r="N119" s="182">
        <v>180</v>
      </c>
      <c r="O119" s="181"/>
      <c r="P119" s="181"/>
      <c r="Q119" s="181"/>
      <c r="R119" s="181"/>
      <c r="S119" s="181"/>
      <c r="T119" s="181"/>
      <c r="U119" s="181"/>
      <c r="V119" s="182">
        <v>180</v>
      </c>
      <c r="W119" s="182">
        <v>0</v>
      </c>
      <c r="X119" s="182">
        <f>V119+W119</f>
        <v>180</v>
      </c>
    </row>
    <row r="120" spans="1:24" ht="15" customHeight="1" x14ac:dyDescent="0.2">
      <c r="A120" s="196"/>
      <c r="B120" s="178"/>
      <c r="C120" s="195" t="s">
        <v>575</v>
      </c>
      <c r="D120" s="196" t="s">
        <v>588</v>
      </c>
      <c r="E120" s="199">
        <v>22483</v>
      </c>
      <c r="F120" s="199">
        <v>0</v>
      </c>
      <c r="G120" s="199">
        <v>0</v>
      </c>
      <c r="H120" s="199"/>
      <c r="I120" s="199">
        <v>0</v>
      </c>
      <c r="J120" s="199">
        <v>0</v>
      </c>
      <c r="K120" s="199">
        <v>0</v>
      </c>
      <c r="L120" s="199"/>
      <c r="M120" s="199">
        <v>0</v>
      </c>
      <c r="N120" s="199">
        <v>22483</v>
      </c>
      <c r="O120" s="201">
        <v>905</v>
      </c>
      <c r="P120" s="201">
        <v>0</v>
      </c>
      <c r="Q120" s="201">
        <v>0</v>
      </c>
      <c r="R120" s="201">
        <v>0</v>
      </c>
      <c r="S120" s="201">
        <v>0</v>
      </c>
      <c r="T120" s="201">
        <v>0</v>
      </c>
      <c r="U120" s="201">
        <v>0</v>
      </c>
      <c r="V120" s="182">
        <v>23388</v>
      </c>
      <c r="W120" s="182">
        <v>0</v>
      </c>
      <c r="X120" s="182">
        <f>V120+W120</f>
        <v>23388</v>
      </c>
    </row>
    <row r="121" spans="1:24" s="194" customFormat="1" ht="18" customHeight="1" x14ac:dyDescent="0.2">
      <c r="A121" s="189">
        <v>74</v>
      </c>
      <c r="B121" s="203" t="s">
        <v>283</v>
      </c>
      <c r="C121" s="191" t="s">
        <v>592</v>
      </c>
      <c r="D121" s="192" t="s">
        <v>588</v>
      </c>
      <c r="E121" s="193">
        <v>23767</v>
      </c>
      <c r="F121" s="193">
        <v>30</v>
      </c>
      <c r="G121" s="193">
        <v>0</v>
      </c>
      <c r="H121" s="193">
        <v>30</v>
      </c>
      <c r="I121" s="193">
        <v>0</v>
      </c>
      <c r="J121" s="193">
        <v>6</v>
      </c>
      <c r="K121" s="193">
        <v>741</v>
      </c>
      <c r="L121" s="193">
        <v>0</v>
      </c>
      <c r="M121" s="193">
        <v>228</v>
      </c>
      <c r="N121" s="193">
        <v>22762</v>
      </c>
      <c r="O121" s="193">
        <v>809</v>
      </c>
      <c r="P121" s="193">
        <v>0</v>
      </c>
      <c r="Q121" s="193">
        <v>5</v>
      </c>
      <c r="R121" s="193">
        <v>0</v>
      </c>
      <c r="S121" s="193">
        <v>0</v>
      </c>
      <c r="T121" s="193">
        <v>468</v>
      </c>
      <c r="U121" s="193">
        <v>0</v>
      </c>
      <c r="V121" s="193">
        <v>24576</v>
      </c>
      <c r="W121" s="193">
        <v>1524</v>
      </c>
      <c r="X121" s="193">
        <f t="shared" ref="X121" si="3">X122+X123</f>
        <v>26100</v>
      </c>
    </row>
    <row r="122" spans="1:24" x14ac:dyDescent="0.2">
      <c r="A122" s="196"/>
      <c r="B122" s="178"/>
      <c r="C122" s="195" t="s">
        <v>575</v>
      </c>
      <c r="D122" s="181" t="s">
        <v>567</v>
      </c>
      <c r="E122" s="182">
        <v>8737</v>
      </c>
      <c r="F122" s="182">
        <v>30</v>
      </c>
      <c r="G122" s="182">
        <v>0</v>
      </c>
      <c r="H122" s="182">
        <v>30</v>
      </c>
      <c r="I122" s="182">
        <v>0</v>
      </c>
      <c r="J122" s="182">
        <v>6</v>
      </c>
      <c r="K122" s="182">
        <v>0</v>
      </c>
      <c r="L122" s="182"/>
      <c r="M122" s="182">
        <v>0</v>
      </c>
      <c r="N122" s="182">
        <v>8701</v>
      </c>
      <c r="O122" s="181"/>
      <c r="P122" s="181"/>
      <c r="Q122" s="181"/>
      <c r="R122" s="181"/>
      <c r="S122" s="181"/>
      <c r="T122" s="181"/>
      <c r="U122" s="181"/>
      <c r="V122" s="182">
        <v>8737</v>
      </c>
      <c r="W122" s="182">
        <v>1524</v>
      </c>
      <c r="X122" s="182">
        <f>V122+W122</f>
        <v>10261</v>
      </c>
    </row>
    <row r="123" spans="1:24" ht="15.75" customHeight="1" x14ac:dyDescent="0.2">
      <c r="A123" s="196"/>
      <c r="B123" s="178"/>
      <c r="C123" s="195" t="s">
        <v>575</v>
      </c>
      <c r="D123" s="200" t="s">
        <v>588</v>
      </c>
      <c r="E123" s="199">
        <v>15030</v>
      </c>
      <c r="F123" s="199">
        <v>0</v>
      </c>
      <c r="G123" s="199">
        <v>0</v>
      </c>
      <c r="H123" s="199"/>
      <c r="I123" s="199">
        <v>0</v>
      </c>
      <c r="J123" s="199">
        <v>0</v>
      </c>
      <c r="K123" s="199">
        <v>741</v>
      </c>
      <c r="L123" s="199"/>
      <c r="M123" s="199">
        <v>228</v>
      </c>
      <c r="N123" s="199">
        <v>14061</v>
      </c>
      <c r="O123" s="201">
        <v>809</v>
      </c>
      <c r="P123" s="201">
        <v>0</v>
      </c>
      <c r="Q123" s="201">
        <v>5</v>
      </c>
      <c r="R123" s="201">
        <v>0</v>
      </c>
      <c r="S123" s="201">
        <v>0</v>
      </c>
      <c r="T123" s="201">
        <v>468</v>
      </c>
      <c r="U123" s="201">
        <v>0</v>
      </c>
      <c r="V123" s="182">
        <v>15839</v>
      </c>
      <c r="W123" s="182">
        <v>0</v>
      </c>
      <c r="X123" s="182">
        <f>V123+W123</f>
        <v>15839</v>
      </c>
    </row>
    <row r="124" spans="1:24" s="194" customFormat="1" ht="18" customHeight="1" x14ac:dyDescent="0.2">
      <c r="A124" s="189">
        <v>75</v>
      </c>
      <c r="B124" s="203" t="s">
        <v>192</v>
      </c>
      <c r="C124" s="191" t="s">
        <v>593</v>
      </c>
      <c r="D124" s="192" t="s">
        <v>588</v>
      </c>
      <c r="E124" s="193">
        <v>11005</v>
      </c>
      <c r="F124" s="193">
        <v>0</v>
      </c>
      <c r="G124" s="193">
        <v>0</v>
      </c>
      <c r="H124" s="193">
        <v>0</v>
      </c>
      <c r="I124" s="193">
        <v>0</v>
      </c>
      <c r="J124" s="193">
        <v>0</v>
      </c>
      <c r="K124" s="193">
        <v>0</v>
      </c>
      <c r="L124" s="193">
        <v>0</v>
      </c>
      <c r="M124" s="193">
        <v>0</v>
      </c>
      <c r="N124" s="193">
        <v>11005</v>
      </c>
      <c r="O124" s="193">
        <v>440</v>
      </c>
      <c r="P124" s="193">
        <v>0</v>
      </c>
      <c r="Q124" s="193">
        <v>0</v>
      </c>
      <c r="R124" s="193">
        <v>0</v>
      </c>
      <c r="S124" s="193">
        <v>0</v>
      </c>
      <c r="T124" s="193">
        <v>0</v>
      </c>
      <c r="U124" s="193">
        <v>0</v>
      </c>
      <c r="V124" s="193">
        <v>11445</v>
      </c>
      <c r="W124" s="193">
        <v>3088</v>
      </c>
      <c r="X124" s="193">
        <f>X125+X126</f>
        <v>14533</v>
      </c>
    </row>
    <row r="125" spans="1:24" x14ac:dyDescent="0.2">
      <c r="A125" s="196"/>
      <c r="B125" s="178"/>
      <c r="C125" s="195" t="s">
        <v>575</v>
      </c>
      <c r="D125" s="181" t="s">
        <v>567</v>
      </c>
      <c r="E125" s="182">
        <v>0</v>
      </c>
      <c r="F125" s="182">
        <v>0</v>
      </c>
      <c r="G125" s="182">
        <v>0</v>
      </c>
      <c r="H125" s="182"/>
      <c r="I125" s="182">
        <v>0</v>
      </c>
      <c r="J125" s="182">
        <v>0</v>
      </c>
      <c r="K125" s="182">
        <v>0</v>
      </c>
      <c r="L125" s="182"/>
      <c r="M125" s="182">
        <v>0</v>
      </c>
      <c r="N125" s="182">
        <v>0</v>
      </c>
      <c r="O125" s="181"/>
      <c r="P125" s="181"/>
      <c r="Q125" s="181"/>
      <c r="R125" s="181"/>
      <c r="S125" s="181"/>
      <c r="T125" s="181"/>
      <c r="U125" s="181"/>
      <c r="V125" s="182">
        <v>0</v>
      </c>
      <c r="W125" s="182">
        <v>3088</v>
      </c>
      <c r="X125" s="182">
        <f>V125+W125</f>
        <v>3088</v>
      </c>
    </row>
    <row r="126" spans="1:24" x14ac:dyDescent="0.2">
      <c r="A126" s="196"/>
      <c r="B126" s="178"/>
      <c r="C126" s="195" t="s">
        <v>575</v>
      </c>
      <c r="D126" s="196" t="s">
        <v>588</v>
      </c>
      <c r="E126" s="199">
        <v>11005</v>
      </c>
      <c r="F126" s="199">
        <v>0</v>
      </c>
      <c r="G126" s="199">
        <v>0</v>
      </c>
      <c r="H126" s="199"/>
      <c r="I126" s="199">
        <v>0</v>
      </c>
      <c r="J126" s="199">
        <v>0</v>
      </c>
      <c r="K126" s="199">
        <v>0</v>
      </c>
      <c r="L126" s="199"/>
      <c r="M126" s="199">
        <v>0</v>
      </c>
      <c r="N126" s="199">
        <v>11005</v>
      </c>
      <c r="O126" s="201">
        <v>440</v>
      </c>
      <c r="P126" s="201">
        <v>0</v>
      </c>
      <c r="Q126" s="201">
        <v>0</v>
      </c>
      <c r="R126" s="201">
        <v>0</v>
      </c>
      <c r="S126" s="201">
        <v>0</v>
      </c>
      <c r="T126" s="201">
        <v>0</v>
      </c>
      <c r="U126" s="201">
        <v>0</v>
      </c>
      <c r="V126" s="182">
        <v>11445</v>
      </c>
      <c r="W126" s="182">
        <v>0</v>
      </c>
      <c r="X126" s="182">
        <f>V126+W126</f>
        <v>11445</v>
      </c>
    </row>
    <row r="127" spans="1:24" s="194" customFormat="1" ht="18" customHeight="1" x14ac:dyDescent="0.2">
      <c r="A127" s="189">
        <v>76</v>
      </c>
      <c r="B127" s="203" t="s">
        <v>194</v>
      </c>
      <c r="C127" s="191" t="s">
        <v>594</v>
      </c>
      <c r="D127" s="192" t="s">
        <v>588</v>
      </c>
      <c r="E127" s="193">
        <v>11712</v>
      </c>
      <c r="F127" s="193">
        <v>2</v>
      </c>
      <c r="G127" s="193">
        <v>0</v>
      </c>
      <c r="H127" s="193">
        <v>2</v>
      </c>
      <c r="I127" s="193">
        <v>206</v>
      </c>
      <c r="J127" s="193">
        <v>4</v>
      </c>
      <c r="K127" s="193">
        <v>556</v>
      </c>
      <c r="L127" s="193">
        <v>15</v>
      </c>
      <c r="M127" s="193">
        <v>0</v>
      </c>
      <c r="N127" s="193">
        <v>10929</v>
      </c>
      <c r="O127" s="193">
        <v>605</v>
      </c>
      <c r="P127" s="193">
        <v>0</v>
      </c>
      <c r="Q127" s="193">
        <v>80</v>
      </c>
      <c r="R127" s="193">
        <v>38</v>
      </c>
      <c r="S127" s="193">
        <v>0</v>
      </c>
      <c r="T127" s="193">
        <v>0</v>
      </c>
      <c r="U127" s="193">
        <v>0</v>
      </c>
      <c r="V127" s="193">
        <v>12317</v>
      </c>
      <c r="W127" s="193">
        <v>1450</v>
      </c>
      <c r="X127" s="193">
        <f>X128+X129</f>
        <v>13767</v>
      </c>
    </row>
    <row r="128" spans="1:24" x14ac:dyDescent="0.2">
      <c r="A128" s="196"/>
      <c r="B128" s="178"/>
      <c r="C128" s="195" t="s">
        <v>575</v>
      </c>
      <c r="D128" s="181" t="s">
        <v>567</v>
      </c>
      <c r="E128" s="182">
        <v>4437</v>
      </c>
      <c r="F128" s="182">
        <v>2</v>
      </c>
      <c r="G128" s="182">
        <v>0</v>
      </c>
      <c r="H128" s="182">
        <v>2</v>
      </c>
      <c r="I128" s="182">
        <v>206</v>
      </c>
      <c r="J128" s="182">
        <v>4</v>
      </c>
      <c r="K128" s="182">
        <v>0</v>
      </c>
      <c r="L128" s="182"/>
      <c r="M128" s="182">
        <v>0</v>
      </c>
      <c r="N128" s="182">
        <v>4225</v>
      </c>
      <c r="O128" s="182"/>
      <c r="P128" s="182"/>
      <c r="Q128" s="182"/>
      <c r="R128" s="182"/>
      <c r="S128" s="182"/>
      <c r="T128" s="182"/>
      <c r="U128" s="182"/>
      <c r="V128" s="182">
        <v>4437</v>
      </c>
      <c r="W128" s="182">
        <v>1450</v>
      </c>
      <c r="X128" s="182">
        <f>V128+W128</f>
        <v>5887</v>
      </c>
    </row>
    <row r="129" spans="1:24" x14ac:dyDescent="0.2">
      <c r="A129" s="196"/>
      <c r="B129" s="178"/>
      <c r="C129" s="195" t="s">
        <v>575</v>
      </c>
      <c r="D129" s="181" t="s">
        <v>588</v>
      </c>
      <c r="E129" s="182">
        <v>7275</v>
      </c>
      <c r="F129" s="182">
        <v>0</v>
      </c>
      <c r="G129" s="182">
        <v>0</v>
      </c>
      <c r="H129" s="182"/>
      <c r="I129" s="182">
        <v>0</v>
      </c>
      <c r="J129" s="182">
        <v>0</v>
      </c>
      <c r="K129" s="182">
        <v>556</v>
      </c>
      <c r="L129" s="182">
        <v>15</v>
      </c>
      <c r="M129" s="182">
        <v>0</v>
      </c>
      <c r="N129" s="182">
        <v>6704</v>
      </c>
      <c r="O129" s="182">
        <v>605</v>
      </c>
      <c r="P129" s="182">
        <v>0</v>
      </c>
      <c r="Q129" s="182">
        <v>80</v>
      </c>
      <c r="R129" s="182">
        <v>38</v>
      </c>
      <c r="S129" s="182">
        <v>0</v>
      </c>
      <c r="T129" s="182">
        <v>0</v>
      </c>
      <c r="U129" s="182">
        <v>0</v>
      </c>
      <c r="V129" s="182">
        <v>7880</v>
      </c>
      <c r="W129" s="182">
        <v>0</v>
      </c>
      <c r="X129" s="182">
        <f>V129+W129</f>
        <v>7880</v>
      </c>
    </row>
    <row r="130" spans="1:24" s="194" customFormat="1" ht="28.5" customHeight="1" x14ac:dyDescent="0.2">
      <c r="A130" s="189">
        <v>77</v>
      </c>
      <c r="B130" s="197" t="s">
        <v>285</v>
      </c>
      <c r="C130" s="191" t="s">
        <v>728</v>
      </c>
      <c r="D130" s="192" t="s">
        <v>588</v>
      </c>
      <c r="E130" s="193">
        <v>20526</v>
      </c>
      <c r="F130" s="193">
        <v>70</v>
      </c>
      <c r="G130" s="193">
        <v>0</v>
      </c>
      <c r="H130" s="193">
        <v>70</v>
      </c>
      <c r="I130" s="193">
        <v>0</v>
      </c>
      <c r="J130" s="193">
        <v>1</v>
      </c>
      <c r="K130" s="193">
        <v>621</v>
      </c>
      <c r="L130" s="193">
        <v>0</v>
      </c>
      <c r="M130" s="193">
        <v>62</v>
      </c>
      <c r="N130" s="193">
        <v>19772</v>
      </c>
      <c r="O130" s="193">
        <v>840</v>
      </c>
      <c r="P130" s="193">
        <v>0</v>
      </c>
      <c r="Q130" s="193">
        <v>5</v>
      </c>
      <c r="R130" s="193">
        <v>0</v>
      </c>
      <c r="S130" s="193">
        <v>0</v>
      </c>
      <c r="T130" s="193">
        <v>98</v>
      </c>
      <c r="U130" s="193">
        <v>0</v>
      </c>
      <c r="V130" s="193">
        <v>21366</v>
      </c>
      <c r="W130" s="193">
        <v>1028</v>
      </c>
      <c r="X130" s="193">
        <f>X131+X132</f>
        <v>22394</v>
      </c>
    </row>
    <row r="131" spans="1:24" x14ac:dyDescent="0.2">
      <c r="A131" s="196"/>
      <c r="B131" s="178"/>
      <c r="C131" s="195" t="s">
        <v>575</v>
      </c>
      <c r="D131" s="181" t="s">
        <v>567</v>
      </c>
      <c r="E131" s="182">
        <v>3793</v>
      </c>
      <c r="F131" s="182">
        <v>70</v>
      </c>
      <c r="G131" s="182">
        <v>0</v>
      </c>
      <c r="H131" s="182">
        <v>70</v>
      </c>
      <c r="I131" s="182">
        <v>0</v>
      </c>
      <c r="J131" s="182">
        <v>1</v>
      </c>
      <c r="K131" s="182">
        <v>0</v>
      </c>
      <c r="L131" s="182"/>
      <c r="M131" s="182">
        <v>0</v>
      </c>
      <c r="N131" s="182">
        <v>3722</v>
      </c>
      <c r="O131" s="182"/>
      <c r="P131" s="182"/>
      <c r="Q131" s="182"/>
      <c r="R131" s="182"/>
      <c r="S131" s="182"/>
      <c r="T131" s="182"/>
      <c r="U131" s="182"/>
      <c r="V131" s="182">
        <v>3793</v>
      </c>
      <c r="W131" s="182">
        <v>1028</v>
      </c>
      <c r="X131" s="182">
        <f>V131+W131</f>
        <v>4821</v>
      </c>
    </row>
    <row r="132" spans="1:24" x14ac:dyDescent="0.2">
      <c r="A132" s="196"/>
      <c r="B132" s="178"/>
      <c r="C132" s="195" t="s">
        <v>575</v>
      </c>
      <c r="D132" s="182" t="s">
        <v>588</v>
      </c>
      <c r="E132" s="182">
        <v>16733</v>
      </c>
      <c r="F132" s="182">
        <v>0</v>
      </c>
      <c r="G132" s="182">
        <v>0</v>
      </c>
      <c r="H132" s="182"/>
      <c r="I132" s="182">
        <v>0</v>
      </c>
      <c r="J132" s="182">
        <v>0</v>
      </c>
      <c r="K132" s="182">
        <v>621</v>
      </c>
      <c r="L132" s="182"/>
      <c r="M132" s="182">
        <v>62</v>
      </c>
      <c r="N132" s="182">
        <v>16050</v>
      </c>
      <c r="O132" s="182">
        <v>840</v>
      </c>
      <c r="P132" s="182">
        <v>0</v>
      </c>
      <c r="Q132" s="182">
        <v>5</v>
      </c>
      <c r="R132" s="182">
        <v>0</v>
      </c>
      <c r="S132" s="182">
        <v>0</v>
      </c>
      <c r="T132" s="182">
        <v>98</v>
      </c>
      <c r="U132" s="182">
        <v>0</v>
      </c>
      <c r="V132" s="182">
        <v>17573</v>
      </c>
      <c r="W132" s="182">
        <v>0</v>
      </c>
      <c r="X132" s="182">
        <f>V132+W132</f>
        <v>17573</v>
      </c>
    </row>
    <row r="133" spans="1:24" ht="18" customHeight="1" x14ac:dyDescent="0.2">
      <c r="A133" s="606">
        <v>78</v>
      </c>
      <c r="B133" s="197" t="s">
        <v>248</v>
      </c>
      <c r="C133" s="191" t="s">
        <v>595</v>
      </c>
      <c r="D133" s="192" t="s">
        <v>596</v>
      </c>
      <c r="E133" s="193">
        <v>1083</v>
      </c>
      <c r="F133" s="193">
        <v>1000</v>
      </c>
      <c r="G133" s="193">
        <v>1000</v>
      </c>
      <c r="H133" s="193"/>
      <c r="I133" s="193">
        <v>0</v>
      </c>
      <c r="J133" s="193">
        <v>0</v>
      </c>
      <c r="K133" s="193">
        <v>0</v>
      </c>
      <c r="L133" s="193">
        <v>0</v>
      </c>
      <c r="M133" s="193">
        <v>0</v>
      </c>
      <c r="N133" s="193">
        <v>83</v>
      </c>
      <c r="O133" s="193">
        <v>275</v>
      </c>
      <c r="P133" s="193">
        <v>0</v>
      </c>
      <c r="Q133" s="193">
        <v>0</v>
      </c>
      <c r="R133" s="193">
        <v>0</v>
      </c>
      <c r="S133" s="193">
        <v>0</v>
      </c>
      <c r="T133" s="193">
        <v>0</v>
      </c>
      <c r="U133" s="193">
        <v>0</v>
      </c>
      <c r="V133" s="193">
        <v>1358</v>
      </c>
      <c r="W133" s="193">
        <v>0</v>
      </c>
      <c r="X133" s="193">
        <f t="shared" ref="X133" si="4">V133+W133</f>
        <v>1358</v>
      </c>
    </row>
    <row r="134" spans="1:24" ht="44.25" customHeight="1" x14ac:dyDescent="0.2">
      <c r="A134" s="606">
        <v>79</v>
      </c>
      <c r="B134" s="205" t="s">
        <v>199</v>
      </c>
      <c r="C134" s="210" t="s">
        <v>203</v>
      </c>
      <c r="D134" s="192" t="s">
        <v>596</v>
      </c>
      <c r="E134" s="193">
        <v>500</v>
      </c>
      <c r="F134" s="193">
        <v>0</v>
      </c>
      <c r="G134" s="193">
        <v>0</v>
      </c>
      <c r="H134" s="193"/>
      <c r="I134" s="193">
        <v>0</v>
      </c>
      <c r="J134" s="193">
        <v>0</v>
      </c>
      <c r="K134" s="193">
        <v>0</v>
      </c>
      <c r="L134" s="193"/>
      <c r="M134" s="193"/>
      <c r="N134" s="193">
        <v>500</v>
      </c>
      <c r="O134" s="193">
        <v>0</v>
      </c>
      <c r="P134" s="193">
        <v>0</v>
      </c>
      <c r="Q134" s="193">
        <v>0</v>
      </c>
      <c r="R134" s="193">
        <v>0</v>
      </c>
      <c r="S134" s="193">
        <v>0</v>
      </c>
      <c r="T134" s="193">
        <v>0</v>
      </c>
      <c r="U134" s="193">
        <v>0</v>
      </c>
      <c r="V134" s="193">
        <v>500</v>
      </c>
      <c r="W134" s="193">
        <v>0</v>
      </c>
      <c r="X134" s="193">
        <f>V134+W134</f>
        <v>500</v>
      </c>
    </row>
    <row r="135" spans="1:24" s="194" customFormat="1" ht="18" customHeight="1" x14ac:dyDescent="0.2">
      <c r="A135" s="857">
        <v>80</v>
      </c>
      <c r="B135" s="190" t="s">
        <v>266</v>
      </c>
      <c r="C135" s="191" t="s">
        <v>267</v>
      </c>
      <c r="D135" s="192" t="s">
        <v>596</v>
      </c>
      <c r="E135" s="193">
        <v>26555</v>
      </c>
      <c r="F135" s="193">
        <v>2329</v>
      </c>
      <c r="G135" s="193">
        <v>2073</v>
      </c>
      <c r="H135" s="193">
        <v>256</v>
      </c>
      <c r="I135" s="193">
        <v>0</v>
      </c>
      <c r="J135" s="193">
        <v>0</v>
      </c>
      <c r="K135" s="193">
        <v>968</v>
      </c>
      <c r="L135" s="193">
        <v>0</v>
      </c>
      <c r="M135" s="193">
        <v>60</v>
      </c>
      <c r="N135" s="193">
        <v>23198</v>
      </c>
      <c r="O135" s="193">
        <v>3006</v>
      </c>
      <c r="P135" s="193">
        <v>320</v>
      </c>
      <c r="Q135" s="193">
        <v>100</v>
      </c>
      <c r="R135" s="193">
        <v>0</v>
      </c>
      <c r="S135" s="193">
        <v>0</v>
      </c>
      <c r="T135" s="193">
        <v>420</v>
      </c>
      <c r="U135" s="193">
        <v>96</v>
      </c>
      <c r="V135" s="193">
        <v>29561</v>
      </c>
      <c r="W135" s="193">
        <v>1142</v>
      </c>
      <c r="X135" s="193">
        <f>X136+X137</f>
        <v>30703</v>
      </c>
    </row>
    <row r="136" spans="1:24" x14ac:dyDescent="0.2">
      <c r="A136" s="858"/>
      <c r="B136" s="206"/>
      <c r="C136" s="195" t="s">
        <v>575</v>
      </c>
      <c r="D136" s="181" t="s">
        <v>567</v>
      </c>
      <c r="E136" s="182">
        <v>2106</v>
      </c>
      <c r="F136" s="182">
        <v>0</v>
      </c>
      <c r="G136" s="182">
        <v>0</v>
      </c>
      <c r="H136" s="182"/>
      <c r="I136" s="182">
        <v>0</v>
      </c>
      <c r="J136" s="182">
        <v>0</v>
      </c>
      <c r="K136" s="182">
        <v>0</v>
      </c>
      <c r="L136" s="182"/>
      <c r="M136" s="182">
        <v>0</v>
      </c>
      <c r="N136" s="182">
        <v>2106</v>
      </c>
      <c r="O136" s="181"/>
      <c r="P136" s="181"/>
      <c r="Q136" s="181"/>
      <c r="R136" s="181"/>
      <c r="S136" s="181"/>
      <c r="T136" s="181"/>
      <c r="U136" s="181"/>
      <c r="V136" s="182">
        <v>2106</v>
      </c>
      <c r="W136" s="182">
        <v>1142</v>
      </c>
      <c r="X136" s="182">
        <f>V136+W136</f>
        <v>3248</v>
      </c>
    </row>
    <row r="137" spans="1:24" ht="12.75" customHeight="1" x14ac:dyDescent="0.2">
      <c r="A137" s="859"/>
      <c r="B137" s="206"/>
      <c r="C137" s="195" t="s">
        <v>575</v>
      </c>
      <c r="D137" s="182" t="s">
        <v>596</v>
      </c>
      <c r="E137" s="182">
        <v>24449</v>
      </c>
      <c r="F137" s="182">
        <v>2329</v>
      </c>
      <c r="G137" s="182">
        <v>2073</v>
      </c>
      <c r="H137" s="182">
        <v>256</v>
      </c>
      <c r="I137" s="182">
        <v>0</v>
      </c>
      <c r="J137" s="182">
        <v>0</v>
      </c>
      <c r="K137" s="182">
        <v>968</v>
      </c>
      <c r="L137" s="182"/>
      <c r="M137" s="182">
        <v>60</v>
      </c>
      <c r="N137" s="182">
        <v>21092</v>
      </c>
      <c r="O137" s="182">
        <v>3006</v>
      </c>
      <c r="P137" s="182">
        <v>320</v>
      </c>
      <c r="Q137" s="182">
        <v>100</v>
      </c>
      <c r="R137" s="182">
        <v>0</v>
      </c>
      <c r="S137" s="182">
        <v>0</v>
      </c>
      <c r="T137" s="182">
        <v>420</v>
      </c>
      <c r="U137" s="182">
        <v>96</v>
      </c>
      <c r="V137" s="182">
        <v>27455</v>
      </c>
      <c r="W137" s="182">
        <v>0</v>
      </c>
      <c r="X137" s="182">
        <f>V137+W137</f>
        <v>27455</v>
      </c>
    </row>
    <row r="138" spans="1:24" s="194" customFormat="1" ht="18" customHeight="1" x14ac:dyDescent="0.2">
      <c r="A138" s="857">
        <v>81</v>
      </c>
      <c r="B138" s="203" t="s">
        <v>272</v>
      </c>
      <c r="C138" s="191" t="s">
        <v>273</v>
      </c>
      <c r="D138" s="192" t="s">
        <v>597</v>
      </c>
      <c r="E138" s="193">
        <v>19486</v>
      </c>
      <c r="F138" s="193">
        <v>1522</v>
      </c>
      <c r="G138" s="193">
        <v>1172</v>
      </c>
      <c r="H138" s="193">
        <v>350</v>
      </c>
      <c r="I138" s="193">
        <v>0</v>
      </c>
      <c r="J138" s="193">
        <v>0</v>
      </c>
      <c r="K138" s="193">
        <v>0</v>
      </c>
      <c r="L138" s="193">
        <v>0</v>
      </c>
      <c r="M138" s="193">
        <v>0</v>
      </c>
      <c r="N138" s="193">
        <v>17964</v>
      </c>
      <c r="O138" s="193">
        <v>1266</v>
      </c>
      <c r="P138" s="193">
        <v>218</v>
      </c>
      <c r="Q138" s="193">
        <v>0</v>
      </c>
      <c r="R138" s="193">
        <v>0</v>
      </c>
      <c r="S138" s="193">
        <v>0</v>
      </c>
      <c r="T138" s="193">
        <v>0</v>
      </c>
      <c r="U138" s="193">
        <v>0</v>
      </c>
      <c r="V138" s="193">
        <v>20752</v>
      </c>
      <c r="W138" s="182">
        <v>1320</v>
      </c>
      <c r="X138" s="193">
        <f>X139+X140</f>
        <v>22072</v>
      </c>
    </row>
    <row r="139" spans="1:24" x14ac:dyDescent="0.2">
      <c r="A139" s="858"/>
      <c r="B139" s="178"/>
      <c r="C139" s="195" t="s">
        <v>575</v>
      </c>
      <c r="D139" s="181" t="s">
        <v>567</v>
      </c>
      <c r="E139" s="182">
        <v>318</v>
      </c>
      <c r="F139" s="182">
        <v>0</v>
      </c>
      <c r="G139" s="182">
        <v>0</v>
      </c>
      <c r="H139" s="182"/>
      <c r="I139" s="182">
        <v>0</v>
      </c>
      <c r="J139" s="182">
        <v>0</v>
      </c>
      <c r="K139" s="182">
        <v>0</v>
      </c>
      <c r="L139" s="182"/>
      <c r="M139" s="182">
        <v>0</v>
      </c>
      <c r="N139" s="182">
        <v>318</v>
      </c>
      <c r="O139" s="181"/>
      <c r="P139" s="181"/>
      <c r="Q139" s="181"/>
      <c r="R139" s="181"/>
      <c r="S139" s="181"/>
      <c r="T139" s="181"/>
      <c r="U139" s="181"/>
      <c r="V139" s="182">
        <v>318</v>
      </c>
      <c r="W139" s="182">
        <v>1320</v>
      </c>
      <c r="X139" s="182">
        <f>V139+W139</f>
        <v>1638</v>
      </c>
    </row>
    <row r="140" spans="1:24" x14ac:dyDescent="0.2">
      <c r="A140" s="859"/>
      <c r="B140" s="178"/>
      <c r="C140" s="195" t="s">
        <v>575</v>
      </c>
      <c r="D140" s="181" t="s">
        <v>597</v>
      </c>
      <c r="E140" s="199">
        <v>19168</v>
      </c>
      <c r="F140" s="199">
        <v>1522</v>
      </c>
      <c r="G140" s="199">
        <v>1172</v>
      </c>
      <c r="H140" s="199">
        <v>350</v>
      </c>
      <c r="I140" s="199">
        <v>0</v>
      </c>
      <c r="J140" s="199">
        <v>0</v>
      </c>
      <c r="K140" s="199">
        <v>0</v>
      </c>
      <c r="L140" s="199"/>
      <c r="M140" s="199">
        <v>0</v>
      </c>
      <c r="N140" s="199">
        <v>17646</v>
      </c>
      <c r="O140" s="182">
        <v>1266</v>
      </c>
      <c r="P140" s="182">
        <v>218</v>
      </c>
      <c r="Q140" s="182">
        <v>0</v>
      </c>
      <c r="R140" s="182">
        <v>0</v>
      </c>
      <c r="S140" s="182">
        <v>0</v>
      </c>
      <c r="T140" s="182">
        <v>0</v>
      </c>
      <c r="U140" s="182">
        <v>0</v>
      </c>
      <c r="V140" s="182">
        <v>20434</v>
      </c>
      <c r="W140" s="182">
        <v>0</v>
      </c>
      <c r="X140" s="182">
        <f>V140+W140</f>
        <v>20434</v>
      </c>
    </row>
    <row r="141" spans="1:24" s="194" customFormat="1" ht="18" customHeight="1" x14ac:dyDescent="0.2">
      <c r="A141" s="189">
        <v>82</v>
      </c>
      <c r="B141" s="190" t="s">
        <v>282</v>
      </c>
      <c r="C141" s="191" t="s">
        <v>772</v>
      </c>
      <c r="D141" s="192" t="s">
        <v>597</v>
      </c>
      <c r="E141" s="193">
        <v>4442</v>
      </c>
      <c r="F141" s="193">
        <v>0</v>
      </c>
      <c r="G141" s="193">
        <v>0</v>
      </c>
      <c r="H141" s="193"/>
      <c r="I141" s="193">
        <v>0</v>
      </c>
      <c r="J141" s="193">
        <v>0</v>
      </c>
      <c r="K141" s="193">
        <v>0</v>
      </c>
      <c r="L141" s="193">
        <v>0</v>
      </c>
      <c r="M141" s="193">
        <v>0</v>
      </c>
      <c r="N141" s="193">
        <v>4442</v>
      </c>
      <c r="O141" s="193">
        <v>300</v>
      </c>
      <c r="P141" s="193">
        <v>0</v>
      </c>
      <c r="Q141" s="193">
        <v>0</v>
      </c>
      <c r="R141" s="193">
        <v>0</v>
      </c>
      <c r="S141" s="193">
        <v>0</v>
      </c>
      <c r="T141" s="193">
        <v>0</v>
      </c>
      <c r="U141" s="193">
        <v>0</v>
      </c>
      <c r="V141" s="193">
        <v>4742</v>
      </c>
      <c r="W141" s="182">
        <v>2085</v>
      </c>
      <c r="X141" s="193">
        <f>V141+W141</f>
        <v>6827</v>
      </c>
    </row>
    <row r="142" spans="1:24" s="194" customFormat="1" ht="30" customHeight="1" x14ac:dyDescent="0.2">
      <c r="A142" s="189"/>
      <c r="B142" s="205"/>
      <c r="C142" s="207" t="s">
        <v>15</v>
      </c>
      <c r="D142" s="192"/>
      <c r="E142" s="193">
        <f t="shared" ref="E142:V142" si="5">SUM(E9:E62)+E63+E66+E75+E78+E81+E84+E87+E90+E93+E97+E100+E103+E106+E109+E112+E115+E118+E121+E124+E127+E130+E133+E134+E135+E138+E141+E69+E72</f>
        <v>638488</v>
      </c>
      <c r="F142" s="193">
        <f t="shared" si="5"/>
        <v>36059</v>
      </c>
      <c r="G142" s="193">
        <f t="shared" si="5"/>
        <v>33938</v>
      </c>
      <c r="H142" s="193">
        <f t="shared" si="5"/>
        <v>2121</v>
      </c>
      <c r="I142" s="193">
        <f t="shared" si="5"/>
        <v>2643</v>
      </c>
      <c r="J142" s="193">
        <f t="shared" si="5"/>
        <v>229</v>
      </c>
      <c r="K142" s="193">
        <f t="shared" si="5"/>
        <v>7775</v>
      </c>
      <c r="L142" s="193">
        <f t="shared" si="5"/>
        <v>379</v>
      </c>
      <c r="M142" s="193">
        <f t="shared" si="5"/>
        <v>720</v>
      </c>
      <c r="N142" s="193">
        <f t="shared" si="5"/>
        <v>590683</v>
      </c>
      <c r="O142" s="193">
        <f t="shared" si="5"/>
        <v>17709</v>
      </c>
      <c r="P142" s="193">
        <f t="shared" si="5"/>
        <v>2599</v>
      </c>
      <c r="Q142" s="193">
        <f t="shared" si="5"/>
        <v>1292</v>
      </c>
      <c r="R142" s="193">
        <f t="shared" si="5"/>
        <v>1277</v>
      </c>
      <c r="S142" s="193">
        <f t="shared" si="5"/>
        <v>725</v>
      </c>
      <c r="T142" s="193">
        <f t="shared" si="5"/>
        <v>1091</v>
      </c>
      <c r="U142" s="193">
        <f t="shared" si="5"/>
        <v>96</v>
      </c>
      <c r="V142" s="193">
        <f t="shared" si="5"/>
        <v>656197</v>
      </c>
      <c r="W142" s="193">
        <f>'[17]Свод по уровням'!$E138</f>
        <v>22498</v>
      </c>
      <c r="X142" s="193">
        <f>SUM(X9:X62)+X63+X66+X75+X78+X81+X84+X87+X90+X93+X97+X100+X103+X106+X109+X112+X115+X118+X121+X124+X127+X130+X133+X134+X135+X138+X141+X69+X72</f>
        <v>678695</v>
      </c>
    </row>
    <row r="143" spans="1:24" ht="25.5" x14ac:dyDescent="0.2">
      <c r="A143" s="178"/>
      <c r="B143" s="178"/>
      <c r="C143" s="180" t="s">
        <v>598</v>
      </c>
      <c r="D143" s="181"/>
      <c r="E143" s="193">
        <v>20954</v>
      </c>
      <c r="F143" s="193">
        <v>730</v>
      </c>
      <c r="G143" s="193">
        <v>730</v>
      </c>
      <c r="H143" s="193"/>
      <c r="I143" s="193"/>
      <c r="J143" s="193"/>
      <c r="K143" s="193"/>
      <c r="L143" s="193"/>
      <c r="M143" s="193"/>
      <c r="N143" s="193">
        <f>E143-F143</f>
        <v>20224</v>
      </c>
      <c r="O143" s="193"/>
      <c r="P143" s="193"/>
      <c r="Q143" s="193"/>
      <c r="R143" s="193"/>
      <c r="S143" s="193"/>
      <c r="T143" s="193"/>
      <c r="U143" s="193"/>
      <c r="V143" s="193">
        <f>E143+O143</f>
        <v>20954</v>
      </c>
      <c r="W143" s="193">
        <v>16</v>
      </c>
      <c r="X143" s="193">
        <f>V143+W143</f>
        <v>20970</v>
      </c>
    </row>
    <row r="144" spans="1:24" ht="19.5" customHeight="1" x14ac:dyDescent="0.2">
      <c r="A144" s="860" t="s">
        <v>438</v>
      </c>
      <c r="B144" s="861"/>
      <c r="C144" s="861"/>
      <c r="D144" s="208"/>
      <c r="E144" s="193">
        <f>E142+E143</f>
        <v>659442</v>
      </c>
      <c r="F144" s="193">
        <f t="shared" ref="F144:X144" si="6">F142+F143</f>
        <v>36789</v>
      </c>
      <c r="G144" s="193">
        <f t="shared" si="6"/>
        <v>34668</v>
      </c>
      <c r="H144" s="193">
        <f t="shared" si="6"/>
        <v>2121</v>
      </c>
      <c r="I144" s="193">
        <f t="shared" si="6"/>
        <v>2643</v>
      </c>
      <c r="J144" s="193">
        <f t="shared" ref="J144" si="7">J142+J143</f>
        <v>229</v>
      </c>
      <c r="K144" s="193">
        <f t="shared" si="6"/>
        <v>7775</v>
      </c>
      <c r="L144" s="193">
        <f t="shared" si="6"/>
        <v>379</v>
      </c>
      <c r="M144" s="193">
        <f t="shared" si="6"/>
        <v>720</v>
      </c>
      <c r="N144" s="193">
        <f t="shared" si="6"/>
        <v>610907</v>
      </c>
      <c r="O144" s="193">
        <f t="shared" si="6"/>
        <v>17709</v>
      </c>
      <c r="P144" s="193">
        <f t="shared" si="6"/>
        <v>2599</v>
      </c>
      <c r="Q144" s="193">
        <f t="shared" si="6"/>
        <v>1292</v>
      </c>
      <c r="R144" s="193">
        <f t="shared" si="6"/>
        <v>1277</v>
      </c>
      <c r="S144" s="193">
        <f t="shared" si="6"/>
        <v>725</v>
      </c>
      <c r="T144" s="193">
        <f t="shared" si="6"/>
        <v>1091</v>
      </c>
      <c r="U144" s="193">
        <f t="shared" si="6"/>
        <v>96</v>
      </c>
      <c r="V144" s="193">
        <f t="shared" si="6"/>
        <v>677151</v>
      </c>
      <c r="W144" s="193">
        <f t="shared" si="6"/>
        <v>22514</v>
      </c>
      <c r="X144" s="193">
        <f t="shared" si="6"/>
        <v>699665</v>
      </c>
    </row>
    <row r="146" spans="5:24" s="266" customFormat="1" ht="11.25" x14ac:dyDescent="0.2">
      <c r="E146" s="265"/>
      <c r="O146" s="267"/>
      <c r="P146" s="267"/>
      <c r="Q146" s="267"/>
      <c r="R146" s="267"/>
      <c r="S146" s="267"/>
      <c r="T146" s="267"/>
      <c r="U146" s="267"/>
      <c r="X146" s="268"/>
    </row>
    <row r="147" spans="5:24" s="562" customFormat="1" ht="12" x14ac:dyDescent="0.2">
      <c r="O147" s="563"/>
      <c r="P147" s="563"/>
      <c r="Q147" s="563"/>
      <c r="R147" s="563"/>
      <c r="S147" s="563"/>
      <c r="T147" s="563"/>
      <c r="U147" s="563"/>
      <c r="X147" s="564"/>
    </row>
    <row r="148" spans="5:24" s="266" customFormat="1" ht="11.25" x14ac:dyDescent="0.2">
      <c r="E148" s="265"/>
      <c r="O148" s="267"/>
      <c r="P148" s="267"/>
      <c r="Q148" s="267"/>
      <c r="R148" s="267"/>
      <c r="S148" s="267"/>
      <c r="T148" s="267"/>
      <c r="U148" s="267"/>
      <c r="X148" s="268"/>
    </row>
    <row r="149" spans="5:24" x14ac:dyDescent="0.2">
      <c r="E149" s="183"/>
    </row>
  </sheetData>
  <mergeCells count="28">
    <mergeCell ref="A138:A140"/>
    <mergeCell ref="A144:C144"/>
    <mergeCell ref="Q7:Q8"/>
    <mergeCell ref="R7:R8"/>
    <mergeCell ref="S7:S8"/>
    <mergeCell ref="A135:A137"/>
    <mergeCell ref="W6:W8"/>
    <mergeCell ref="X6:X8"/>
    <mergeCell ref="F7:F8"/>
    <mergeCell ref="G7:H7"/>
    <mergeCell ref="I7:I8"/>
    <mergeCell ref="K7:K8"/>
    <mergeCell ref="L7:L8"/>
    <mergeCell ref="N7:N8"/>
    <mergeCell ref="P7:P8"/>
    <mergeCell ref="A5:V5"/>
    <mergeCell ref="A6:A8"/>
    <mergeCell ref="B6:B8"/>
    <mergeCell ref="C6:C8"/>
    <mergeCell ref="D6:D8"/>
    <mergeCell ref="E6:E8"/>
    <mergeCell ref="F6:N6"/>
    <mergeCell ref="O6:O8"/>
    <mergeCell ref="P6:U6"/>
    <mergeCell ref="V6:V8"/>
    <mergeCell ref="T7:T8"/>
    <mergeCell ref="U7:U8"/>
    <mergeCell ref="J7:J8"/>
  </mergeCells>
  <conditionalFormatting sqref="C22">
    <cfRule type="duplicateValues" dxfId="16" priority="16" stopIfTrue="1"/>
  </conditionalFormatting>
  <conditionalFormatting sqref="C23">
    <cfRule type="duplicateValues" dxfId="15" priority="15" stopIfTrue="1"/>
  </conditionalFormatting>
  <conditionalFormatting sqref="C24">
    <cfRule type="duplicateValues" dxfId="14" priority="14" stopIfTrue="1"/>
  </conditionalFormatting>
  <conditionalFormatting sqref="C25:C26">
    <cfRule type="duplicateValues" dxfId="13" priority="13" stopIfTrue="1"/>
  </conditionalFormatting>
  <conditionalFormatting sqref="C27:C28">
    <cfRule type="duplicateValues" dxfId="12" priority="12" stopIfTrue="1"/>
  </conditionalFormatting>
  <conditionalFormatting sqref="C29:C30">
    <cfRule type="duplicateValues" dxfId="11" priority="11" stopIfTrue="1"/>
  </conditionalFormatting>
  <conditionalFormatting sqref="C31">
    <cfRule type="duplicateValues" dxfId="10" priority="10" stopIfTrue="1"/>
  </conditionalFormatting>
  <conditionalFormatting sqref="C32:C33">
    <cfRule type="duplicateValues" dxfId="9" priority="9" stopIfTrue="1"/>
  </conditionalFormatting>
  <conditionalFormatting sqref="C34:C35">
    <cfRule type="duplicateValues" dxfId="8" priority="8" stopIfTrue="1"/>
  </conditionalFormatting>
  <conditionalFormatting sqref="C37:C38">
    <cfRule type="duplicateValues" dxfId="7" priority="7" stopIfTrue="1"/>
  </conditionalFormatting>
  <conditionalFormatting sqref="C39:C40">
    <cfRule type="duplicateValues" dxfId="6" priority="6" stopIfTrue="1"/>
  </conditionalFormatting>
  <conditionalFormatting sqref="C41:C42">
    <cfRule type="duplicateValues" dxfId="5" priority="5" stopIfTrue="1"/>
  </conditionalFormatting>
  <conditionalFormatting sqref="C43:C44">
    <cfRule type="duplicateValues" dxfId="4" priority="4" stopIfTrue="1"/>
  </conditionalFormatting>
  <conditionalFormatting sqref="C45:C46">
    <cfRule type="duplicateValues" dxfId="3" priority="3" stopIfTrue="1"/>
  </conditionalFormatting>
  <conditionalFormatting sqref="C47:C48">
    <cfRule type="duplicateValues" dxfId="2" priority="2" stopIfTrue="1"/>
  </conditionalFormatting>
  <conditionalFormatting sqref="C49:C50">
    <cfRule type="duplicateValues" dxfId="1" priority="1" stopIfTrue="1"/>
  </conditionalFormatting>
  <conditionalFormatting sqref="C36">
    <cfRule type="duplicateValues" dxfId="0" priority="17" stopIfTrue="1"/>
  </conditionalFormatting>
  <pageMargins left="0" right="0" top="0" bottom="0" header="0.31496062992125984" footer="0.31496062992125984"/>
  <pageSetup paperSize="9" scale="65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88"/>
  <sheetViews>
    <sheetView zoomScale="70" zoomScaleNormal="70" workbookViewId="0">
      <pane xSplit="3" ySplit="5" topLeftCell="D54" activePane="bottomRight" state="frozen"/>
      <selection pane="topRight" activeCell="D1" sqref="D1"/>
      <selection pane="bottomLeft" activeCell="A6" sqref="A6"/>
      <selection pane="bottomRight" activeCell="J85" sqref="J85"/>
    </sheetView>
  </sheetViews>
  <sheetFormatPr defaultColWidth="9.140625" defaultRowHeight="15" x14ac:dyDescent="0.25"/>
  <cols>
    <col min="1" max="1" width="9.140625" style="77"/>
    <col min="2" max="2" width="54.28515625" style="571" customWidth="1"/>
    <col min="3" max="3" width="12.140625" style="77" customWidth="1"/>
    <col min="4" max="4" width="11.42578125" style="77" customWidth="1"/>
    <col min="5" max="5" width="11.7109375" style="77" customWidth="1"/>
    <col min="6" max="7" width="12.42578125" style="77" customWidth="1"/>
    <col min="8" max="8" width="13.140625" style="77" customWidth="1"/>
    <col min="9" max="9" width="16.42578125" style="77" customWidth="1"/>
    <col min="10" max="10" width="11.28515625" style="77" customWidth="1"/>
    <col min="11" max="11" width="12.140625" style="77" customWidth="1"/>
    <col min="12" max="12" width="13.42578125" style="77" customWidth="1"/>
    <col min="13" max="13" width="11.42578125" style="77" customWidth="1"/>
    <col min="14" max="14" width="19" style="77" customWidth="1"/>
    <col min="15" max="15" width="19.28515625" style="77" customWidth="1"/>
    <col min="16" max="16" width="19.7109375" style="77" customWidth="1"/>
    <col min="17" max="17" width="24.85546875" style="77" customWidth="1"/>
    <col min="18" max="18" width="17.42578125" style="77" customWidth="1"/>
    <col min="19" max="16384" width="9.140625" style="77"/>
  </cols>
  <sheetData>
    <row r="1" spans="1:21" ht="33.75" customHeight="1" x14ac:dyDescent="0.25">
      <c r="A1" s="76"/>
      <c r="B1" s="972" t="s">
        <v>325</v>
      </c>
      <c r="C1" s="972"/>
      <c r="D1" s="972"/>
      <c r="E1" s="972"/>
      <c r="F1" s="972"/>
      <c r="G1" s="972"/>
      <c r="H1" s="972"/>
      <c r="I1" s="972"/>
      <c r="J1" s="972"/>
      <c r="K1" s="972"/>
      <c r="L1" s="972"/>
      <c r="M1" s="972"/>
      <c r="N1" s="972"/>
      <c r="O1" s="972"/>
      <c r="P1" s="972"/>
      <c r="Q1" s="972"/>
      <c r="R1" s="972"/>
    </row>
    <row r="2" spans="1:21" ht="15.75" customHeight="1" x14ac:dyDescent="0.25"/>
    <row r="3" spans="1:21" ht="15.75" customHeight="1" x14ac:dyDescent="0.25">
      <c r="A3" s="973" t="s">
        <v>0</v>
      </c>
      <c r="B3" s="974" t="s">
        <v>309</v>
      </c>
      <c r="C3" s="975" t="s">
        <v>326</v>
      </c>
      <c r="D3" s="976" t="s">
        <v>327</v>
      </c>
      <c r="E3" s="976"/>
      <c r="F3" s="976"/>
      <c r="G3" s="976"/>
      <c r="H3" s="976"/>
      <c r="I3" s="976" t="s">
        <v>328</v>
      </c>
      <c r="J3" s="976"/>
      <c r="K3" s="976"/>
      <c r="L3" s="976"/>
      <c r="M3" s="976"/>
      <c r="N3" s="976"/>
      <c r="O3" s="976"/>
      <c r="P3" s="976"/>
      <c r="Q3" s="976"/>
      <c r="R3" s="976"/>
    </row>
    <row r="4" spans="1:21" ht="16.5" customHeight="1" x14ac:dyDescent="0.25">
      <c r="A4" s="973"/>
      <c r="B4" s="974"/>
      <c r="C4" s="975"/>
      <c r="D4" s="977" t="s">
        <v>13</v>
      </c>
      <c r="E4" s="976" t="s">
        <v>329</v>
      </c>
      <c r="F4" s="976" t="s">
        <v>6</v>
      </c>
      <c r="G4" s="976"/>
      <c r="H4" s="976" t="s">
        <v>330</v>
      </c>
      <c r="I4" s="968" t="s">
        <v>329</v>
      </c>
      <c r="J4" s="969"/>
      <c r="K4" s="969"/>
      <c r="L4" s="969"/>
      <c r="M4" s="969"/>
      <c r="N4" s="970"/>
      <c r="O4" s="971" t="s">
        <v>330</v>
      </c>
      <c r="P4" s="971"/>
      <c r="Q4" s="971"/>
      <c r="R4" s="971"/>
    </row>
    <row r="5" spans="1:21" ht="90" customHeight="1" x14ac:dyDescent="0.25">
      <c r="A5" s="973"/>
      <c r="B5" s="974"/>
      <c r="C5" s="975"/>
      <c r="D5" s="977"/>
      <c r="E5" s="976"/>
      <c r="F5" s="78" t="s">
        <v>331</v>
      </c>
      <c r="G5" s="78" t="s">
        <v>332</v>
      </c>
      <c r="H5" s="976"/>
      <c r="I5" s="79" t="s">
        <v>333</v>
      </c>
      <c r="J5" s="79" t="s">
        <v>334</v>
      </c>
      <c r="K5" s="79" t="s">
        <v>332</v>
      </c>
      <c r="L5" s="79" t="s">
        <v>335</v>
      </c>
      <c r="M5" s="79" t="s">
        <v>336</v>
      </c>
      <c r="N5" s="79" t="s">
        <v>337</v>
      </c>
      <c r="O5" s="79" t="s">
        <v>338</v>
      </c>
      <c r="P5" s="79" t="s">
        <v>339</v>
      </c>
      <c r="Q5" s="79" t="s">
        <v>340</v>
      </c>
      <c r="R5" s="79" t="s">
        <v>341</v>
      </c>
      <c r="S5" s="80"/>
    </row>
    <row r="6" spans="1:21" ht="15.75" x14ac:dyDescent="0.25">
      <c r="A6" s="81">
        <v>1</v>
      </c>
      <c r="B6" s="572" t="s">
        <v>207</v>
      </c>
      <c r="C6" s="88" t="s">
        <v>206</v>
      </c>
      <c r="D6" s="82">
        <v>740</v>
      </c>
      <c r="E6" s="82">
        <v>440</v>
      </c>
      <c r="F6" s="82">
        <v>70</v>
      </c>
      <c r="G6" s="82">
        <v>370</v>
      </c>
      <c r="H6" s="82">
        <v>300</v>
      </c>
      <c r="I6" s="82">
        <v>88</v>
      </c>
      <c r="J6" s="82">
        <v>14</v>
      </c>
      <c r="K6" s="82">
        <v>74</v>
      </c>
      <c r="L6" s="82">
        <v>88</v>
      </c>
      <c r="M6" s="82">
        <v>88</v>
      </c>
      <c r="N6" s="82">
        <v>74</v>
      </c>
      <c r="O6" s="82">
        <v>60</v>
      </c>
      <c r="P6" s="82">
        <v>60</v>
      </c>
      <c r="Q6" s="82">
        <v>60</v>
      </c>
      <c r="R6" s="82">
        <v>60</v>
      </c>
      <c r="U6" s="83"/>
    </row>
    <row r="7" spans="1:21" ht="15.75" x14ac:dyDescent="0.25">
      <c r="A7" s="81">
        <v>2</v>
      </c>
      <c r="B7" s="572" t="s">
        <v>342</v>
      </c>
      <c r="C7" s="88" t="s">
        <v>132</v>
      </c>
      <c r="D7" s="82">
        <v>2321</v>
      </c>
      <c r="E7" s="82">
        <v>1071</v>
      </c>
      <c r="F7" s="82">
        <v>208</v>
      </c>
      <c r="G7" s="82">
        <v>863</v>
      </c>
      <c r="H7" s="82">
        <v>1250</v>
      </c>
      <c r="I7" s="82">
        <v>215</v>
      </c>
      <c r="J7" s="82">
        <v>42</v>
      </c>
      <c r="K7" s="82">
        <v>173</v>
      </c>
      <c r="L7" s="82">
        <v>215</v>
      </c>
      <c r="M7" s="82">
        <v>215</v>
      </c>
      <c r="N7" s="82">
        <v>173</v>
      </c>
      <c r="O7" s="82">
        <v>250</v>
      </c>
      <c r="P7" s="82">
        <v>250</v>
      </c>
      <c r="Q7" s="82">
        <v>250</v>
      </c>
      <c r="R7" s="82">
        <v>250</v>
      </c>
    </row>
    <row r="8" spans="1:21" ht="15.75" x14ac:dyDescent="0.25">
      <c r="A8" s="81">
        <v>3</v>
      </c>
      <c r="B8" s="572" t="s">
        <v>343</v>
      </c>
      <c r="C8" s="88" t="s">
        <v>128</v>
      </c>
      <c r="D8" s="82">
        <v>4348</v>
      </c>
      <c r="E8" s="82">
        <v>2117</v>
      </c>
      <c r="F8" s="82">
        <v>518</v>
      </c>
      <c r="G8" s="82">
        <v>1599</v>
      </c>
      <c r="H8" s="82">
        <v>2231</v>
      </c>
      <c r="I8" s="82">
        <v>424</v>
      </c>
      <c r="J8" s="82">
        <v>104</v>
      </c>
      <c r="K8" s="82">
        <v>320</v>
      </c>
      <c r="L8" s="82">
        <v>424</v>
      </c>
      <c r="M8" s="82">
        <v>424</v>
      </c>
      <c r="N8" s="82">
        <v>320</v>
      </c>
      <c r="O8" s="82">
        <v>446</v>
      </c>
      <c r="P8" s="82">
        <v>446</v>
      </c>
      <c r="Q8" s="82">
        <v>446</v>
      </c>
      <c r="R8" s="82">
        <v>446</v>
      </c>
    </row>
    <row r="9" spans="1:21" ht="15.75" x14ac:dyDescent="0.25">
      <c r="A9" s="81">
        <v>4</v>
      </c>
      <c r="B9" s="572" t="s">
        <v>344</v>
      </c>
      <c r="C9" s="88" t="s">
        <v>134</v>
      </c>
      <c r="D9" s="82">
        <v>4191</v>
      </c>
      <c r="E9" s="82">
        <v>1944</v>
      </c>
      <c r="F9" s="82">
        <v>405</v>
      </c>
      <c r="G9" s="82">
        <v>1539</v>
      </c>
      <c r="H9" s="82">
        <v>2247</v>
      </c>
      <c r="I9" s="82">
        <v>389</v>
      </c>
      <c r="J9" s="82">
        <v>81</v>
      </c>
      <c r="K9" s="82">
        <v>308</v>
      </c>
      <c r="L9" s="82">
        <v>389</v>
      </c>
      <c r="M9" s="82">
        <v>389</v>
      </c>
      <c r="N9" s="82">
        <v>308</v>
      </c>
      <c r="O9" s="82">
        <v>449</v>
      </c>
      <c r="P9" s="82">
        <v>449</v>
      </c>
      <c r="Q9" s="82">
        <v>449</v>
      </c>
      <c r="R9" s="82">
        <v>449</v>
      </c>
    </row>
    <row r="10" spans="1:21" ht="15.75" x14ac:dyDescent="0.25">
      <c r="A10" s="81">
        <v>5</v>
      </c>
      <c r="B10" s="572" t="s">
        <v>345</v>
      </c>
      <c r="C10" s="88" t="s">
        <v>108</v>
      </c>
      <c r="D10" s="82">
        <v>3249</v>
      </c>
      <c r="E10" s="82">
        <v>1459</v>
      </c>
      <c r="F10" s="82">
        <v>390</v>
      </c>
      <c r="G10" s="82">
        <v>1069</v>
      </c>
      <c r="H10" s="82">
        <v>1790</v>
      </c>
      <c r="I10" s="82">
        <v>292</v>
      </c>
      <c r="J10" s="82">
        <v>78</v>
      </c>
      <c r="K10" s="82">
        <v>214</v>
      </c>
      <c r="L10" s="82">
        <v>292</v>
      </c>
      <c r="M10" s="82">
        <v>292</v>
      </c>
      <c r="N10" s="82">
        <v>214</v>
      </c>
      <c r="O10" s="82">
        <v>358</v>
      </c>
      <c r="P10" s="82">
        <v>358</v>
      </c>
      <c r="Q10" s="82">
        <v>358</v>
      </c>
      <c r="R10" s="82">
        <v>358</v>
      </c>
    </row>
    <row r="11" spans="1:21" ht="15.75" x14ac:dyDescent="0.25">
      <c r="A11" s="81">
        <v>6</v>
      </c>
      <c r="B11" s="572" t="s">
        <v>346</v>
      </c>
      <c r="C11" s="88" t="s">
        <v>106</v>
      </c>
      <c r="D11" s="82">
        <v>10597</v>
      </c>
      <c r="E11" s="82">
        <v>5239</v>
      </c>
      <c r="F11" s="82">
        <v>1281</v>
      </c>
      <c r="G11" s="82">
        <v>3958</v>
      </c>
      <c r="H11" s="82">
        <v>5358</v>
      </c>
      <c r="I11" s="82">
        <v>1048</v>
      </c>
      <c r="J11" s="82">
        <v>256</v>
      </c>
      <c r="K11" s="82">
        <v>792</v>
      </c>
      <c r="L11" s="82">
        <v>1048</v>
      </c>
      <c r="M11" s="82">
        <v>1048</v>
      </c>
      <c r="N11" s="82">
        <v>792</v>
      </c>
      <c r="O11" s="82">
        <v>1072</v>
      </c>
      <c r="P11" s="82">
        <v>1072</v>
      </c>
      <c r="Q11" s="82">
        <v>1072</v>
      </c>
      <c r="R11" s="82">
        <v>1072</v>
      </c>
    </row>
    <row r="12" spans="1:21" ht="15.75" x14ac:dyDescent="0.25">
      <c r="A12" s="81">
        <v>7</v>
      </c>
      <c r="B12" s="572" t="s">
        <v>347</v>
      </c>
      <c r="C12" s="88" t="s">
        <v>100</v>
      </c>
      <c r="D12" s="82">
        <v>2793</v>
      </c>
      <c r="E12" s="82">
        <v>1254</v>
      </c>
      <c r="F12" s="82">
        <v>325</v>
      </c>
      <c r="G12" s="82">
        <v>929</v>
      </c>
      <c r="H12" s="82">
        <v>1539</v>
      </c>
      <c r="I12" s="82">
        <v>251</v>
      </c>
      <c r="J12" s="82">
        <v>65</v>
      </c>
      <c r="K12" s="82">
        <v>186</v>
      </c>
      <c r="L12" s="82">
        <v>251</v>
      </c>
      <c r="M12" s="82">
        <v>251</v>
      </c>
      <c r="N12" s="82">
        <v>186</v>
      </c>
      <c r="O12" s="82">
        <v>308</v>
      </c>
      <c r="P12" s="82">
        <v>308</v>
      </c>
      <c r="Q12" s="82">
        <v>308</v>
      </c>
      <c r="R12" s="82">
        <v>308</v>
      </c>
    </row>
    <row r="13" spans="1:21" ht="15.75" x14ac:dyDescent="0.25">
      <c r="A13" s="81">
        <v>8</v>
      </c>
      <c r="B13" s="572" t="s">
        <v>348</v>
      </c>
      <c r="C13" s="88" t="s">
        <v>26</v>
      </c>
      <c r="D13" s="82">
        <v>10304</v>
      </c>
      <c r="E13" s="82">
        <v>5182</v>
      </c>
      <c r="F13" s="82">
        <v>1251</v>
      </c>
      <c r="G13" s="82">
        <v>3931</v>
      </c>
      <c r="H13" s="82">
        <v>5122</v>
      </c>
      <c r="I13" s="82">
        <v>1036</v>
      </c>
      <c r="J13" s="82">
        <v>250</v>
      </c>
      <c r="K13" s="82">
        <v>786</v>
      </c>
      <c r="L13" s="82">
        <v>1036</v>
      </c>
      <c r="M13" s="82">
        <v>1036</v>
      </c>
      <c r="N13" s="82">
        <v>786</v>
      </c>
      <c r="O13" s="82">
        <v>1024</v>
      </c>
      <c r="P13" s="82">
        <v>1024</v>
      </c>
      <c r="Q13" s="82">
        <v>1024</v>
      </c>
      <c r="R13" s="82">
        <v>1024</v>
      </c>
    </row>
    <row r="14" spans="1:21" ht="15.75" x14ac:dyDescent="0.25">
      <c r="A14" s="81">
        <v>9</v>
      </c>
      <c r="B14" s="572" t="s">
        <v>349</v>
      </c>
      <c r="C14" s="88" t="s">
        <v>18</v>
      </c>
      <c r="D14" s="82">
        <v>22024</v>
      </c>
      <c r="E14" s="82">
        <v>11524</v>
      </c>
      <c r="F14" s="82">
        <v>2792</v>
      </c>
      <c r="G14" s="82">
        <v>8732</v>
      </c>
      <c r="H14" s="82">
        <v>10500</v>
      </c>
      <c r="I14" s="82">
        <v>2304</v>
      </c>
      <c r="J14" s="82">
        <v>558</v>
      </c>
      <c r="K14" s="82">
        <v>1746</v>
      </c>
      <c r="L14" s="82">
        <v>2304</v>
      </c>
      <c r="M14" s="82">
        <v>2304</v>
      </c>
      <c r="N14" s="82">
        <v>1746</v>
      </c>
      <c r="O14" s="82">
        <v>2100</v>
      </c>
      <c r="P14" s="82">
        <v>2100</v>
      </c>
      <c r="Q14" s="82">
        <v>2100</v>
      </c>
      <c r="R14" s="82">
        <v>2100</v>
      </c>
    </row>
    <row r="15" spans="1:21" ht="15.75" x14ac:dyDescent="0.25">
      <c r="A15" s="81">
        <v>10</v>
      </c>
      <c r="B15" s="572" t="s">
        <v>350</v>
      </c>
      <c r="C15" s="88" t="s">
        <v>68</v>
      </c>
      <c r="D15" s="82">
        <v>3533</v>
      </c>
      <c r="E15" s="82">
        <v>1625</v>
      </c>
      <c r="F15" s="82">
        <v>395</v>
      </c>
      <c r="G15" s="82">
        <v>1230</v>
      </c>
      <c r="H15" s="82">
        <v>1908</v>
      </c>
      <c r="I15" s="82">
        <v>325</v>
      </c>
      <c r="J15" s="82">
        <v>79</v>
      </c>
      <c r="K15" s="82">
        <v>246</v>
      </c>
      <c r="L15" s="82">
        <v>325</v>
      </c>
      <c r="M15" s="82">
        <v>325</v>
      </c>
      <c r="N15" s="82">
        <v>246</v>
      </c>
      <c r="O15" s="82">
        <v>382</v>
      </c>
      <c r="P15" s="82">
        <v>382</v>
      </c>
      <c r="Q15" s="82">
        <v>382</v>
      </c>
      <c r="R15" s="82">
        <v>382</v>
      </c>
    </row>
    <row r="16" spans="1:21" ht="15.75" x14ac:dyDescent="0.25">
      <c r="A16" s="81">
        <v>11</v>
      </c>
      <c r="B16" s="572" t="s">
        <v>351</v>
      </c>
      <c r="C16" s="88" t="s">
        <v>64</v>
      </c>
      <c r="D16" s="82">
        <v>2758</v>
      </c>
      <c r="E16" s="82">
        <v>1230</v>
      </c>
      <c r="F16" s="82">
        <v>345</v>
      </c>
      <c r="G16" s="82">
        <v>885</v>
      </c>
      <c r="H16" s="82">
        <v>1528</v>
      </c>
      <c r="I16" s="82">
        <v>246</v>
      </c>
      <c r="J16" s="82">
        <v>69</v>
      </c>
      <c r="K16" s="82">
        <v>177</v>
      </c>
      <c r="L16" s="82">
        <v>246</v>
      </c>
      <c r="M16" s="82">
        <v>246</v>
      </c>
      <c r="N16" s="82">
        <v>177</v>
      </c>
      <c r="O16" s="82">
        <v>306</v>
      </c>
      <c r="P16" s="82">
        <v>306</v>
      </c>
      <c r="Q16" s="82">
        <v>306</v>
      </c>
      <c r="R16" s="82">
        <v>306</v>
      </c>
    </row>
    <row r="17" spans="1:18" ht="15.75" x14ac:dyDescent="0.25">
      <c r="A17" s="81">
        <v>12</v>
      </c>
      <c r="B17" s="572" t="s">
        <v>352</v>
      </c>
      <c r="C17" s="88" t="s">
        <v>28</v>
      </c>
      <c r="D17" s="82">
        <v>14959</v>
      </c>
      <c r="E17" s="82">
        <v>7709</v>
      </c>
      <c r="F17" s="82">
        <v>1766</v>
      </c>
      <c r="G17" s="82">
        <v>5943</v>
      </c>
      <c r="H17" s="82">
        <v>7250</v>
      </c>
      <c r="I17" s="82">
        <v>1542</v>
      </c>
      <c r="J17" s="82">
        <v>353</v>
      </c>
      <c r="K17" s="82">
        <v>1189</v>
      </c>
      <c r="L17" s="82">
        <v>1542</v>
      </c>
      <c r="M17" s="82">
        <v>1542</v>
      </c>
      <c r="N17" s="82">
        <v>1189</v>
      </c>
      <c r="O17" s="82">
        <v>1450</v>
      </c>
      <c r="P17" s="82">
        <v>1450</v>
      </c>
      <c r="Q17" s="82">
        <v>1450</v>
      </c>
      <c r="R17" s="82">
        <v>1450</v>
      </c>
    </row>
    <row r="18" spans="1:18" ht="15.75" x14ac:dyDescent="0.25">
      <c r="A18" s="81">
        <v>13</v>
      </c>
      <c r="B18" s="572" t="s">
        <v>353</v>
      </c>
      <c r="C18" s="88" t="s">
        <v>116</v>
      </c>
      <c r="D18" s="82">
        <v>2126</v>
      </c>
      <c r="E18" s="82">
        <v>836</v>
      </c>
      <c r="F18" s="82">
        <v>97</v>
      </c>
      <c r="G18" s="82">
        <v>739</v>
      </c>
      <c r="H18" s="82">
        <v>1290</v>
      </c>
      <c r="I18" s="82">
        <v>167</v>
      </c>
      <c r="J18" s="82">
        <v>19</v>
      </c>
      <c r="K18" s="82">
        <v>148</v>
      </c>
      <c r="L18" s="82">
        <v>167</v>
      </c>
      <c r="M18" s="82">
        <v>167</v>
      </c>
      <c r="N18" s="82">
        <v>148</v>
      </c>
      <c r="O18" s="82">
        <v>258</v>
      </c>
      <c r="P18" s="82">
        <v>258</v>
      </c>
      <c r="Q18" s="82">
        <v>258</v>
      </c>
      <c r="R18" s="82">
        <v>258</v>
      </c>
    </row>
    <row r="19" spans="1:18" ht="15.75" x14ac:dyDescent="0.25">
      <c r="A19" s="81">
        <v>14</v>
      </c>
      <c r="B19" s="572" t="s">
        <v>354</v>
      </c>
      <c r="C19" s="88" t="s">
        <v>114</v>
      </c>
      <c r="D19" s="82">
        <v>1434</v>
      </c>
      <c r="E19" s="82">
        <v>637</v>
      </c>
      <c r="F19" s="82">
        <v>178</v>
      </c>
      <c r="G19" s="82">
        <v>459</v>
      </c>
      <c r="H19" s="82">
        <v>797</v>
      </c>
      <c r="I19" s="82">
        <v>128</v>
      </c>
      <c r="J19" s="82">
        <v>36</v>
      </c>
      <c r="K19" s="82">
        <v>92</v>
      </c>
      <c r="L19" s="82">
        <v>128</v>
      </c>
      <c r="M19" s="82">
        <v>128</v>
      </c>
      <c r="N19" s="82">
        <v>92</v>
      </c>
      <c r="O19" s="82">
        <v>159</v>
      </c>
      <c r="P19" s="82">
        <v>159</v>
      </c>
      <c r="Q19" s="82">
        <v>159</v>
      </c>
      <c r="R19" s="82">
        <v>159</v>
      </c>
    </row>
    <row r="20" spans="1:18" ht="15.75" x14ac:dyDescent="0.25">
      <c r="A20" s="81">
        <v>15</v>
      </c>
      <c r="B20" s="572" t="s">
        <v>355</v>
      </c>
      <c r="C20" s="88" t="s">
        <v>98</v>
      </c>
      <c r="D20" s="82">
        <v>16719</v>
      </c>
      <c r="E20" s="82">
        <v>8848</v>
      </c>
      <c r="F20" s="82">
        <v>2517</v>
      </c>
      <c r="G20" s="82">
        <v>6331</v>
      </c>
      <c r="H20" s="82">
        <v>7871</v>
      </c>
      <c r="I20" s="82">
        <v>1769</v>
      </c>
      <c r="J20" s="82">
        <v>503</v>
      </c>
      <c r="K20" s="82">
        <v>1266</v>
      </c>
      <c r="L20" s="82">
        <v>1769</v>
      </c>
      <c r="M20" s="82">
        <v>1769</v>
      </c>
      <c r="N20" s="82">
        <v>1266</v>
      </c>
      <c r="O20" s="82">
        <v>1574</v>
      </c>
      <c r="P20" s="82">
        <v>1574</v>
      </c>
      <c r="Q20" s="82">
        <v>1574</v>
      </c>
      <c r="R20" s="82">
        <v>1574</v>
      </c>
    </row>
    <row r="21" spans="1:18" ht="15.75" x14ac:dyDescent="0.25">
      <c r="A21" s="81">
        <v>16</v>
      </c>
      <c r="B21" s="572" t="s">
        <v>356</v>
      </c>
      <c r="C21" s="88" t="s">
        <v>76</v>
      </c>
      <c r="D21" s="82">
        <v>3542</v>
      </c>
      <c r="E21" s="82">
        <v>1632</v>
      </c>
      <c r="F21" s="82">
        <v>470</v>
      </c>
      <c r="G21" s="82">
        <v>1162</v>
      </c>
      <c r="H21" s="82">
        <v>1910</v>
      </c>
      <c r="I21" s="82">
        <v>326</v>
      </c>
      <c r="J21" s="82">
        <v>94</v>
      </c>
      <c r="K21" s="82">
        <v>232</v>
      </c>
      <c r="L21" s="82">
        <v>326</v>
      </c>
      <c r="M21" s="82">
        <v>326</v>
      </c>
      <c r="N21" s="82">
        <v>232</v>
      </c>
      <c r="O21" s="82">
        <v>382</v>
      </c>
      <c r="P21" s="82">
        <v>382</v>
      </c>
      <c r="Q21" s="82">
        <v>382</v>
      </c>
      <c r="R21" s="82">
        <v>382</v>
      </c>
    </row>
    <row r="22" spans="1:18" ht="15.75" x14ac:dyDescent="0.25">
      <c r="A22" s="81">
        <v>17</v>
      </c>
      <c r="B22" s="572" t="s">
        <v>357</v>
      </c>
      <c r="C22" s="88" t="s">
        <v>22</v>
      </c>
      <c r="D22" s="82">
        <v>8120</v>
      </c>
      <c r="E22" s="82">
        <v>4326</v>
      </c>
      <c r="F22" s="82">
        <v>1217</v>
      </c>
      <c r="G22" s="82">
        <v>3109</v>
      </c>
      <c r="H22" s="82">
        <v>3794</v>
      </c>
      <c r="I22" s="82">
        <v>865</v>
      </c>
      <c r="J22" s="82">
        <v>243</v>
      </c>
      <c r="K22" s="82">
        <v>622</v>
      </c>
      <c r="L22" s="82">
        <v>865</v>
      </c>
      <c r="M22" s="82">
        <v>865</v>
      </c>
      <c r="N22" s="82">
        <v>622</v>
      </c>
      <c r="O22" s="82">
        <v>759</v>
      </c>
      <c r="P22" s="82">
        <v>759</v>
      </c>
      <c r="Q22" s="82">
        <v>759</v>
      </c>
      <c r="R22" s="82">
        <v>759</v>
      </c>
    </row>
    <row r="23" spans="1:18" ht="15.75" x14ac:dyDescent="0.25">
      <c r="A23" s="81">
        <v>18</v>
      </c>
      <c r="B23" s="572" t="s">
        <v>358</v>
      </c>
      <c r="C23" s="88" t="s">
        <v>92</v>
      </c>
      <c r="D23" s="82">
        <v>44346</v>
      </c>
      <c r="E23" s="82">
        <v>23282</v>
      </c>
      <c r="F23" s="82">
        <v>6549</v>
      </c>
      <c r="G23" s="82">
        <v>16733</v>
      </c>
      <c r="H23" s="82">
        <v>21064</v>
      </c>
      <c r="I23" s="82">
        <v>4657</v>
      </c>
      <c r="J23" s="82">
        <v>1310</v>
      </c>
      <c r="K23" s="82">
        <v>3347</v>
      </c>
      <c r="L23" s="82">
        <v>4657</v>
      </c>
      <c r="M23" s="82">
        <v>4657</v>
      </c>
      <c r="N23" s="82">
        <v>3347</v>
      </c>
      <c r="O23" s="82">
        <v>4213</v>
      </c>
      <c r="P23" s="82">
        <v>4213</v>
      </c>
      <c r="Q23" s="82">
        <v>4213</v>
      </c>
      <c r="R23" s="82">
        <v>4213</v>
      </c>
    </row>
    <row r="24" spans="1:18" ht="15.75" x14ac:dyDescent="0.25">
      <c r="A24" s="81">
        <v>19</v>
      </c>
      <c r="B24" s="572" t="s">
        <v>359</v>
      </c>
      <c r="C24" s="88" t="s">
        <v>104</v>
      </c>
      <c r="D24" s="82">
        <v>3731</v>
      </c>
      <c r="E24" s="82">
        <v>1658</v>
      </c>
      <c r="F24" s="82">
        <v>464</v>
      </c>
      <c r="G24" s="82">
        <v>1194</v>
      </c>
      <c r="H24" s="82">
        <v>2073</v>
      </c>
      <c r="I24" s="82">
        <v>332</v>
      </c>
      <c r="J24" s="82">
        <v>93</v>
      </c>
      <c r="K24" s="82">
        <v>239</v>
      </c>
      <c r="L24" s="82">
        <v>332</v>
      </c>
      <c r="M24" s="82">
        <v>332</v>
      </c>
      <c r="N24" s="82">
        <v>239</v>
      </c>
      <c r="O24" s="82">
        <v>415</v>
      </c>
      <c r="P24" s="82">
        <v>415</v>
      </c>
      <c r="Q24" s="82">
        <v>415</v>
      </c>
      <c r="R24" s="82">
        <v>415</v>
      </c>
    </row>
    <row r="25" spans="1:18" ht="15.75" x14ac:dyDescent="0.25">
      <c r="A25" s="81">
        <v>20</v>
      </c>
      <c r="B25" s="572" t="s">
        <v>360</v>
      </c>
      <c r="C25" s="88" t="s">
        <v>110</v>
      </c>
      <c r="D25" s="82">
        <v>1772</v>
      </c>
      <c r="E25" s="82">
        <v>803</v>
      </c>
      <c r="F25" s="82">
        <v>222</v>
      </c>
      <c r="G25" s="82">
        <v>581</v>
      </c>
      <c r="H25" s="82">
        <v>969</v>
      </c>
      <c r="I25" s="82">
        <v>160</v>
      </c>
      <c r="J25" s="82">
        <v>44</v>
      </c>
      <c r="K25" s="82">
        <v>116</v>
      </c>
      <c r="L25" s="82">
        <v>160</v>
      </c>
      <c r="M25" s="82">
        <v>160</v>
      </c>
      <c r="N25" s="82">
        <v>116</v>
      </c>
      <c r="O25" s="82">
        <v>194</v>
      </c>
      <c r="P25" s="82">
        <v>194</v>
      </c>
      <c r="Q25" s="82">
        <v>194</v>
      </c>
      <c r="R25" s="82">
        <v>194</v>
      </c>
    </row>
    <row r="26" spans="1:18" ht="15.75" x14ac:dyDescent="0.25">
      <c r="A26" s="81">
        <v>21</v>
      </c>
      <c r="B26" s="572" t="s">
        <v>361</v>
      </c>
      <c r="C26" s="88" t="s">
        <v>112</v>
      </c>
      <c r="D26" s="82">
        <v>3322</v>
      </c>
      <c r="E26" s="82">
        <v>1481</v>
      </c>
      <c r="F26" s="82">
        <v>392</v>
      </c>
      <c r="G26" s="82">
        <v>1089</v>
      </c>
      <c r="H26" s="82">
        <v>1841</v>
      </c>
      <c r="I26" s="82">
        <v>296</v>
      </c>
      <c r="J26" s="82">
        <v>78</v>
      </c>
      <c r="K26" s="82">
        <v>218</v>
      </c>
      <c r="L26" s="82">
        <v>296</v>
      </c>
      <c r="M26" s="82">
        <v>296</v>
      </c>
      <c r="N26" s="82">
        <v>218</v>
      </c>
      <c r="O26" s="82">
        <v>368</v>
      </c>
      <c r="P26" s="82">
        <v>368</v>
      </c>
      <c r="Q26" s="82">
        <v>368</v>
      </c>
      <c r="R26" s="82">
        <v>368</v>
      </c>
    </row>
    <row r="27" spans="1:18" ht="15.75" x14ac:dyDescent="0.25">
      <c r="A27" s="81">
        <v>22</v>
      </c>
      <c r="B27" s="572" t="s">
        <v>362</v>
      </c>
      <c r="C27" s="88" t="s">
        <v>136</v>
      </c>
      <c r="D27" s="82">
        <v>16919</v>
      </c>
      <c r="E27" s="82">
        <v>8499</v>
      </c>
      <c r="F27" s="82">
        <v>2199</v>
      </c>
      <c r="G27" s="82">
        <v>6300</v>
      </c>
      <c r="H27" s="82">
        <v>8420</v>
      </c>
      <c r="I27" s="82">
        <v>1700</v>
      </c>
      <c r="J27" s="82">
        <v>440</v>
      </c>
      <c r="K27" s="82">
        <v>1260</v>
      </c>
      <c r="L27" s="82">
        <v>1700</v>
      </c>
      <c r="M27" s="82">
        <v>1700</v>
      </c>
      <c r="N27" s="82">
        <v>1260</v>
      </c>
      <c r="O27" s="82">
        <v>1684</v>
      </c>
      <c r="P27" s="82">
        <v>1684</v>
      </c>
      <c r="Q27" s="82">
        <v>1684</v>
      </c>
      <c r="R27" s="82">
        <v>1684</v>
      </c>
    </row>
    <row r="28" spans="1:18" ht="15.75" x14ac:dyDescent="0.25">
      <c r="A28" s="81">
        <v>23</v>
      </c>
      <c r="B28" s="572" t="s">
        <v>363</v>
      </c>
      <c r="C28" s="88" t="s">
        <v>140</v>
      </c>
      <c r="D28" s="82">
        <v>2223</v>
      </c>
      <c r="E28" s="82">
        <v>948</v>
      </c>
      <c r="F28" s="82">
        <v>257</v>
      </c>
      <c r="G28" s="82">
        <v>691</v>
      </c>
      <c r="H28" s="82">
        <v>1275</v>
      </c>
      <c r="I28" s="82">
        <v>189</v>
      </c>
      <c r="J28" s="82">
        <v>51</v>
      </c>
      <c r="K28" s="82">
        <v>138</v>
      </c>
      <c r="L28" s="82">
        <v>189</v>
      </c>
      <c r="M28" s="82">
        <v>189</v>
      </c>
      <c r="N28" s="82">
        <v>138</v>
      </c>
      <c r="O28" s="82">
        <v>255</v>
      </c>
      <c r="P28" s="82">
        <v>255</v>
      </c>
      <c r="Q28" s="82">
        <v>255</v>
      </c>
      <c r="R28" s="82">
        <v>255</v>
      </c>
    </row>
    <row r="29" spans="1:18" ht="15.75" x14ac:dyDescent="0.25">
      <c r="A29" s="81">
        <v>24</v>
      </c>
      <c r="B29" s="572" t="s">
        <v>364</v>
      </c>
      <c r="C29" s="88" t="s">
        <v>186</v>
      </c>
      <c r="D29" s="82">
        <v>16783</v>
      </c>
      <c r="E29" s="82">
        <v>8785</v>
      </c>
      <c r="F29" s="82">
        <v>2275</v>
      </c>
      <c r="G29" s="82">
        <v>6510</v>
      </c>
      <c r="H29" s="82">
        <v>7998</v>
      </c>
      <c r="I29" s="82">
        <v>1757</v>
      </c>
      <c r="J29" s="82">
        <v>455</v>
      </c>
      <c r="K29" s="82">
        <v>1302</v>
      </c>
      <c r="L29" s="82">
        <v>1757</v>
      </c>
      <c r="M29" s="82">
        <v>1757</v>
      </c>
      <c r="N29" s="82">
        <v>1302</v>
      </c>
      <c r="O29" s="82">
        <v>1600</v>
      </c>
      <c r="P29" s="82">
        <v>1600</v>
      </c>
      <c r="Q29" s="82">
        <v>1600</v>
      </c>
      <c r="R29" s="82">
        <v>1600</v>
      </c>
    </row>
    <row r="30" spans="1:18" ht="15.75" x14ac:dyDescent="0.25">
      <c r="A30" s="81">
        <v>25</v>
      </c>
      <c r="B30" s="572" t="s">
        <v>365</v>
      </c>
      <c r="C30" s="88" t="s">
        <v>86</v>
      </c>
      <c r="D30" s="82">
        <v>8681</v>
      </c>
      <c r="E30" s="82">
        <v>4229</v>
      </c>
      <c r="F30" s="82">
        <v>1010</v>
      </c>
      <c r="G30" s="82">
        <v>3219</v>
      </c>
      <c r="H30" s="82">
        <v>4452</v>
      </c>
      <c r="I30" s="82">
        <v>846</v>
      </c>
      <c r="J30" s="82">
        <v>202</v>
      </c>
      <c r="K30" s="82">
        <v>644</v>
      </c>
      <c r="L30" s="82">
        <v>846</v>
      </c>
      <c r="M30" s="82">
        <v>846</v>
      </c>
      <c r="N30" s="82">
        <v>644</v>
      </c>
      <c r="O30" s="82">
        <v>890</v>
      </c>
      <c r="P30" s="82">
        <v>890</v>
      </c>
      <c r="Q30" s="82">
        <v>890</v>
      </c>
      <c r="R30" s="82">
        <v>890</v>
      </c>
    </row>
    <row r="31" spans="1:18" ht="15.75" x14ac:dyDescent="0.25">
      <c r="A31" s="81">
        <v>26</v>
      </c>
      <c r="B31" s="572" t="s">
        <v>366</v>
      </c>
      <c r="C31" s="88" t="s">
        <v>230</v>
      </c>
      <c r="D31" s="82">
        <v>5792</v>
      </c>
      <c r="E31" s="82">
        <v>2771</v>
      </c>
      <c r="F31" s="82">
        <v>638</v>
      </c>
      <c r="G31" s="82">
        <v>2133</v>
      </c>
      <c r="H31" s="82">
        <v>3021</v>
      </c>
      <c r="I31" s="82">
        <v>555</v>
      </c>
      <c r="J31" s="82">
        <v>128</v>
      </c>
      <c r="K31" s="82">
        <v>427</v>
      </c>
      <c r="L31" s="82">
        <v>555</v>
      </c>
      <c r="M31" s="82">
        <v>555</v>
      </c>
      <c r="N31" s="82">
        <v>427</v>
      </c>
      <c r="O31" s="82">
        <v>604</v>
      </c>
      <c r="P31" s="82">
        <v>604</v>
      </c>
      <c r="Q31" s="82">
        <v>604</v>
      </c>
      <c r="R31" s="82">
        <v>604</v>
      </c>
    </row>
    <row r="32" spans="1:18" ht="15.75" x14ac:dyDescent="0.25">
      <c r="A32" s="81">
        <v>27</v>
      </c>
      <c r="B32" s="572" t="s">
        <v>367</v>
      </c>
      <c r="C32" s="88" t="s">
        <v>80</v>
      </c>
      <c r="D32" s="82">
        <v>6609</v>
      </c>
      <c r="E32" s="82">
        <v>3034</v>
      </c>
      <c r="F32" s="82">
        <v>819</v>
      </c>
      <c r="G32" s="82">
        <v>2215</v>
      </c>
      <c r="H32" s="82">
        <v>3575</v>
      </c>
      <c r="I32" s="82">
        <v>607</v>
      </c>
      <c r="J32" s="82">
        <v>164</v>
      </c>
      <c r="K32" s="82">
        <v>443</v>
      </c>
      <c r="L32" s="82">
        <v>607</v>
      </c>
      <c r="M32" s="82">
        <v>607</v>
      </c>
      <c r="N32" s="82">
        <v>443</v>
      </c>
      <c r="O32" s="82">
        <v>715</v>
      </c>
      <c r="P32" s="82">
        <v>715</v>
      </c>
      <c r="Q32" s="82">
        <v>715</v>
      </c>
      <c r="R32" s="82">
        <v>715</v>
      </c>
    </row>
    <row r="33" spans="1:18" ht="15.75" x14ac:dyDescent="0.25">
      <c r="A33" s="81">
        <v>28</v>
      </c>
      <c r="B33" s="572" t="s">
        <v>368</v>
      </c>
      <c r="C33" s="88" t="s">
        <v>124</v>
      </c>
      <c r="D33" s="82">
        <v>2798</v>
      </c>
      <c r="E33" s="82">
        <v>1282</v>
      </c>
      <c r="F33" s="82">
        <v>338</v>
      </c>
      <c r="G33" s="82">
        <v>944</v>
      </c>
      <c r="H33" s="82">
        <v>1516</v>
      </c>
      <c r="I33" s="82">
        <v>257</v>
      </c>
      <c r="J33" s="82">
        <v>68</v>
      </c>
      <c r="K33" s="82">
        <v>189</v>
      </c>
      <c r="L33" s="82">
        <v>257</v>
      </c>
      <c r="M33" s="82">
        <v>257</v>
      </c>
      <c r="N33" s="82">
        <v>189</v>
      </c>
      <c r="O33" s="82">
        <v>303</v>
      </c>
      <c r="P33" s="82">
        <v>303</v>
      </c>
      <c r="Q33" s="82">
        <v>303</v>
      </c>
      <c r="R33" s="82">
        <v>303</v>
      </c>
    </row>
    <row r="34" spans="1:18" ht="15.75" x14ac:dyDescent="0.25">
      <c r="A34" s="81">
        <v>29</v>
      </c>
      <c r="B34" s="572" t="s">
        <v>369</v>
      </c>
      <c r="C34" s="88" t="s">
        <v>142</v>
      </c>
      <c r="D34" s="82">
        <v>2585</v>
      </c>
      <c r="E34" s="82">
        <v>1206</v>
      </c>
      <c r="F34" s="82">
        <v>320</v>
      </c>
      <c r="G34" s="82">
        <v>886</v>
      </c>
      <c r="H34" s="82">
        <v>1379</v>
      </c>
      <c r="I34" s="82">
        <v>241</v>
      </c>
      <c r="J34" s="82">
        <v>64</v>
      </c>
      <c r="K34" s="82">
        <v>177</v>
      </c>
      <c r="L34" s="82">
        <v>241</v>
      </c>
      <c r="M34" s="82">
        <v>241</v>
      </c>
      <c r="N34" s="82">
        <v>177</v>
      </c>
      <c r="O34" s="82">
        <v>276</v>
      </c>
      <c r="P34" s="82">
        <v>276</v>
      </c>
      <c r="Q34" s="82">
        <v>276</v>
      </c>
      <c r="R34" s="82">
        <v>276</v>
      </c>
    </row>
    <row r="35" spans="1:18" ht="15.75" x14ac:dyDescent="0.25">
      <c r="A35" s="81">
        <v>30</v>
      </c>
      <c r="B35" s="572" t="s">
        <v>370</v>
      </c>
      <c r="C35" s="88" t="s">
        <v>84</v>
      </c>
      <c r="D35" s="82">
        <v>1615</v>
      </c>
      <c r="E35" s="82">
        <v>731</v>
      </c>
      <c r="F35" s="82">
        <v>200</v>
      </c>
      <c r="G35" s="82">
        <v>531</v>
      </c>
      <c r="H35" s="82">
        <v>884</v>
      </c>
      <c r="I35" s="82">
        <v>146</v>
      </c>
      <c r="J35" s="82">
        <v>40</v>
      </c>
      <c r="K35" s="82">
        <v>106</v>
      </c>
      <c r="L35" s="82">
        <v>146</v>
      </c>
      <c r="M35" s="82">
        <v>146</v>
      </c>
      <c r="N35" s="82">
        <v>106</v>
      </c>
      <c r="O35" s="82">
        <v>177</v>
      </c>
      <c r="P35" s="82">
        <v>177</v>
      </c>
      <c r="Q35" s="82">
        <v>177</v>
      </c>
      <c r="R35" s="82">
        <v>177</v>
      </c>
    </row>
    <row r="36" spans="1:18" ht="15.75" x14ac:dyDescent="0.25">
      <c r="A36" s="81">
        <v>31</v>
      </c>
      <c r="B36" s="572" t="s">
        <v>371</v>
      </c>
      <c r="C36" s="88" t="s">
        <v>60</v>
      </c>
      <c r="D36" s="82">
        <v>2552</v>
      </c>
      <c r="E36" s="82">
        <v>1181</v>
      </c>
      <c r="F36" s="82">
        <v>296</v>
      </c>
      <c r="G36" s="82">
        <v>885</v>
      </c>
      <c r="H36" s="82">
        <v>1371</v>
      </c>
      <c r="I36" s="82">
        <v>236</v>
      </c>
      <c r="J36" s="82">
        <v>59</v>
      </c>
      <c r="K36" s="82">
        <v>177</v>
      </c>
      <c r="L36" s="82">
        <v>236</v>
      </c>
      <c r="M36" s="82">
        <v>236</v>
      </c>
      <c r="N36" s="82">
        <v>177</v>
      </c>
      <c r="O36" s="82">
        <v>274</v>
      </c>
      <c r="P36" s="82">
        <v>274</v>
      </c>
      <c r="Q36" s="82">
        <v>274</v>
      </c>
      <c r="R36" s="82">
        <v>274</v>
      </c>
    </row>
    <row r="37" spans="1:18" ht="15.75" x14ac:dyDescent="0.25">
      <c r="A37" s="81">
        <v>32</v>
      </c>
      <c r="B37" s="572" t="s">
        <v>372</v>
      </c>
      <c r="C37" s="88" t="s">
        <v>56</v>
      </c>
      <c r="D37" s="82">
        <v>1990</v>
      </c>
      <c r="E37" s="82">
        <v>894</v>
      </c>
      <c r="F37" s="82">
        <v>230</v>
      </c>
      <c r="G37" s="82">
        <v>664</v>
      </c>
      <c r="H37" s="82">
        <v>1096</v>
      </c>
      <c r="I37" s="82">
        <v>179</v>
      </c>
      <c r="J37" s="82">
        <v>46</v>
      </c>
      <c r="K37" s="82">
        <v>133</v>
      </c>
      <c r="L37" s="82">
        <v>179</v>
      </c>
      <c r="M37" s="82">
        <v>179</v>
      </c>
      <c r="N37" s="82">
        <v>133</v>
      </c>
      <c r="O37" s="82">
        <v>219</v>
      </c>
      <c r="P37" s="82">
        <v>219</v>
      </c>
      <c r="Q37" s="82">
        <v>219</v>
      </c>
      <c r="R37" s="82">
        <v>219</v>
      </c>
    </row>
    <row r="38" spans="1:18" ht="15.75" x14ac:dyDescent="0.25">
      <c r="A38" s="81">
        <v>33</v>
      </c>
      <c r="B38" s="572" t="s">
        <v>373</v>
      </c>
      <c r="C38" s="88" t="s">
        <v>72</v>
      </c>
      <c r="D38" s="82">
        <v>5082</v>
      </c>
      <c r="E38" s="82">
        <v>2444</v>
      </c>
      <c r="F38" s="82">
        <v>530</v>
      </c>
      <c r="G38" s="82">
        <v>1914</v>
      </c>
      <c r="H38" s="82">
        <v>2638</v>
      </c>
      <c r="I38" s="82">
        <v>489</v>
      </c>
      <c r="J38" s="82">
        <v>106</v>
      </c>
      <c r="K38" s="82">
        <v>383</v>
      </c>
      <c r="L38" s="82">
        <v>489</v>
      </c>
      <c r="M38" s="82">
        <v>489</v>
      </c>
      <c r="N38" s="82">
        <v>383</v>
      </c>
      <c r="O38" s="82">
        <v>528</v>
      </c>
      <c r="P38" s="82">
        <v>528</v>
      </c>
      <c r="Q38" s="82">
        <v>528</v>
      </c>
      <c r="R38" s="82">
        <v>528</v>
      </c>
    </row>
    <row r="39" spans="1:18" ht="15.75" x14ac:dyDescent="0.25">
      <c r="A39" s="81">
        <v>34</v>
      </c>
      <c r="B39" s="572" t="s">
        <v>374</v>
      </c>
      <c r="C39" s="88" t="s">
        <v>208</v>
      </c>
      <c r="D39" s="82">
        <v>5990</v>
      </c>
      <c r="E39" s="82">
        <f>3019-1</f>
        <v>3018</v>
      </c>
      <c r="F39" s="82">
        <f>749-1</f>
        <v>748</v>
      </c>
      <c r="G39" s="82">
        <v>2270</v>
      </c>
      <c r="H39" s="82">
        <f>2971+1</f>
        <v>2972</v>
      </c>
      <c r="I39" s="82">
        <v>604</v>
      </c>
      <c r="J39" s="82">
        <v>150</v>
      </c>
      <c r="K39" s="82">
        <v>454</v>
      </c>
      <c r="L39" s="82">
        <v>604</v>
      </c>
      <c r="M39" s="82">
        <v>604</v>
      </c>
      <c r="N39" s="82">
        <v>454</v>
      </c>
      <c r="O39" s="82">
        <v>594</v>
      </c>
      <c r="P39" s="82">
        <v>594</v>
      </c>
      <c r="Q39" s="82">
        <v>594</v>
      </c>
      <c r="R39" s="82">
        <v>594</v>
      </c>
    </row>
    <row r="40" spans="1:18" ht="15.75" x14ac:dyDescent="0.25">
      <c r="A40" s="81">
        <v>35</v>
      </c>
      <c r="B40" s="572" t="s">
        <v>375</v>
      </c>
      <c r="C40" s="88" t="s">
        <v>218</v>
      </c>
      <c r="D40" s="82">
        <v>8650</v>
      </c>
      <c r="E40" s="82">
        <v>4232</v>
      </c>
      <c r="F40" s="82">
        <v>1043</v>
      </c>
      <c r="G40" s="82">
        <v>3189</v>
      </c>
      <c r="H40" s="82">
        <v>4418</v>
      </c>
      <c r="I40" s="82">
        <v>847</v>
      </c>
      <c r="J40" s="82">
        <v>209</v>
      </c>
      <c r="K40" s="82">
        <v>638</v>
      </c>
      <c r="L40" s="82">
        <v>847</v>
      </c>
      <c r="M40" s="82">
        <v>847</v>
      </c>
      <c r="N40" s="82">
        <v>638</v>
      </c>
      <c r="O40" s="82">
        <v>884</v>
      </c>
      <c r="P40" s="82">
        <v>884</v>
      </c>
      <c r="Q40" s="82">
        <v>884</v>
      </c>
      <c r="R40" s="82">
        <v>884</v>
      </c>
    </row>
    <row r="41" spans="1:18" ht="15.75" x14ac:dyDescent="0.25">
      <c r="A41" s="81">
        <v>36</v>
      </c>
      <c r="B41" s="572" t="s">
        <v>376</v>
      </c>
      <c r="C41" s="88" t="s">
        <v>214</v>
      </c>
      <c r="D41" s="82">
        <v>6821</v>
      </c>
      <c r="E41" s="82">
        <v>3362</v>
      </c>
      <c r="F41" s="82">
        <v>859</v>
      </c>
      <c r="G41" s="82">
        <v>2503</v>
      </c>
      <c r="H41" s="82">
        <v>3459</v>
      </c>
      <c r="I41" s="82">
        <v>673</v>
      </c>
      <c r="J41" s="82">
        <v>172</v>
      </c>
      <c r="K41" s="82">
        <v>501</v>
      </c>
      <c r="L41" s="82">
        <v>673</v>
      </c>
      <c r="M41" s="82">
        <v>673</v>
      </c>
      <c r="N41" s="82">
        <v>501</v>
      </c>
      <c r="O41" s="82">
        <v>692</v>
      </c>
      <c r="P41" s="82">
        <v>692</v>
      </c>
      <c r="Q41" s="82">
        <v>692</v>
      </c>
      <c r="R41" s="82">
        <v>692</v>
      </c>
    </row>
    <row r="42" spans="1:18" ht="15.75" x14ac:dyDescent="0.25">
      <c r="A42" s="81">
        <v>37</v>
      </c>
      <c r="B42" s="572" t="s">
        <v>377</v>
      </c>
      <c r="C42" s="88" t="s">
        <v>228</v>
      </c>
      <c r="D42" s="82">
        <v>2110</v>
      </c>
      <c r="E42" s="82">
        <v>967</v>
      </c>
      <c r="F42" s="82">
        <v>225</v>
      </c>
      <c r="G42" s="82">
        <v>742</v>
      </c>
      <c r="H42" s="82">
        <v>1143</v>
      </c>
      <c r="I42" s="82">
        <v>193</v>
      </c>
      <c r="J42" s="82">
        <v>45</v>
      </c>
      <c r="K42" s="82">
        <v>148</v>
      </c>
      <c r="L42" s="82">
        <v>193</v>
      </c>
      <c r="M42" s="82">
        <v>193</v>
      </c>
      <c r="N42" s="82">
        <v>148</v>
      </c>
      <c r="O42" s="82">
        <v>229</v>
      </c>
      <c r="P42" s="82">
        <v>229</v>
      </c>
      <c r="Q42" s="82">
        <v>229</v>
      </c>
      <c r="R42" s="82">
        <v>229</v>
      </c>
    </row>
    <row r="43" spans="1:18" ht="15.75" x14ac:dyDescent="0.25">
      <c r="A43" s="81">
        <v>38</v>
      </c>
      <c r="B43" s="572" t="s">
        <v>378</v>
      </c>
      <c r="C43" s="88" t="s">
        <v>210</v>
      </c>
      <c r="D43" s="82">
        <v>1912</v>
      </c>
      <c r="E43" s="82">
        <v>835</v>
      </c>
      <c r="F43" s="82">
        <v>203</v>
      </c>
      <c r="G43" s="82">
        <v>632</v>
      </c>
      <c r="H43" s="82">
        <v>1077</v>
      </c>
      <c r="I43" s="82">
        <v>167</v>
      </c>
      <c r="J43" s="82">
        <v>41</v>
      </c>
      <c r="K43" s="82">
        <v>126</v>
      </c>
      <c r="L43" s="82">
        <v>167</v>
      </c>
      <c r="M43" s="82">
        <v>167</v>
      </c>
      <c r="N43" s="82">
        <v>126</v>
      </c>
      <c r="O43" s="82">
        <v>215</v>
      </c>
      <c r="P43" s="82">
        <v>215</v>
      </c>
      <c r="Q43" s="82">
        <v>215</v>
      </c>
      <c r="R43" s="82">
        <v>215</v>
      </c>
    </row>
    <row r="44" spans="1:18" ht="15.75" x14ac:dyDescent="0.25">
      <c r="A44" s="81">
        <v>39</v>
      </c>
      <c r="B44" s="572" t="s">
        <v>379</v>
      </c>
      <c r="C44" s="88" t="s">
        <v>220</v>
      </c>
      <c r="D44" s="82">
        <v>5703</v>
      </c>
      <c r="E44" s="82">
        <v>2706</v>
      </c>
      <c r="F44" s="82">
        <v>687</v>
      </c>
      <c r="G44" s="82">
        <v>2019</v>
      </c>
      <c r="H44" s="82">
        <v>2997</v>
      </c>
      <c r="I44" s="82">
        <v>541</v>
      </c>
      <c r="J44" s="82">
        <v>137</v>
      </c>
      <c r="K44" s="82">
        <v>404</v>
      </c>
      <c r="L44" s="82">
        <v>541</v>
      </c>
      <c r="M44" s="82">
        <v>541</v>
      </c>
      <c r="N44" s="82">
        <v>404</v>
      </c>
      <c r="O44" s="82">
        <v>599</v>
      </c>
      <c r="P44" s="82">
        <v>599</v>
      </c>
      <c r="Q44" s="82">
        <v>599</v>
      </c>
      <c r="R44" s="82">
        <v>599</v>
      </c>
    </row>
    <row r="45" spans="1:18" ht="15.75" x14ac:dyDescent="0.25">
      <c r="A45" s="81">
        <v>40</v>
      </c>
      <c r="B45" s="572" t="s">
        <v>380</v>
      </c>
      <c r="C45" s="88" t="s">
        <v>224</v>
      </c>
      <c r="D45" s="82">
        <v>2734</v>
      </c>
      <c r="E45" s="82">
        <v>1332</v>
      </c>
      <c r="F45" s="82">
        <v>337</v>
      </c>
      <c r="G45" s="82">
        <v>995</v>
      </c>
      <c r="H45" s="82">
        <v>1402</v>
      </c>
      <c r="I45" s="82">
        <v>266</v>
      </c>
      <c r="J45" s="82">
        <v>67</v>
      </c>
      <c r="K45" s="82">
        <v>199</v>
      </c>
      <c r="L45" s="82">
        <v>266</v>
      </c>
      <c r="M45" s="82">
        <v>266</v>
      </c>
      <c r="N45" s="82">
        <v>199</v>
      </c>
      <c r="O45" s="82">
        <v>280</v>
      </c>
      <c r="P45" s="82">
        <v>280</v>
      </c>
      <c r="Q45" s="82">
        <v>280</v>
      </c>
      <c r="R45" s="82">
        <v>280</v>
      </c>
    </row>
    <row r="46" spans="1:18" ht="15.75" x14ac:dyDescent="0.25">
      <c r="A46" s="81">
        <v>41</v>
      </c>
      <c r="B46" s="572" t="s">
        <v>381</v>
      </c>
      <c r="C46" s="88" t="s">
        <v>190</v>
      </c>
      <c r="D46" s="82">
        <v>28789</v>
      </c>
      <c r="E46" s="82">
        <v>14907</v>
      </c>
      <c r="F46" s="82">
        <v>3661</v>
      </c>
      <c r="G46" s="82">
        <v>11246</v>
      </c>
      <c r="H46" s="82">
        <v>13882</v>
      </c>
      <c r="I46" s="82">
        <v>2981</v>
      </c>
      <c r="J46" s="82">
        <v>732</v>
      </c>
      <c r="K46" s="82">
        <v>2249</v>
      </c>
      <c r="L46" s="82">
        <v>2981</v>
      </c>
      <c r="M46" s="82">
        <v>2981</v>
      </c>
      <c r="N46" s="82">
        <v>2249</v>
      </c>
      <c r="O46" s="82">
        <v>2776</v>
      </c>
      <c r="P46" s="82">
        <v>2776</v>
      </c>
      <c r="Q46" s="82">
        <v>2776</v>
      </c>
      <c r="R46" s="82">
        <v>2776</v>
      </c>
    </row>
    <row r="47" spans="1:18" ht="15.75" x14ac:dyDescent="0.25">
      <c r="A47" s="81">
        <v>42</v>
      </c>
      <c r="B47" s="572" t="s">
        <v>382</v>
      </c>
      <c r="C47" s="88" t="s">
        <v>283</v>
      </c>
      <c r="D47" s="82">
        <v>12294</v>
      </c>
      <c r="E47" s="82">
        <v>6824</v>
      </c>
      <c r="F47" s="82">
        <v>1757</v>
      </c>
      <c r="G47" s="82">
        <v>5067</v>
      </c>
      <c r="H47" s="82">
        <v>5470</v>
      </c>
      <c r="I47" s="82">
        <v>1364</v>
      </c>
      <c r="J47" s="82">
        <v>351</v>
      </c>
      <c r="K47" s="82">
        <v>1013</v>
      </c>
      <c r="L47" s="82">
        <v>1364</v>
      </c>
      <c r="M47" s="82">
        <v>1364</v>
      </c>
      <c r="N47" s="82">
        <v>1013</v>
      </c>
      <c r="O47" s="82">
        <v>1094</v>
      </c>
      <c r="P47" s="82">
        <v>1094</v>
      </c>
      <c r="Q47" s="82">
        <v>1094</v>
      </c>
      <c r="R47" s="82">
        <v>1094</v>
      </c>
    </row>
    <row r="48" spans="1:18" ht="15.75" x14ac:dyDescent="0.25">
      <c r="A48" s="81">
        <v>43</v>
      </c>
      <c r="B48" s="572" t="s">
        <v>728</v>
      </c>
      <c r="C48" s="88" t="s">
        <v>285</v>
      </c>
      <c r="D48" s="82">
        <v>15668</v>
      </c>
      <c r="E48" s="82">
        <v>8711</v>
      </c>
      <c r="F48" s="82">
        <v>1913</v>
      </c>
      <c r="G48" s="82">
        <v>6798</v>
      </c>
      <c r="H48" s="82">
        <v>6957</v>
      </c>
      <c r="I48" s="82">
        <v>1743</v>
      </c>
      <c r="J48" s="82">
        <v>383</v>
      </c>
      <c r="K48" s="82">
        <v>1360</v>
      </c>
      <c r="L48" s="82">
        <v>1743</v>
      </c>
      <c r="M48" s="82">
        <v>1743</v>
      </c>
      <c r="N48" s="82">
        <v>1360</v>
      </c>
      <c r="O48" s="82">
        <v>1391</v>
      </c>
      <c r="P48" s="82">
        <v>1391</v>
      </c>
      <c r="Q48" s="82">
        <v>1391</v>
      </c>
      <c r="R48" s="82">
        <v>1391</v>
      </c>
    </row>
    <row r="49" spans="1:18" ht="15.75" x14ac:dyDescent="0.25">
      <c r="A49" s="81">
        <v>44</v>
      </c>
      <c r="B49" s="572" t="s">
        <v>383</v>
      </c>
      <c r="C49" s="88" t="s">
        <v>199</v>
      </c>
      <c r="D49" s="82">
        <v>2126</v>
      </c>
      <c r="E49" s="82">
        <v>1624</v>
      </c>
      <c r="F49" s="82">
        <v>1483</v>
      </c>
      <c r="G49" s="82">
        <v>141</v>
      </c>
      <c r="H49" s="82">
        <v>502</v>
      </c>
      <c r="I49" s="82">
        <v>325</v>
      </c>
      <c r="J49" s="82">
        <v>297</v>
      </c>
      <c r="K49" s="82">
        <v>28</v>
      </c>
      <c r="L49" s="82">
        <v>325</v>
      </c>
      <c r="M49" s="82">
        <v>325</v>
      </c>
      <c r="N49" s="82">
        <v>28</v>
      </c>
      <c r="O49" s="82">
        <v>100</v>
      </c>
      <c r="P49" s="82">
        <v>100</v>
      </c>
      <c r="Q49" s="82">
        <v>100</v>
      </c>
      <c r="R49" s="82">
        <v>100</v>
      </c>
    </row>
    <row r="50" spans="1:18" ht="15.75" x14ac:dyDescent="0.25">
      <c r="A50" s="81">
        <v>45</v>
      </c>
      <c r="B50" s="572" t="s">
        <v>384</v>
      </c>
      <c r="C50" s="88" t="s">
        <v>120</v>
      </c>
      <c r="D50" s="82">
        <v>10968</v>
      </c>
      <c r="E50" s="82">
        <v>5551</v>
      </c>
      <c r="F50" s="82">
        <v>1298</v>
      </c>
      <c r="G50" s="82">
        <v>4253</v>
      </c>
      <c r="H50" s="82">
        <v>5417</v>
      </c>
      <c r="I50" s="82">
        <v>1111</v>
      </c>
      <c r="J50" s="82">
        <v>260</v>
      </c>
      <c r="K50" s="82">
        <v>851</v>
      </c>
      <c r="L50" s="82">
        <v>1111</v>
      </c>
      <c r="M50" s="82">
        <v>1111</v>
      </c>
      <c r="N50" s="82">
        <v>851</v>
      </c>
      <c r="O50" s="82">
        <v>1083</v>
      </c>
      <c r="P50" s="82">
        <v>1083</v>
      </c>
      <c r="Q50" s="82">
        <v>1083</v>
      </c>
      <c r="R50" s="82">
        <v>1083</v>
      </c>
    </row>
    <row r="51" spans="1:18" ht="15.75" x14ac:dyDescent="0.25">
      <c r="A51" s="81">
        <v>46</v>
      </c>
      <c r="B51" s="572" t="s">
        <v>385</v>
      </c>
      <c r="C51" s="88" t="s">
        <v>122</v>
      </c>
      <c r="D51" s="82">
        <v>1895</v>
      </c>
      <c r="E51" s="82">
        <v>861</v>
      </c>
      <c r="F51" s="82">
        <v>196</v>
      </c>
      <c r="G51" s="82">
        <v>665</v>
      </c>
      <c r="H51" s="82">
        <v>1034</v>
      </c>
      <c r="I51" s="82">
        <v>172</v>
      </c>
      <c r="J51" s="82">
        <v>39</v>
      </c>
      <c r="K51" s="82">
        <v>133</v>
      </c>
      <c r="L51" s="82">
        <v>172</v>
      </c>
      <c r="M51" s="82">
        <v>172</v>
      </c>
      <c r="N51" s="82">
        <v>133</v>
      </c>
      <c r="O51" s="82">
        <v>207</v>
      </c>
      <c r="P51" s="82">
        <v>207</v>
      </c>
      <c r="Q51" s="82">
        <v>207</v>
      </c>
      <c r="R51" s="82">
        <v>207</v>
      </c>
    </row>
    <row r="52" spans="1:18" ht="15.75" x14ac:dyDescent="0.25">
      <c r="A52" s="81">
        <v>47</v>
      </c>
      <c r="B52" s="572" t="s">
        <v>386</v>
      </c>
      <c r="C52" s="88" t="s">
        <v>130</v>
      </c>
      <c r="D52" s="82">
        <v>1317</v>
      </c>
      <c r="E52" s="82">
        <v>568</v>
      </c>
      <c r="F52" s="82">
        <v>167</v>
      </c>
      <c r="G52" s="82">
        <v>401</v>
      </c>
      <c r="H52" s="82">
        <v>749</v>
      </c>
      <c r="I52" s="82">
        <v>113</v>
      </c>
      <c r="J52" s="82">
        <v>33</v>
      </c>
      <c r="K52" s="82">
        <v>80</v>
      </c>
      <c r="L52" s="82">
        <v>113</v>
      </c>
      <c r="M52" s="82">
        <v>113</v>
      </c>
      <c r="N52" s="82">
        <v>80</v>
      </c>
      <c r="O52" s="82">
        <v>150</v>
      </c>
      <c r="P52" s="82">
        <v>150</v>
      </c>
      <c r="Q52" s="82">
        <v>150</v>
      </c>
      <c r="R52" s="82">
        <v>150</v>
      </c>
    </row>
    <row r="53" spans="1:18" ht="15.75" x14ac:dyDescent="0.25">
      <c r="A53" s="81">
        <v>48</v>
      </c>
      <c r="B53" s="572" t="s">
        <v>387</v>
      </c>
      <c r="C53" s="88" t="s">
        <v>184</v>
      </c>
      <c r="D53" s="82">
        <v>34561</v>
      </c>
      <c r="E53" s="82">
        <v>19396</v>
      </c>
      <c r="F53" s="82">
        <v>8991</v>
      </c>
      <c r="G53" s="82">
        <v>10405</v>
      </c>
      <c r="H53" s="82">
        <v>15165</v>
      </c>
      <c r="I53" s="82">
        <v>3879</v>
      </c>
      <c r="J53" s="82">
        <v>1798</v>
      </c>
      <c r="K53" s="82">
        <v>2081</v>
      </c>
      <c r="L53" s="82">
        <v>3879</v>
      </c>
      <c r="M53" s="82">
        <v>3879</v>
      </c>
      <c r="N53" s="82">
        <v>2081</v>
      </c>
      <c r="O53" s="82">
        <v>3033</v>
      </c>
      <c r="P53" s="82">
        <v>3033</v>
      </c>
      <c r="Q53" s="82">
        <v>3033</v>
      </c>
      <c r="R53" s="82">
        <v>3033</v>
      </c>
    </row>
    <row r="54" spans="1:18" ht="15.75" x14ac:dyDescent="0.25">
      <c r="A54" s="81">
        <v>49</v>
      </c>
      <c r="B54" s="572" t="s">
        <v>388</v>
      </c>
      <c r="C54" s="88" t="s">
        <v>78</v>
      </c>
      <c r="D54" s="82">
        <v>5229</v>
      </c>
      <c r="E54" s="82">
        <v>2334</v>
      </c>
      <c r="F54" s="82">
        <v>591</v>
      </c>
      <c r="G54" s="82">
        <v>1743</v>
      </c>
      <c r="H54" s="82">
        <v>2895</v>
      </c>
      <c r="I54" s="82">
        <v>467</v>
      </c>
      <c r="J54" s="82">
        <v>118</v>
      </c>
      <c r="K54" s="82">
        <v>349</v>
      </c>
      <c r="L54" s="82">
        <v>467</v>
      </c>
      <c r="M54" s="82">
        <v>467</v>
      </c>
      <c r="N54" s="82">
        <v>349</v>
      </c>
      <c r="O54" s="82">
        <v>579</v>
      </c>
      <c r="P54" s="82">
        <v>579</v>
      </c>
      <c r="Q54" s="82">
        <v>579</v>
      </c>
      <c r="R54" s="82">
        <v>579</v>
      </c>
    </row>
    <row r="55" spans="1:18" ht="15.75" x14ac:dyDescent="0.25">
      <c r="A55" s="81">
        <v>50</v>
      </c>
      <c r="B55" s="572" t="s">
        <v>389</v>
      </c>
      <c r="C55" s="88" t="s">
        <v>82</v>
      </c>
      <c r="D55" s="82">
        <v>2190</v>
      </c>
      <c r="E55" s="82">
        <v>971</v>
      </c>
      <c r="F55" s="82">
        <v>284</v>
      </c>
      <c r="G55" s="82">
        <v>687</v>
      </c>
      <c r="H55" s="82">
        <v>1219</v>
      </c>
      <c r="I55" s="82">
        <v>194</v>
      </c>
      <c r="J55" s="82">
        <v>57</v>
      </c>
      <c r="K55" s="82">
        <v>137</v>
      </c>
      <c r="L55" s="82">
        <v>194</v>
      </c>
      <c r="M55" s="82">
        <v>194</v>
      </c>
      <c r="N55" s="82">
        <v>137</v>
      </c>
      <c r="O55" s="82">
        <v>244</v>
      </c>
      <c r="P55" s="82">
        <v>244</v>
      </c>
      <c r="Q55" s="82">
        <v>244</v>
      </c>
      <c r="R55" s="82">
        <v>244</v>
      </c>
    </row>
    <row r="56" spans="1:18" ht="15.75" x14ac:dyDescent="0.25">
      <c r="A56" s="81">
        <v>51</v>
      </c>
      <c r="B56" s="572" t="s">
        <v>390</v>
      </c>
      <c r="C56" s="88" t="s">
        <v>20</v>
      </c>
      <c r="D56" s="82">
        <v>12494</v>
      </c>
      <c r="E56" s="82">
        <v>6402</v>
      </c>
      <c r="F56" s="82">
        <v>1602</v>
      </c>
      <c r="G56" s="82">
        <v>4800</v>
      </c>
      <c r="H56" s="82">
        <v>6092</v>
      </c>
      <c r="I56" s="82">
        <v>1280</v>
      </c>
      <c r="J56" s="82">
        <v>320</v>
      </c>
      <c r="K56" s="82">
        <v>960</v>
      </c>
      <c r="L56" s="82">
        <v>1280</v>
      </c>
      <c r="M56" s="82">
        <v>1280</v>
      </c>
      <c r="N56" s="82">
        <v>960</v>
      </c>
      <c r="O56" s="82">
        <v>1218</v>
      </c>
      <c r="P56" s="82">
        <v>1218</v>
      </c>
      <c r="Q56" s="82">
        <v>1218</v>
      </c>
      <c r="R56" s="82">
        <v>1218</v>
      </c>
    </row>
    <row r="57" spans="1:18" ht="15.75" x14ac:dyDescent="0.25">
      <c r="A57" s="81">
        <v>52</v>
      </c>
      <c r="B57" s="572" t="s">
        <v>391</v>
      </c>
      <c r="C57" s="88" t="s">
        <v>24</v>
      </c>
      <c r="D57" s="82">
        <v>1830</v>
      </c>
      <c r="E57" s="82">
        <v>907</v>
      </c>
      <c r="F57" s="82">
        <v>231</v>
      </c>
      <c r="G57" s="82">
        <v>676</v>
      </c>
      <c r="H57" s="82">
        <v>923</v>
      </c>
      <c r="I57" s="82">
        <v>181</v>
      </c>
      <c r="J57" s="82">
        <v>46</v>
      </c>
      <c r="K57" s="82">
        <v>135</v>
      </c>
      <c r="L57" s="82">
        <v>181</v>
      </c>
      <c r="M57" s="82">
        <v>181</v>
      </c>
      <c r="N57" s="82">
        <v>135</v>
      </c>
      <c r="O57" s="82">
        <v>185</v>
      </c>
      <c r="P57" s="82">
        <v>185</v>
      </c>
      <c r="Q57" s="82">
        <v>185</v>
      </c>
      <c r="R57" s="82">
        <v>185</v>
      </c>
    </row>
    <row r="58" spans="1:18" ht="15.75" x14ac:dyDescent="0.25">
      <c r="A58" s="81">
        <v>53</v>
      </c>
      <c r="B58" s="572" t="s">
        <v>392</v>
      </c>
      <c r="C58" s="88" t="s">
        <v>188</v>
      </c>
      <c r="D58" s="82">
        <v>12143</v>
      </c>
      <c r="E58" s="82">
        <v>6612</v>
      </c>
      <c r="F58" s="82">
        <v>1660</v>
      </c>
      <c r="G58" s="82">
        <v>4952</v>
      </c>
      <c r="H58" s="82">
        <v>5531</v>
      </c>
      <c r="I58" s="82">
        <v>1322</v>
      </c>
      <c r="J58" s="82">
        <v>332</v>
      </c>
      <c r="K58" s="82">
        <v>990</v>
      </c>
      <c r="L58" s="82">
        <v>1322</v>
      </c>
      <c r="M58" s="82">
        <v>1322</v>
      </c>
      <c r="N58" s="82">
        <v>990</v>
      </c>
      <c r="O58" s="82">
        <v>1106</v>
      </c>
      <c r="P58" s="82">
        <v>1106</v>
      </c>
      <c r="Q58" s="82">
        <v>1106</v>
      </c>
      <c r="R58" s="82">
        <v>1106</v>
      </c>
    </row>
    <row r="59" spans="1:18" ht="15.75" x14ac:dyDescent="0.25">
      <c r="A59" s="81">
        <v>54</v>
      </c>
      <c r="B59" s="572" t="s">
        <v>393</v>
      </c>
      <c r="C59" s="88" t="s">
        <v>16</v>
      </c>
      <c r="D59" s="82">
        <v>7828</v>
      </c>
      <c r="E59" s="82">
        <v>4173</v>
      </c>
      <c r="F59" s="82">
        <v>1491</v>
      </c>
      <c r="G59" s="82">
        <v>2682</v>
      </c>
      <c r="H59" s="82">
        <v>3655</v>
      </c>
      <c r="I59" s="82">
        <v>834</v>
      </c>
      <c r="J59" s="82">
        <v>298</v>
      </c>
      <c r="K59" s="82">
        <v>536</v>
      </c>
      <c r="L59" s="82">
        <v>834</v>
      </c>
      <c r="M59" s="82">
        <v>834</v>
      </c>
      <c r="N59" s="82">
        <v>536</v>
      </c>
      <c r="O59" s="82">
        <v>731</v>
      </c>
      <c r="P59" s="82">
        <v>731</v>
      </c>
      <c r="Q59" s="82">
        <v>731</v>
      </c>
      <c r="R59" s="82">
        <v>731</v>
      </c>
    </row>
    <row r="60" spans="1:18" ht="15.75" x14ac:dyDescent="0.25">
      <c r="A60" s="81">
        <v>55</v>
      </c>
      <c r="B60" s="572" t="s">
        <v>394</v>
      </c>
      <c r="C60" s="88" t="s">
        <v>70</v>
      </c>
      <c r="D60" s="82">
        <v>2461</v>
      </c>
      <c r="E60" s="82">
        <v>1070</v>
      </c>
      <c r="F60" s="82">
        <v>283</v>
      </c>
      <c r="G60" s="82">
        <v>787</v>
      </c>
      <c r="H60" s="82">
        <v>1391</v>
      </c>
      <c r="I60" s="82">
        <v>214</v>
      </c>
      <c r="J60" s="82">
        <v>57</v>
      </c>
      <c r="K60" s="82">
        <v>157</v>
      </c>
      <c r="L60" s="82">
        <v>214</v>
      </c>
      <c r="M60" s="82">
        <v>214</v>
      </c>
      <c r="N60" s="82">
        <v>157</v>
      </c>
      <c r="O60" s="82">
        <v>278</v>
      </c>
      <c r="P60" s="82">
        <v>278</v>
      </c>
      <c r="Q60" s="82">
        <v>278</v>
      </c>
      <c r="R60" s="82">
        <v>278</v>
      </c>
    </row>
    <row r="61" spans="1:18" ht="15.75" x14ac:dyDescent="0.25">
      <c r="A61" s="81">
        <v>56</v>
      </c>
      <c r="B61" s="572" t="s">
        <v>395</v>
      </c>
      <c r="C61" s="88" t="s">
        <v>66</v>
      </c>
      <c r="D61" s="82">
        <v>2303</v>
      </c>
      <c r="E61" s="82">
        <v>1035</v>
      </c>
      <c r="F61" s="82">
        <v>234</v>
      </c>
      <c r="G61" s="82">
        <v>801</v>
      </c>
      <c r="H61" s="82">
        <v>1268</v>
      </c>
      <c r="I61" s="82">
        <v>207</v>
      </c>
      <c r="J61" s="82">
        <v>47</v>
      </c>
      <c r="K61" s="82">
        <v>160</v>
      </c>
      <c r="L61" s="82">
        <v>207</v>
      </c>
      <c r="M61" s="82">
        <v>207</v>
      </c>
      <c r="N61" s="82">
        <v>160</v>
      </c>
      <c r="O61" s="82">
        <v>254</v>
      </c>
      <c r="P61" s="82">
        <v>254</v>
      </c>
      <c r="Q61" s="82">
        <v>254</v>
      </c>
      <c r="R61" s="82">
        <v>254</v>
      </c>
    </row>
    <row r="62" spans="1:18" ht="15.75" x14ac:dyDescent="0.25">
      <c r="A62" s="81">
        <v>57</v>
      </c>
      <c r="B62" s="572" t="s">
        <v>396</v>
      </c>
      <c r="C62" s="88" t="s">
        <v>54</v>
      </c>
      <c r="D62" s="82">
        <v>2144</v>
      </c>
      <c r="E62" s="82">
        <v>970</v>
      </c>
      <c r="F62" s="82">
        <v>228</v>
      </c>
      <c r="G62" s="82">
        <v>742</v>
      </c>
      <c r="H62" s="82">
        <v>1174</v>
      </c>
      <c r="I62" s="82">
        <v>194</v>
      </c>
      <c r="J62" s="82">
        <v>46</v>
      </c>
      <c r="K62" s="82">
        <v>148</v>
      </c>
      <c r="L62" s="82">
        <v>194</v>
      </c>
      <c r="M62" s="82">
        <v>194</v>
      </c>
      <c r="N62" s="82">
        <v>148</v>
      </c>
      <c r="O62" s="82">
        <v>235</v>
      </c>
      <c r="P62" s="82">
        <v>235</v>
      </c>
      <c r="Q62" s="82">
        <v>235</v>
      </c>
      <c r="R62" s="82">
        <v>235</v>
      </c>
    </row>
    <row r="63" spans="1:18" ht="15.75" x14ac:dyDescent="0.25">
      <c r="A63" s="81">
        <v>58</v>
      </c>
      <c r="B63" s="572" t="s">
        <v>397</v>
      </c>
      <c r="C63" s="88" t="s">
        <v>58</v>
      </c>
      <c r="D63" s="82">
        <v>1886</v>
      </c>
      <c r="E63" s="82">
        <v>864</v>
      </c>
      <c r="F63" s="82">
        <v>210</v>
      </c>
      <c r="G63" s="82">
        <v>654</v>
      </c>
      <c r="H63" s="82">
        <v>1022</v>
      </c>
      <c r="I63" s="82">
        <v>173</v>
      </c>
      <c r="J63" s="82">
        <v>42</v>
      </c>
      <c r="K63" s="82">
        <v>131</v>
      </c>
      <c r="L63" s="82">
        <v>173</v>
      </c>
      <c r="M63" s="82">
        <v>173</v>
      </c>
      <c r="N63" s="82">
        <v>131</v>
      </c>
      <c r="O63" s="82">
        <v>204</v>
      </c>
      <c r="P63" s="82">
        <v>204</v>
      </c>
      <c r="Q63" s="82">
        <v>204</v>
      </c>
      <c r="R63" s="82">
        <v>204</v>
      </c>
    </row>
    <row r="64" spans="1:18" ht="15.75" x14ac:dyDescent="0.25">
      <c r="A64" s="81">
        <v>59</v>
      </c>
      <c r="B64" s="572" t="s">
        <v>398</v>
      </c>
      <c r="C64" s="88" t="s">
        <v>32</v>
      </c>
      <c r="D64" s="82">
        <v>3637</v>
      </c>
      <c r="E64" s="82">
        <v>1814</v>
      </c>
      <c r="F64" s="82">
        <v>485</v>
      </c>
      <c r="G64" s="82">
        <v>1329</v>
      </c>
      <c r="H64" s="82">
        <v>1823</v>
      </c>
      <c r="I64" s="82">
        <v>363</v>
      </c>
      <c r="J64" s="82">
        <v>97</v>
      </c>
      <c r="K64" s="82">
        <v>266</v>
      </c>
      <c r="L64" s="82">
        <v>363</v>
      </c>
      <c r="M64" s="82">
        <v>363</v>
      </c>
      <c r="N64" s="82">
        <v>266</v>
      </c>
      <c r="O64" s="82">
        <v>365</v>
      </c>
      <c r="P64" s="82">
        <v>365</v>
      </c>
      <c r="Q64" s="82">
        <v>365</v>
      </c>
      <c r="R64" s="82">
        <v>365</v>
      </c>
    </row>
    <row r="65" spans="1:18" ht="15.75" x14ac:dyDescent="0.25">
      <c r="A65" s="81">
        <v>60</v>
      </c>
      <c r="B65" s="572" t="s">
        <v>399</v>
      </c>
      <c r="C65" s="88" t="s">
        <v>216</v>
      </c>
      <c r="D65" s="82">
        <v>2313</v>
      </c>
      <c r="E65" s="82">
        <v>1063</v>
      </c>
      <c r="F65" s="82">
        <v>275</v>
      </c>
      <c r="G65" s="82">
        <v>788</v>
      </c>
      <c r="H65" s="82">
        <v>1250</v>
      </c>
      <c r="I65" s="82">
        <v>213</v>
      </c>
      <c r="J65" s="82">
        <v>55</v>
      </c>
      <c r="K65" s="82">
        <v>158</v>
      </c>
      <c r="L65" s="82">
        <v>213</v>
      </c>
      <c r="M65" s="82">
        <v>213</v>
      </c>
      <c r="N65" s="82">
        <v>158</v>
      </c>
      <c r="O65" s="82">
        <v>250</v>
      </c>
      <c r="P65" s="82">
        <v>250</v>
      </c>
      <c r="Q65" s="82">
        <v>250</v>
      </c>
      <c r="R65" s="82">
        <v>250</v>
      </c>
    </row>
    <row r="66" spans="1:18" ht="15.75" x14ac:dyDescent="0.25">
      <c r="A66" s="81">
        <v>61</v>
      </c>
      <c r="B66" s="572" t="s">
        <v>400</v>
      </c>
      <c r="C66" s="88" t="s">
        <v>226</v>
      </c>
      <c r="D66" s="82">
        <v>2789</v>
      </c>
      <c r="E66" s="82">
        <v>1300</v>
      </c>
      <c r="F66" s="82">
        <v>333</v>
      </c>
      <c r="G66" s="82">
        <v>967</v>
      </c>
      <c r="H66" s="82">
        <v>1489</v>
      </c>
      <c r="I66" s="82">
        <v>260</v>
      </c>
      <c r="J66" s="82">
        <v>67</v>
      </c>
      <c r="K66" s="82">
        <v>193</v>
      </c>
      <c r="L66" s="82">
        <v>260</v>
      </c>
      <c r="M66" s="82">
        <v>260</v>
      </c>
      <c r="N66" s="82">
        <v>193</v>
      </c>
      <c r="O66" s="82">
        <v>298</v>
      </c>
      <c r="P66" s="82">
        <v>298</v>
      </c>
      <c r="Q66" s="82">
        <v>298</v>
      </c>
      <c r="R66" s="82">
        <v>298</v>
      </c>
    </row>
    <row r="67" spans="1:18" ht="15.75" x14ac:dyDescent="0.25">
      <c r="A67" s="81">
        <v>62</v>
      </c>
      <c r="B67" s="572" t="s">
        <v>401</v>
      </c>
      <c r="C67" s="88" t="s">
        <v>222</v>
      </c>
      <c r="D67" s="82">
        <v>1837</v>
      </c>
      <c r="E67" s="82">
        <v>829</v>
      </c>
      <c r="F67" s="82">
        <v>234</v>
      </c>
      <c r="G67" s="82">
        <v>595</v>
      </c>
      <c r="H67" s="82">
        <v>1008</v>
      </c>
      <c r="I67" s="82">
        <v>166</v>
      </c>
      <c r="J67" s="82">
        <v>47</v>
      </c>
      <c r="K67" s="82">
        <v>119</v>
      </c>
      <c r="L67" s="82">
        <v>166</v>
      </c>
      <c r="M67" s="82">
        <v>166</v>
      </c>
      <c r="N67" s="82">
        <v>119</v>
      </c>
      <c r="O67" s="82">
        <v>202</v>
      </c>
      <c r="P67" s="82">
        <v>202</v>
      </c>
      <c r="Q67" s="82">
        <v>202</v>
      </c>
      <c r="R67" s="82">
        <v>202</v>
      </c>
    </row>
    <row r="68" spans="1:18" ht="15.75" x14ac:dyDescent="0.25">
      <c r="A68" s="81">
        <v>63</v>
      </c>
      <c r="B68" s="572" t="s">
        <v>402</v>
      </c>
      <c r="C68" s="88" t="s">
        <v>212</v>
      </c>
      <c r="D68" s="82">
        <v>2073</v>
      </c>
      <c r="E68" s="82">
        <v>947</v>
      </c>
      <c r="F68" s="82">
        <v>254</v>
      </c>
      <c r="G68" s="82">
        <v>693</v>
      </c>
      <c r="H68" s="82">
        <v>1126</v>
      </c>
      <c r="I68" s="82">
        <v>190</v>
      </c>
      <c r="J68" s="82">
        <v>51</v>
      </c>
      <c r="K68" s="82">
        <v>139</v>
      </c>
      <c r="L68" s="82">
        <v>190</v>
      </c>
      <c r="M68" s="82">
        <v>190</v>
      </c>
      <c r="N68" s="82">
        <v>139</v>
      </c>
      <c r="O68" s="82">
        <v>225</v>
      </c>
      <c r="P68" s="82">
        <v>225</v>
      </c>
      <c r="Q68" s="82">
        <v>225</v>
      </c>
      <c r="R68" s="82">
        <v>225</v>
      </c>
    </row>
    <row r="69" spans="1:18" ht="15.75" x14ac:dyDescent="0.25">
      <c r="A69" s="81">
        <v>64</v>
      </c>
      <c r="B69" s="572" t="s">
        <v>403</v>
      </c>
      <c r="C69" s="88" t="s">
        <v>62</v>
      </c>
      <c r="D69" s="82">
        <v>6695</v>
      </c>
      <c r="E69" s="82">
        <v>3204</v>
      </c>
      <c r="F69" s="82">
        <v>697</v>
      </c>
      <c r="G69" s="82">
        <v>2507</v>
      </c>
      <c r="H69" s="82">
        <v>3491</v>
      </c>
      <c r="I69" s="82">
        <v>640</v>
      </c>
      <c r="J69" s="82">
        <v>139</v>
      </c>
      <c r="K69" s="82">
        <v>501</v>
      </c>
      <c r="L69" s="82">
        <v>640</v>
      </c>
      <c r="M69" s="82">
        <v>640</v>
      </c>
      <c r="N69" s="82">
        <v>501</v>
      </c>
      <c r="O69" s="82">
        <v>698</v>
      </c>
      <c r="P69" s="82">
        <v>698</v>
      </c>
      <c r="Q69" s="82">
        <v>698</v>
      </c>
      <c r="R69" s="82">
        <v>698</v>
      </c>
    </row>
    <row r="70" spans="1:18" ht="15.75" x14ac:dyDescent="0.25">
      <c r="A70" s="81">
        <v>65</v>
      </c>
      <c r="B70" s="572" t="s">
        <v>404</v>
      </c>
      <c r="C70" s="88" t="s">
        <v>138</v>
      </c>
      <c r="D70" s="82">
        <v>2798</v>
      </c>
      <c r="E70" s="82">
        <v>1343</v>
      </c>
      <c r="F70" s="82">
        <v>309</v>
      </c>
      <c r="G70" s="82">
        <v>1034</v>
      </c>
      <c r="H70" s="82">
        <v>1455</v>
      </c>
      <c r="I70" s="82">
        <v>269</v>
      </c>
      <c r="J70" s="82">
        <v>62</v>
      </c>
      <c r="K70" s="82">
        <v>207</v>
      </c>
      <c r="L70" s="82">
        <v>269</v>
      </c>
      <c r="M70" s="82">
        <v>269</v>
      </c>
      <c r="N70" s="82">
        <v>207</v>
      </c>
      <c r="O70" s="82">
        <v>291</v>
      </c>
      <c r="P70" s="82">
        <v>291</v>
      </c>
      <c r="Q70" s="82">
        <v>291</v>
      </c>
      <c r="R70" s="82">
        <v>291</v>
      </c>
    </row>
    <row r="71" spans="1:18" ht="15.75" x14ac:dyDescent="0.25">
      <c r="A71" s="81">
        <v>66</v>
      </c>
      <c r="B71" s="572" t="s">
        <v>405</v>
      </c>
      <c r="C71" s="88" t="s">
        <v>194</v>
      </c>
      <c r="D71" s="82">
        <v>24669</v>
      </c>
      <c r="E71" s="82">
        <v>12642</v>
      </c>
      <c r="F71" s="82">
        <v>4529</v>
      </c>
      <c r="G71" s="82">
        <v>8113</v>
      </c>
      <c r="H71" s="82">
        <v>12027</v>
      </c>
      <c r="I71" s="82">
        <v>2529</v>
      </c>
      <c r="J71" s="82">
        <v>906</v>
      </c>
      <c r="K71" s="82">
        <v>1623</v>
      </c>
      <c r="L71" s="82">
        <v>2529</v>
      </c>
      <c r="M71" s="82">
        <v>2529</v>
      </c>
      <c r="N71" s="82">
        <v>1623</v>
      </c>
      <c r="O71" s="82">
        <v>2405</v>
      </c>
      <c r="P71" s="82">
        <v>2405</v>
      </c>
      <c r="Q71" s="82">
        <v>2405</v>
      </c>
      <c r="R71" s="82">
        <v>2405</v>
      </c>
    </row>
    <row r="72" spans="1:18" ht="15.75" x14ac:dyDescent="0.25">
      <c r="A72" s="81">
        <v>67</v>
      </c>
      <c r="B72" s="572" t="s">
        <v>406</v>
      </c>
      <c r="C72" s="88" t="s">
        <v>126</v>
      </c>
      <c r="D72" s="82">
        <v>3369</v>
      </c>
      <c r="E72" s="82">
        <v>1579</v>
      </c>
      <c r="F72" s="82">
        <v>396</v>
      </c>
      <c r="G72" s="82">
        <v>1183</v>
      </c>
      <c r="H72" s="82">
        <v>1790</v>
      </c>
      <c r="I72" s="82">
        <v>316</v>
      </c>
      <c r="J72" s="82">
        <v>79</v>
      </c>
      <c r="K72" s="82">
        <v>237</v>
      </c>
      <c r="L72" s="82">
        <v>316</v>
      </c>
      <c r="M72" s="82">
        <v>316</v>
      </c>
      <c r="N72" s="82">
        <v>237</v>
      </c>
      <c r="O72" s="82">
        <v>358</v>
      </c>
      <c r="P72" s="82">
        <v>358</v>
      </c>
      <c r="Q72" s="82">
        <v>358</v>
      </c>
      <c r="R72" s="82">
        <v>358</v>
      </c>
    </row>
    <row r="73" spans="1:18" ht="15.75" x14ac:dyDescent="0.25">
      <c r="A73" s="81">
        <v>68</v>
      </c>
      <c r="B73" s="572" t="s">
        <v>407</v>
      </c>
      <c r="C73" s="88" t="s">
        <v>118</v>
      </c>
      <c r="D73" s="82">
        <v>2644</v>
      </c>
      <c r="E73" s="82">
        <v>1210</v>
      </c>
      <c r="F73" s="82">
        <v>293</v>
      </c>
      <c r="G73" s="82">
        <v>917</v>
      </c>
      <c r="H73" s="82">
        <v>1434</v>
      </c>
      <c r="I73" s="82">
        <v>242</v>
      </c>
      <c r="J73" s="82">
        <v>59</v>
      </c>
      <c r="K73" s="82">
        <v>183</v>
      </c>
      <c r="L73" s="82">
        <v>242</v>
      </c>
      <c r="M73" s="82">
        <v>242</v>
      </c>
      <c r="N73" s="82">
        <v>183</v>
      </c>
      <c r="O73" s="82">
        <v>287</v>
      </c>
      <c r="P73" s="82">
        <v>287</v>
      </c>
      <c r="Q73" s="82">
        <v>287</v>
      </c>
      <c r="R73" s="82">
        <v>287</v>
      </c>
    </row>
    <row r="74" spans="1:18" ht="15.75" x14ac:dyDescent="0.25">
      <c r="A74" s="81">
        <v>69</v>
      </c>
      <c r="B74" s="572" t="s">
        <v>408</v>
      </c>
      <c r="C74" s="88" t="s">
        <v>102</v>
      </c>
      <c r="D74" s="82">
        <v>10819</v>
      </c>
      <c r="E74" s="82">
        <v>5216</v>
      </c>
      <c r="F74" s="82">
        <v>1243</v>
      </c>
      <c r="G74" s="82">
        <v>3973</v>
      </c>
      <c r="H74" s="82">
        <v>5603</v>
      </c>
      <c r="I74" s="82">
        <v>1044</v>
      </c>
      <c r="J74" s="82">
        <v>249</v>
      </c>
      <c r="K74" s="82">
        <v>795</v>
      </c>
      <c r="L74" s="82">
        <v>1044</v>
      </c>
      <c r="M74" s="82">
        <v>1044</v>
      </c>
      <c r="N74" s="82">
        <v>795</v>
      </c>
      <c r="O74" s="82">
        <v>1121</v>
      </c>
      <c r="P74" s="82">
        <v>1121</v>
      </c>
      <c r="Q74" s="82">
        <v>1121</v>
      </c>
      <c r="R74" s="82">
        <v>1121</v>
      </c>
    </row>
    <row r="75" spans="1:18" ht="15.75" x14ac:dyDescent="0.25">
      <c r="A75" s="81">
        <v>70</v>
      </c>
      <c r="B75" s="572" t="s">
        <v>409</v>
      </c>
      <c r="C75" s="88" t="s">
        <v>162</v>
      </c>
      <c r="D75" s="82">
        <v>16782</v>
      </c>
      <c r="E75" s="82">
        <v>9255</v>
      </c>
      <c r="F75" s="82">
        <v>2100</v>
      </c>
      <c r="G75" s="82">
        <v>7155</v>
      </c>
      <c r="H75" s="82">
        <v>7527</v>
      </c>
      <c r="I75" s="82">
        <v>1851</v>
      </c>
      <c r="J75" s="82">
        <v>420</v>
      </c>
      <c r="K75" s="82">
        <v>1431</v>
      </c>
      <c r="L75" s="82">
        <v>1851</v>
      </c>
      <c r="M75" s="82">
        <v>1851</v>
      </c>
      <c r="N75" s="82">
        <v>1431</v>
      </c>
      <c r="O75" s="82">
        <v>1505</v>
      </c>
      <c r="P75" s="82">
        <v>1505</v>
      </c>
      <c r="Q75" s="82">
        <v>1505</v>
      </c>
      <c r="R75" s="82">
        <v>1505</v>
      </c>
    </row>
    <row r="76" spans="1:18" ht="15.75" x14ac:dyDescent="0.25">
      <c r="A76" s="81">
        <v>71</v>
      </c>
      <c r="B76" s="572" t="s">
        <v>410</v>
      </c>
      <c r="C76" s="88" t="s">
        <v>164</v>
      </c>
      <c r="D76" s="82">
        <v>9583</v>
      </c>
      <c r="E76" s="82">
        <v>5304</v>
      </c>
      <c r="F76" s="82">
        <v>1282</v>
      </c>
      <c r="G76" s="82">
        <v>4022</v>
      </c>
      <c r="H76" s="82">
        <v>4279</v>
      </c>
      <c r="I76" s="82">
        <v>1060</v>
      </c>
      <c r="J76" s="82">
        <v>256</v>
      </c>
      <c r="K76" s="82">
        <v>804</v>
      </c>
      <c r="L76" s="82">
        <v>1060</v>
      </c>
      <c r="M76" s="82">
        <v>1060</v>
      </c>
      <c r="N76" s="82">
        <v>804</v>
      </c>
      <c r="O76" s="82">
        <v>856</v>
      </c>
      <c r="P76" s="82">
        <v>856</v>
      </c>
      <c r="Q76" s="82">
        <v>856</v>
      </c>
      <c r="R76" s="82">
        <v>856</v>
      </c>
    </row>
    <row r="77" spans="1:18" ht="15.75" x14ac:dyDescent="0.25">
      <c r="A77" s="81">
        <v>72</v>
      </c>
      <c r="B77" s="572" t="s">
        <v>411</v>
      </c>
      <c r="C77" s="88" t="s">
        <v>182</v>
      </c>
      <c r="D77" s="82">
        <v>14080</v>
      </c>
      <c r="E77" s="82">
        <v>7649</v>
      </c>
      <c r="F77" s="82">
        <v>2016</v>
      </c>
      <c r="G77" s="82">
        <v>5633</v>
      </c>
      <c r="H77" s="82">
        <v>6431</v>
      </c>
      <c r="I77" s="82">
        <v>1530</v>
      </c>
      <c r="J77" s="82">
        <v>403</v>
      </c>
      <c r="K77" s="82">
        <v>1127</v>
      </c>
      <c r="L77" s="82">
        <v>1530</v>
      </c>
      <c r="M77" s="82">
        <v>1530</v>
      </c>
      <c r="N77" s="82">
        <v>1127</v>
      </c>
      <c r="O77" s="82">
        <v>1286</v>
      </c>
      <c r="P77" s="82">
        <v>1286</v>
      </c>
      <c r="Q77" s="82">
        <v>1286</v>
      </c>
      <c r="R77" s="82">
        <v>1286</v>
      </c>
    </row>
    <row r="78" spans="1:18" ht="16.5" thickBot="1" x14ac:dyDescent="0.3">
      <c r="A78" s="81">
        <v>73</v>
      </c>
      <c r="B78" s="572" t="s">
        <v>412</v>
      </c>
      <c r="C78" s="88" t="s">
        <v>166</v>
      </c>
      <c r="D78" s="82">
        <v>22252</v>
      </c>
      <c r="E78" s="82">
        <v>12230</v>
      </c>
      <c r="F78" s="82">
        <v>4040</v>
      </c>
      <c r="G78" s="82">
        <v>8190</v>
      </c>
      <c r="H78" s="82">
        <v>10022</v>
      </c>
      <c r="I78" s="82">
        <v>2446</v>
      </c>
      <c r="J78" s="82">
        <v>808</v>
      </c>
      <c r="K78" s="82">
        <v>1638</v>
      </c>
      <c r="L78" s="82">
        <v>2446</v>
      </c>
      <c r="M78" s="82">
        <v>2446</v>
      </c>
      <c r="N78" s="82">
        <v>1638</v>
      </c>
      <c r="O78" s="82">
        <v>2004</v>
      </c>
      <c r="P78" s="82">
        <v>2004</v>
      </c>
      <c r="Q78" s="82">
        <v>2004</v>
      </c>
      <c r="R78" s="82">
        <v>2004</v>
      </c>
    </row>
    <row r="79" spans="1:18" s="84" customFormat="1" ht="16.5" thickBot="1" x14ac:dyDescent="0.3">
      <c r="A79" s="567"/>
      <c r="B79" s="573" t="s">
        <v>413</v>
      </c>
      <c r="C79" s="568"/>
      <c r="D79" s="569">
        <v>558944</v>
      </c>
      <c r="E79" s="569">
        <f t="shared" ref="E79:N79" si="0">SUM(E6:E78)</f>
        <v>286118</v>
      </c>
      <c r="F79" s="569">
        <f t="shared" si="0"/>
        <v>79832</v>
      </c>
      <c r="G79" s="569">
        <f t="shared" si="0"/>
        <v>206286</v>
      </c>
      <c r="H79" s="569">
        <f t="shared" si="0"/>
        <v>272826</v>
      </c>
      <c r="I79" s="569">
        <f t="shared" si="0"/>
        <v>57226</v>
      </c>
      <c r="J79" s="569">
        <f t="shared" si="0"/>
        <v>15967</v>
      </c>
      <c r="K79" s="569">
        <f t="shared" si="0"/>
        <v>41259</v>
      </c>
      <c r="L79" s="569">
        <f t="shared" si="0"/>
        <v>57226</v>
      </c>
      <c r="M79" s="569">
        <f t="shared" si="0"/>
        <v>57226</v>
      </c>
      <c r="N79" s="569">
        <f t="shared" si="0"/>
        <v>41259</v>
      </c>
      <c r="O79" s="569">
        <f t="shared" ref="O79:R79" si="1">SUM(O6:O78)</f>
        <v>54564</v>
      </c>
      <c r="P79" s="569">
        <f t="shared" si="1"/>
        <v>54564</v>
      </c>
      <c r="Q79" s="569">
        <f t="shared" si="1"/>
        <v>54564</v>
      </c>
      <c r="R79" s="570">
        <f t="shared" si="1"/>
        <v>54564</v>
      </c>
    </row>
    <row r="81" spans="4:18" x14ac:dyDescent="0.25"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</row>
    <row r="82" spans="4:18" x14ac:dyDescent="0.25">
      <c r="D82" s="86"/>
      <c r="E82" s="86"/>
      <c r="F82" s="86"/>
      <c r="G82" s="86"/>
      <c r="H82" s="86"/>
      <c r="I82" s="89"/>
      <c r="J82" s="86"/>
      <c r="K82" s="86"/>
      <c r="L82" s="86"/>
      <c r="M82" s="86"/>
      <c r="N82" s="86"/>
      <c r="O82" s="86"/>
      <c r="P82" s="86"/>
      <c r="Q82" s="86"/>
      <c r="R82" s="86"/>
    </row>
    <row r="83" spans="4:18" x14ac:dyDescent="0.25"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</row>
    <row r="86" spans="4:18" x14ac:dyDescent="0.25">
      <c r="E86" s="87"/>
      <c r="I86" s="83"/>
      <c r="J86" s="83"/>
      <c r="K86" s="83"/>
      <c r="L86" s="83"/>
      <c r="M86" s="83"/>
      <c r="N86" s="83"/>
      <c r="O86" s="83"/>
      <c r="P86" s="83"/>
      <c r="Q86" s="83"/>
      <c r="R86" s="83"/>
    </row>
    <row r="87" spans="4:18" x14ac:dyDescent="0.25"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</row>
    <row r="88" spans="4:18" x14ac:dyDescent="0.25">
      <c r="E88" s="87"/>
    </row>
  </sheetData>
  <mergeCells count="12">
    <mergeCell ref="I4:N4"/>
    <mergeCell ref="O4:R4"/>
    <mergeCell ref="B1:R1"/>
    <mergeCell ref="A3:A5"/>
    <mergeCell ref="B3:B5"/>
    <mergeCell ref="C3:C5"/>
    <mergeCell ref="D3:H3"/>
    <mergeCell ref="I3:R3"/>
    <mergeCell ref="D4:D5"/>
    <mergeCell ref="E4:E5"/>
    <mergeCell ref="F4:G4"/>
    <mergeCell ref="H4:H5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1"/>
  <sheetViews>
    <sheetView zoomScaleNormal="100" workbookViewId="0">
      <pane xSplit="3" ySplit="12" topLeftCell="D134" activePane="bottomRight" state="frozen"/>
      <selection activeCell="I32" sqref="I32:I33"/>
      <selection pane="topRight" activeCell="I32" sqref="I32:I33"/>
      <selection pane="bottomLeft" activeCell="I32" sqref="I32:I33"/>
      <selection pane="bottomRight" activeCell="J75" sqref="J75"/>
    </sheetView>
  </sheetViews>
  <sheetFormatPr defaultRowHeight="12" x14ac:dyDescent="0.2"/>
  <cols>
    <col min="1" max="1" width="4.42578125" style="626" customWidth="1"/>
    <col min="2" max="2" width="6.85546875" style="626" customWidth="1"/>
    <col min="3" max="3" width="47" style="626" customWidth="1"/>
    <col min="4" max="10" width="14.28515625" style="626" customWidth="1"/>
    <col min="11" max="11" width="3.42578125" style="626" customWidth="1"/>
    <col min="12" max="16384" width="9.140625" style="626"/>
  </cols>
  <sheetData>
    <row r="1" spans="1:10" ht="30.75" customHeight="1" x14ac:dyDescent="0.2">
      <c r="A1" s="982" t="s">
        <v>463</v>
      </c>
      <c r="B1" s="982"/>
      <c r="C1" s="982"/>
      <c r="D1" s="982"/>
      <c r="E1" s="982"/>
      <c r="F1" s="982"/>
      <c r="G1" s="982"/>
      <c r="H1" s="982"/>
      <c r="I1" s="982"/>
      <c r="J1" s="982"/>
    </row>
    <row r="2" spans="1:10" ht="23.25" customHeight="1" x14ac:dyDescent="0.2">
      <c r="A2" s="983" t="s">
        <v>0</v>
      </c>
      <c r="B2" s="984" t="s">
        <v>326</v>
      </c>
      <c r="C2" s="983" t="s">
        <v>309</v>
      </c>
      <c r="D2" s="985" t="s">
        <v>464</v>
      </c>
      <c r="E2" s="985"/>
      <c r="F2" s="985"/>
      <c r="G2" s="985"/>
      <c r="H2" s="985"/>
      <c r="I2" s="985"/>
      <c r="J2" s="985"/>
    </row>
    <row r="3" spans="1:10" ht="15" customHeight="1" x14ac:dyDescent="0.2">
      <c r="A3" s="983"/>
      <c r="B3" s="984"/>
      <c r="C3" s="983"/>
      <c r="D3" s="985" t="s">
        <v>442</v>
      </c>
      <c r="E3" s="986" t="s">
        <v>465</v>
      </c>
      <c r="F3" s="987"/>
      <c r="G3" s="987"/>
      <c r="H3" s="987"/>
      <c r="I3" s="987"/>
      <c r="J3" s="988"/>
    </row>
    <row r="4" spans="1:10" s="627" customFormat="1" ht="41.25" customHeight="1" x14ac:dyDescent="0.25">
      <c r="A4" s="983"/>
      <c r="B4" s="984"/>
      <c r="C4" s="983"/>
      <c r="D4" s="985"/>
      <c r="E4" s="989"/>
      <c r="F4" s="990"/>
      <c r="G4" s="990"/>
      <c r="H4" s="990"/>
      <c r="I4" s="990"/>
      <c r="J4" s="991"/>
    </row>
    <row r="5" spans="1:10" ht="31.5" customHeight="1" x14ac:dyDescent="0.2">
      <c r="A5" s="983"/>
      <c r="B5" s="984"/>
      <c r="C5" s="983"/>
      <c r="D5" s="985"/>
      <c r="E5" s="992" t="s">
        <v>466</v>
      </c>
      <c r="F5" s="995" t="s">
        <v>467</v>
      </c>
      <c r="G5" s="996"/>
      <c r="H5" s="996"/>
      <c r="I5" s="996"/>
      <c r="J5" s="997"/>
    </row>
    <row r="6" spans="1:10" ht="22.5" customHeight="1" x14ac:dyDescent="0.2">
      <c r="A6" s="983"/>
      <c r="B6" s="984"/>
      <c r="C6" s="983"/>
      <c r="D6" s="985"/>
      <c r="E6" s="993"/>
      <c r="F6" s="985" t="s">
        <v>46</v>
      </c>
      <c r="G6" s="995" t="s">
        <v>448</v>
      </c>
      <c r="H6" s="996"/>
      <c r="I6" s="996"/>
      <c r="J6" s="997"/>
    </row>
    <row r="7" spans="1:10" ht="26.25" customHeight="1" x14ac:dyDescent="0.2">
      <c r="A7" s="983"/>
      <c r="B7" s="984"/>
      <c r="C7" s="983"/>
      <c r="D7" s="985"/>
      <c r="E7" s="993"/>
      <c r="F7" s="985"/>
      <c r="G7" s="1002" t="s">
        <v>468</v>
      </c>
      <c r="H7" s="1003" t="s">
        <v>49</v>
      </c>
      <c r="I7" s="1004"/>
      <c r="J7" s="1005"/>
    </row>
    <row r="8" spans="1:10" ht="42.75" customHeight="1" x14ac:dyDescent="0.2">
      <c r="A8" s="983"/>
      <c r="B8" s="984"/>
      <c r="C8" s="983"/>
      <c r="D8" s="985"/>
      <c r="E8" s="994"/>
      <c r="F8" s="985"/>
      <c r="G8" s="1002"/>
      <c r="H8" s="628" t="s">
        <v>46</v>
      </c>
      <c r="I8" s="629" t="s">
        <v>469</v>
      </c>
      <c r="J8" s="630" t="s">
        <v>50</v>
      </c>
    </row>
    <row r="9" spans="1:10" s="633" customFormat="1" ht="11.25" x14ac:dyDescent="0.2">
      <c r="A9" s="631">
        <v>1</v>
      </c>
      <c r="B9" s="631">
        <v>2</v>
      </c>
      <c r="C9" s="631">
        <v>3</v>
      </c>
      <c r="D9" s="632">
        <v>4</v>
      </c>
      <c r="E9" s="632">
        <v>5</v>
      </c>
      <c r="F9" s="632">
        <v>6</v>
      </c>
      <c r="G9" s="632">
        <v>7</v>
      </c>
      <c r="H9" s="632">
        <v>8</v>
      </c>
      <c r="I9" s="632">
        <v>9</v>
      </c>
      <c r="J9" s="632">
        <v>10</v>
      </c>
    </row>
    <row r="10" spans="1:10" s="635" customFormat="1" x14ac:dyDescent="0.2">
      <c r="A10" s="998" t="s">
        <v>470</v>
      </c>
      <c r="B10" s="998"/>
      <c r="C10" s="998"/>
      <c r="D10" s="634">
        <f>E10+F10</f>
        <v>1717790</v>
      </c>
      <c r="E10" s="634">
        <f>E11+E12</f>
        <v>8152</v>
      </c>
      <c r="F10" s="634">
        <f>G10+H10</f>
        <v>1709638</v>
      </c>
      <c r="G10" s="634">
        <f>G11+G12</f>
        <v>81825</v>
      </c>
      <c r="H10" s="634">
        <f>H11+H12</f>
        <v>1627813</v>
      </c>
      <c r="I10" s="634">
        <f t="shared" ref="I10:J10" si="0">I11+I12</f>
        <v>13083</v>
      </c>
      <c r="J10" s="634">
        <f t="shared" si="0"/>
        <v>1614730</v>
      </c>
    </row>
    <row r="11" spans="1:10" ht="12" customHeight="1" x14ac:dyDescent="0.2">
      <c r="A11" s="999" t="s">
        <v>14</v>
      </c>
      <c r="B11" s="1000"/>
      <c r="C11" s="1001"/>
      <c r="D11" s="636">
        <f>E11+F11</f>
        <v>0</v>
      </c>
      <c r="E11" s="636">
        <v>0</v>
      </c>
      <c r="F11" s="636">
        <v>0</v>
      </c>
      <c r="G11" s="636">
        <v>0</v>
      </c>
      <c r="H11" s="636">
        <v>0</v>
      </c>
      <c r="I11" s="636">
        <v>0</v>
      </c>
      <c r="J11" s="636">
        <v>0</v>
      </c>
    </row>
    <row r="12" spans="1:10" s="635" customFormat="1" x14ac:dyDescent="0.2">
      <c r="A12" s="981" t="s">
        <v>15</v>
      </c>
      <c r="B12" s="981"/>
      <c r="C12" s="981"/>
      <c r="D12" s="634">
        <f>E12+F12</f>
        <v>1717790</v>
      </c>
      <c r="E12" s="634">
        <f>SUM(E13:E149)-E93-E38-E76-E77-E79-E80-E81-E86-E89</f>
        <v>8152</v>
      </c>
      <c r="F12" s="634">
        <f>SUM(F13:F149)-F93-F38-F76-F77-F79-F80-F81-F86-F89</f>
        <v>1709638</v>
      </c>
      <c r="G12" s="634">
        <f t="shared" ref="G12:J12" si="1">SUM(G13:G149)-G93-G38-G76-G77-G79-G80-G81-G86-G89</f>
        <v>81825</v>
      </c>
      <c r="H12" s="634">
        <f t="shared" si="1"/>
        <v>1627813</v>
      </c>
      <c r="I12" s="634">
        <f t="shared" si="1"/>
        <v>13083</v>
      </c>
      <c r="J12" s="634">
        <f t="shared" si="1"/>
        <v>1614730</v>
      </c>
    </row>
    <row r="13" spans="1:10" x14ac:dyDescent="0.2">
      <c r="A13" s="637">
        <v>1</v>
      </c>
      <c r="B13" s="28" t="s">
        <v>54</v>
      </c>
      <c r="C13" s="29" t="s">
        <v>55</v>
      </c>
      <c r="D13" s="636">
        <f>E13+F13</f>
        <v>15789</v>
      </c>
      <c r="E13" s="636">
        <v>0</v>
      </c>
      <c r="F13" s="636">
        <f>G13+H13</f>
        <v>15789</v>
      </c>
      <c r="G13" s="636">
        <v>1008</v>
      </c>
      <c r="H13" s="636">
        <f>I13+J13</f>
        <v>14781</v>
      </c>
      <c r="I13" s="636">
        <v>261</v>
      </c>
      <c r="J13" s="636">
        <v>14520</v>
      </c>
    </row>
    <row r="14" spans="1:10" x14ac:dyDescent="0.2">
      <c r="A14" s="637">
        <v>2</v>
      </c>
      <c r="B14" s="30" t="s">
        <v>56</v>
      </c>
      <c r="C14" s="29" t="s">
        <v>57</v>
      </c>
      <c r="D14" s="636">
        <f t="shared" ref="D14:D77" si="2">E14+F14</f>
        <v>9996</v>
      </c>
      <c r="E14" s="636">
        <v>0</v>
      </c>
      <c r="F14" s="636">
        <f t="shared" ref="F14:F77" si="3">G14+H14</f>
        <v>9996</v>
      </c>
      <c r="G14" s="636">
        <v>316</v>
      </c>
      <c r="H14" s="636">
        <f t="shared" ref="H14:H77" si="4">I14+J14</f>
        <v>9680</v>
      </c>
      <c r="I14" s="636">
        <v>395</v>
      </c>
      <c r="J14" s="636">
        <v>9285</v>
      </c>
    </row>
    <row r="15" spans="1:10" x14ac:dyDescent="0.2">
      <c r="A15" s="637">
        <v>3</v>
      </c>
      <c r="B15" s="22" t="s">
        <v>16</v>
      </c>
      <c r="C15" s="23" t="s">
        <v>17</v>
      </c>
      <c r="D15" s="636">
        <f t="shared" si="2"/>
        <v>34284</v>
      </c>
      <c r="E15" s="636">
        <v>0</v>
      </c>
      <c r="F15" s="636">
        <f t="shared" si="3"/>
        <v>34284</v>
      </c>
      <c r="G15" s="636">
        <v>792</v>
      </c>
      <c r="H15" s="636">
        <f t="shared" si="4"/>
        <v>33492</v>
      </c>
      <c r="I15" s="636">
        <v>0</v>
      </c>
      <c r="J15" s="636">
        <v>33492</v>
      </c>
    </row>
    <row r="16" spans="1:10" x14ac:dyDescent="0.2">
      <c r="A16" s="637">
        <v>4</v>
      </c>
      <c r="B16" s="28" t="s">
        <v>58</v>
      </c>
      <c r="C16" s="29" t="s">
        <v>59</v>
      </c>
      <c r="D16" s="636">
        <f t="shared" si="2"/>
        <v>10811</v>
      </c>
      <c r="E16" s="636">
        <v>0</v>
      </c>
      <c r="F16" s="636">
        <f t="shared" si="3"/>
        <v>10811</v>
      </c>
      <c r="G16" s="636">
        <v>150</v>
      </c>
      <c r="H16" s="636">
        <f t="shared" si="4"/>
        <v>10661</v>
      </c>
      <c r="I16" s="636">
        <v>0</v>
      </c>
      <c r="J16" s="636">
        <v>10661</v>
      </c>
    </row>
    <row r="17" spans="1:10" x14ac:dyDescent="0.2">
      <c r="A17" s="637">
        <v>5</v>
      </c>
      <c r="B17" s="28" t="s">
        <v>60</v>
      </c>
      <c r="C17" s="29" t="s">
        <v>61</v>
      </c>
      <c r="D17" s="636">
        <f t="shared" si="2"/>
        <v>16125</v>
      </c>
      <c r="E17" s="636">
        <v>0</v>
      </c>
      <c r="F17" s="636">
        <f t="shared" si="3"/>
        <v>16125</v>
      </c>
      <c r="G17" s="636">
        <v>420</v>
      </c>
      <c r="H17" s="636">
        <f t="shared" si="4"/>
        <v>15705</v>
      </c>
      <c r="I17" s="636">
        <v>59</v>
      </c>
      <c r="J17" s="636">
        <v>15646</v>
      </c>
    </row>
    <row r="18" spans="1:10" x14ac:dyDescent="0.2">
      <c r="A18" s="637">
        <v>6</v>
      </c>
      <c r="B18" s="22" t="s">
        <v>18</v>
      </c>
      <c r="C18" s="23" t="s">
        <v>19</v>
      </c>
      <c r="D18" s="636">
        <f t="shared" si="2"/>
        <v>49963</v>
      </c>
      <c r="E18" s="636">
        <v>0</v>
      </c>
      <c r="F18" s="636">
        <f t="shared" si="3"/>
        <v>49963</v>
      </c>
      <c r="G18" s="636">
        <v>2235</v>
      </c>
      <c r="H18" s="636">
        <f t="shared" si="4"/>
        <v>47728</v>
      </c>
      <c r="I18" s="636">
        <v>0</v>
      </c>
      <c r="J18" s="636">
        <v>47728</v>
      </c>
    </row>
    <row r="19" spans="1:10" x14ac:dyDescent="0.2">
      <c r="A19" s="637">
        <v>7</v>
      </c>
      <c r="B19" s="49" t="s">
        <v>62</v>
      </c>
      <c r="C19" s="50" t="s">
        <v>63</v>
      </c>
      <c r="D19" s="636">
        <f t="shared" si="2"/>
        <v>29983</v>
      </c>
      <c r="E19" s="636">
        <v>0</v>
      </c>
      <c r="F19" s="636">
        <f t="shared" si="3"/>
        <v>29983</v>
      </c>
      <c r="G19" s="636">
        <v>417</v>
      </c>
      <c r="H19" s="636">
        <f t="shared" si="4"/>
        <v>29566</v>
      </c>
      <c r="I19" s="636">
        <v>10</v>
      </c>
      <c r="J19" s="636">
        <v>29556</v>
      </c>
    </row>
    <row r="20" spans="1:10" x14ac:dyDescent="0.2">
      <c r="A20" s="637">
        <v>8</v>
      </c>
      <c r="B20" s="22" t="s">
        <v>64</v>
      </c>
      <c r="C20" s="23" t="s">
        <v>65</v>
      </c>
      <c r="D20" s="636">
        <f t="shared" si="2"/>
        <v>9877</v>
      </c>
      <c r="E20" s="636">
        <v>0</v>
      </c>
      <c r="F20" s="636">
        <f t="shared" si="3"/>
        <v>9877</v>
      </c>
      <c r="G20" s="636">
        <v>990</v>
      </c>
      <c r="H20" s="636">
        <f t="shared" si="4"/>
        <v>8887</v>
      </c>
      <c r="I20" s="636">
        <v>0</v>
      </c>
      <c r="J20" s="636">
        <v>8887</v>
      </c>
    </row>
    <row r="21" spans="1:10" x14ac:dyDescent="0.2">
      <c r="A21" s="637">
        <v>9</v>
      </c>
      <c r="B21" s="22" t="s">
        <v>66</v>
      </c>
      <c r="C21" s="23" t="s">
        <v>67</v>
      </c>
      <c r="D21" s="636">
        <f t="shared" si="2"/>
        <v>12474</v>
      </c>
      <c r="E21" s="636">
        <v>0</v>
      </c>
      <c r="F21" s="636">
        <f t="shared" si="3"/>
        <v>12474</v>
      </c>
      <c r="G21" s="636">
        <v>20</v>
      </c>
      <c r="H21" s="636">
        <f t="shared" si="4"/>
        <v>12454</v>
      </c>
      <c r="I21" s="636">
        <v>0</v>
      </c>
      <c r="J21" s="636">
        <v>12454</v>
      </c>
    </row>
    <row r="22" spans="1:10" x14ac:dyDescent="0.2">
      <c r="A22" s="637">
        <v>10</v>
      </c>
      <c r="B22" s="22" t="s">
        <v>68</v>
      </c>
      <c r="C22" s="23" t="s">
        <v>69</v>
      </c>
      <c r="D22" s="636">
        <f t="shared" si="2"/>
        <v>18290</v>
      </c>
      <c r="E22" s="636">
        <v>0</v>
      </c>
      <c r="F22" s="636">
        <f t="shared" si="3"/>
        <v>18290</v>
      </c>
      <c r="G22" s="636">
        <v>188</v>
      </c>
      <c r="H22" s="636">
        <f t="shared" si="4"/>
        <v>18102</v>
      </c>
      <c r="I22" s="636">
        <v>0</v>
      </c>
      <c r="J22" s="636">
        <v>18102</v>
      </c>
    </row>
    <row r="23" spans="1:10" x14ac:dyDescent="0.2">
      <c r="A23" s="637">
        <v>11</v>
      </c>
      <c r="B23" s="22" t="s">
        <v>70</v>
      </c>
      <c r="C23" s="23" t="s">
        <v>71</v>
      </c>
      <c r="D23" s="636">
        <f t="shared" si="2"/>
        <v>14791</v>
      </c>
      <c r="E23" s="636">
        <v>0</v>
      </c>
      <c r="F23" s="636">
        <f t="shared" si="3"/>
        <v>14791</v>
      </c>
      <c r="G23" s="636">
        <v>240</v>
      </c>
      <c r="H23" s="636">
        <f t="shared" si="4"/>
        <v>14551</v>
      </c>
      <c r="I23" s="636">
        <v>0</v>
      </c>
      <c r="J23" s="636">
        <v>14551</v>
      </c>
    </row>
    <row r="24" spans="1:10" x14ac:dyDescent="0.2">
      <c r="A24" s="637">
        <v>12</v>
      </c>
      <c r="B24" s="22" t="s">
        <v>72</v>
      </c>
      <c r="C24" s="23" t="s">
        <v>73</v>
      </c>
      <c r="D24" s="636">
        <f t="shared" si="2"/>
        <v>14802</v>
      </c>
      <c r="E24" s="636">
        <v>0</v>
      </c>
      <c r="F24" s="636">
        <f t="shared" si="3"/>
        <v>14802</v>
      </c>
      <c r="G24" s="636">
        <v>150</v>
      </c>
      <c r="H24" s="636">
        <f t="shared" si="4"/>
        <v>14652</v>
      </c>
      <c r="I24" s="636">
        <v>0</v>
      </c>
      <c r="J24" s="636">
        <v>14652</v>
      </c>
    </row>
    <row r="25" spans="1:10" x14ac:dyDescent="0.2">
      <c r="A25" s="637">
        <v>13</v>
      </c>
      <c r="B25" s="22" t="s">
        <v>74</v>
      </c>
      <c r="C25" s="23" t="s">
        <v>75</v>
      </c>
      <c r="D25" s="636">
        <f t="shared" si="2"/>
        <v>0</v>
      </c>
      <c r="E25" s="636">
        <v>0</v>
      </c>
      <c r="F25" s="636">
        <f t="shared" si="3"/>
        <v>0</v>
      </c>
      <c r="G25" s="636">
        <v>0</v>
      </c>
      <c r="H25" s="636">
        <f t="shared" si="4"/>
        <v>0</v>
      </c>
      <c r="I25" s="636">
        <v>0</v>
      </c>
      <c r="J25" s="636">
        <v>0</v>
      </c>
    </row>
    <row r="26" spans="1:10" x14ac:dyDescent="0.2">
      <c r="A26" s="637">
        <v>14</v>
      </c>
      <c r="B26" s="22" t="s">
        <v>76</v>
      </c>
      <c r="C26" s="23" t="s">
        <v>77</v>
      </c>
      <c r="D26" s="636">
        <f t="shared" si="2"/>
        <v>14425</v>
      </c>
      <c r="E26" s="636">
        <v>0</v>
      </c>
      <c r="F26" s="636">
        <f t="shared" si="3"/>
        <v>14425</v>
      </c>
      <c r="G26" s="636">
        <v>268</v>
      </c>
      <c r="H26" s="636">
        <f t="shared" si="4"/>
        <v>14157</v>
      </c>
      <c r="I26" s="636">
        <v>0</v>
      </c>
      <c r="J26" s="636">
        <v>14157</v>
      </c>
    </row>
    <row r="27" spans="1:10" x14ac:dyDescent="0.2">
      <c r="A27" s="637">
        <v>15</v>
      </c>
      <c r="B27" s="22" t="s">
        <v>78</v>
      </c>
      <c r="C27" s="23" t="s">
        <v>79</v>
      </c>
      <c r="D27" s="636">
        <f t="shared" si="2"/>
        <v>10014</v>
      </c>
      <c r="E27" s="636">
        <v>0</v>
      </c>
      <c r="F27" s="636">
        <f t="shared" si="3"/>
        <v>10014</v>
      </c>
      <c r="G27" s="636">
        <v>224</v>
      </c>
      <c r="H27" s="636">
        <f t="shared" si="4"/>
        <v>9790</v>
      </c>
      <c r="I27" s="636">
        <v>0</v>
      </c>
      <c r="J27" s="636">
        <v>9790</v>
      </c>
    </row>
    <row r="28" spans="1:10" x14ac:dyDescent="0.2">
      <c r="A28" s="637">
        <v>16</v>
      </c>
      <c r="B28" s="22" t="s">
        <v>80</v>
      </c>
      <c r="C28" s="23" t="s">
        <v>81</v>
      </c>
      <c r="D28" s="636">
        <f t="shared" si="2"/>
        <v>21991</v>
      </c>
      <c r="E28" s="636">
        <v>0</v>
      </c>
      <c r="F28" s="636">
        <f t="shared" si="3"/>
        <v>21991</v>
      </c>
      <c r="G28" s="636">
        <v>800</v>
      </c>
      <c r="H28" s="636">
        <f t="shared" si="4"/>
        <v>21191</v>
      </c>
      <c r="I28" s="636">
        <v>0</v>
      </c>
      <c r="J28" s="636">
        <v>21191</v>
      </c>
    </row>
    <row r="29" spans="1:10" x14ac:dyDescent="0.2">
      <c r="A29" s="637">
        <v>17</v>
      </c>
      <c r="B29" s="22" t="s">
        <v>20</v>
      </c>
      <c r="C29" s="23" t="s">
        <v>21</v>
      </c>
      <c r="D29" s="636">
        <f t="shared" si="2"/>
        <v>35355</v>
      </c>
      <c r="E29" s="636">
        <v>0</v>
      </c>
      <c r="F29" s="636">
        <f t="shared" si="3"/>
        <v>35355</v>
      </c>
      <c r="G29" s="636">
        <v>350</v>
      </c>
      <c r="H29" s="636">
        <f t="shared" si="4"/>
        <v>35005</v>
      </c>
      <c r="I29" s="636">
        <v>0</v>
      </c>
      <c r="J29" s="636">
        <v>35005</v>
      </c>
    </row>
    <row r="30" spans="1:10" x14ac:dyDescent="0.2">
      <c r="A30" s="637">
        <v>18</v>
      </c>
      <c r="B30" s="28" t="s">
        <v>82</v>
      </c>
      <c r="C30" s="29" t="s">
        <v>83</v>
      </c>
      <c r="D30" s="636">
        <f t="shared" si="2"/>
        <v>6744</v>
      </c>
      <c r="E30" s="636">
        <v>0</v>
      </c>
      <c r="F30" s="636">
        <f t="shared" si="3"/>
        <v>6744</v>
      </c>
      <c r="G30" s="636">
        <v>1100</v>
      </c>
      <c r="H30" s="636">
        <f t="shared" si="4"/>
        <v>5644</v>
      </c>
      <c r="I30" s="636">
        <v>13</v>
      </c>
      <c r="J30" s="636">
        <v>5631</v>
      </c>
    </row>
    <row r="31" spans="1:10" x14ac:dyDescent="0.2">
      <c r="A31" s="637">
        <v>19</v>
      </c>
      <c r="B31" s="28" t="s">
        <v>84</v>
      </c>
      <c r="C31" s="29" t="s">
        <v>85</v>
      </c>
      <c r="D31" s="636">
        <f t="shared" si="2"/>
        <v>10427</v>
      </c>
      <c r="E31" s="636">
        <v>0</v>
      </c>
      <c r="F31" s="636">
        <f t="shared" si="3"/>
        <v>10427</v>
      </c>
      <c r="G31" s="636">
        <v>1464</v>
      </c>
      <c r="H31" s="636">
        <f t="shared" si="4"/>
        <v>8963</v>
      </c>
      <c r="I31" s="636">
        <v>0</v>
      </c>
      <c r="J31" s="636">
        <v>8963</v>
      </c>
    </row>
    <row r="32" spans="1:10" x14ac:dyDescent="0.2">
      <c r="A32" s="637">
        <v>20</v>
      </c>
      <c r="B32" s="28" t="s">
        <v>86</v>
      </c>
      <c r="C32" s="29" t="s">
        <v>87</v>
      </c>
      <c r="D32" s="636">
        <f t="shared" si="2"/>
        <v>25351</v>
      </c>
      <c r="E32" s="636">
        <v>0</v>
      </c>
      <c r="F32" s="636">
        <f t="shared" si="3"/>
        <v>25351</v>
      </c>
      <c r="G32" s="636">
        <v>1111</v>
      </c>
      <c r="H32" s="636">
        <f t="shared" si="4"/>
        <v>24240</v>
      </c>
      <c r="I32" s="636">
        <v>0</v>
      </c>
      <c r="J32" s="636">
        <v>24240</v>
      </c>
    </row>
    <row r="33" spans="1:10" x14ac:dyDescent="0.2">
      <c r="A33" s="637">
        <v>21</v>
      </c>
      <c r="B33" s="28" t="s">
        <v>22</v>
      </c>
      <c r="C33" s="29" t="s">
        <v>23</v>
      </c>
      <c r="D33" s="636">
        <f t="shared" si="2"/>
        <v>17746</v>
      </c>
      <c r="E33" s="636">
        <v>0</v>
      </c>
      <c r="F33" s="636">
        <f t="shared" si="3"/>
        <v>17746</v>
      </c>
      <c r="G33" s="636">
        <v>92</v>
      </c>
      <c r="H33" s="636">
        <f t="shared" si="4"/>
        <v>17654</v>
      </c>
      <c r="I33" s="636">
        <v>0</v>
      </c>
      <c r="J33" s="636">
        <v>17654</v>
      </c>
    </row>
    <row r="34" spans="1:10" x14ac:dyDescent="0.2">
      <c r="A34" s="637">
        <v>22</v>
      </c>
      <c r="B34" s="22" t="s">
        <v>24</v>
      </c>
      <c r="C34" s="23" t="s">
        <v>25</v>
      </c>
      <c r="D34" s="636">
        <f t="shared" si="2"/>
        <v>4530</v>
      </c>
      <c r="E34" s="636">
        <v>0</v>
      </c>
      <c r="F34" s="636">
        <f t="shared" si="3"/>
        <v>4530</v>
      </c>
      <c r="G34" s="636">
        <v>217</v>
      </c>
      <c r="H34" s="636">
        <f t="shared" si="4"/>
        <v>4313</v>
      </c>
      <c r="I34" s="636">
        <v>0</v>
      </c>
      <c r="J34" s="636">
        <v>4313</v>
      </c>
    </row>
    <row r="35" spans="1:10" x14ac:dyDescent="0.2">
      <c r="A35" s="637">
        <v>23</v>
      </c>
      <c r="B35" s="22" t="s">
        <v>88</v>
      </c>
      <c r="C35" s="23" t="s">
        <v>89</v>
      </c>
      <c r="D35" s="636">
        <f t="shared" si="2"/>
        <v>0</v>
      </c>
      <c r="E35" s="636">
        <v>0</v>
      </c>
      <c r="F35" s="636">
        <f t="shared" si="3"/>
        <v>0</v>
      </c>
      <c r="G35" s="636">
        <v>0</v>
      </c>
      <c r="H35" s="636">
        <v>0</v>
      </c>
      <c r="I35" s="636">
        <v>0</v>
      </c>
      <c r="J35" s="636">
        <v>0</v>
      </c>
    </row>
    <row r="36" spans="1:10" ht="15" customHeight="1" x14ac:dyDescent="0.2">
      <c r="A36" s="637">
        <v>24</v>
      </c>
      <c r="B36" s="22" t="s">
        <v>90</v>
      </c>
      <c r="C36" s="23" t="s">
        <v>91</v>
      </c>
      <c r="D36" s="636">
        <f t="shared" si="2"/>
        <v>0</v>
      </c>
      <c r="E36" s="636">
        <v>0</v>
      </c>
      <c r="F36" s="636">
        <f t="shared" si="3"/>
        <v>0</v>
      </c>
      <c r="G36" s="636">
        <v>0</v>
      </c>
      <c r="H36" s="636">
        <v>0</v>
      </c>
      <c r="I36" s="636">
        <v>0</v>
      </c>
      <c r="J36" s="636">
        <v>0</v>
      </c>
    </row>
    <row r="37" spans="1:10" x14ac:dyDescent="0.2">
      <c r="A37" s="921">
        <v>25</v>
      </c>
      <c r="B37" s="624" t="s">
        <v>92</v>
      </c>
      <c r="C37" s="57" t="s">
        <v>775</v>
      </c>
      <c r="D37" s="636">
        <f t="shared" si="2"/>
        <v>99631</v>
      </c>
      <c r="E37" s="636">
        <v>0</v>
      </c>
      <c r="F37" s="636">
        <f t="shared" si="3"/>
        <v>99631</v>
      </c>
      <c r="G37" s="636">
        <v>18317</v>
      </c>
      <c r="H37" s="636">
        <f t="shared" si="4"/>
        <v>81314</v>
      </c>
      <c r="I37" s="636">
        <v>33</v>
      </c>
      <c r="J37" s="636">
        <v>81281</v>
      </c>
    </row>
    <row r="38" spans="1:10" x14ac:dyDescent="0.2">
      <c r="A38" s="923"/>
      <c r="B38" s="167" t="s">
        <v>94</v>
      </c>
      <c r="C38" s="50" t="s">
        <v>95</v>
      </c>
      <c r="D38" s="636">
        <f t="shared" si="2"/>
        <v>0</v>
      </c>
      <c r="E38" s="636">
        <v>0</v>
      </c>
      <c r="F38" s="636">
        <f t="shared" si="3"/>
        <v>0</v>
      </c>
      <c r="G38" s="636">
        <v>0</v>
      </c>
      <c r="H38" s="636">
        <f t="shared" si="4"/>
        <v>0</v>
      </c>
      <c r="I38" s="636">
        <v>0</v>
      </c>
      <c r="J38" s="636">
        <v>0</v>
      </c>
    </row>
    <row r="39" spans="1:10" x14ac:dyDescent="0.2">
      <c r="A39" s="637">
        <v>26</v>
      </c>
      <c r="B39" s="30" t="s">
        <v>96</v>
      </c>
      <c r="C39" s="50" t="s">
        <v>97</v>
      </c>
      <c r="D39" s="636">
        <f t="shared" si="2"/>
        <v>0</v>
      </c>
      <c r="E39" s="636">
        <v>0</v>
      </c>
      <c r="F39" s="636">
        <f t="shared" si="3"/>
        <v>0</v>
      </c>
      <c r="G39" s="636">
        <v>0</v>
      </c>
      <c r="H39" s="636">
        <f t="shared" si="4"/>
        <v>0</v>
      </c>
      <c r="I39" s="636">
        <v>0</v>
      </c>
      <c r="J39" s="636">
        <v>0</v>
      </c>
    </row>
    <row r="40" spans="1:10" x14ac:dyDescent="0.2">
      <c r="A40" s="637">
        <v>27</v>
      </c>
      <c r="B40" s="30" t="s">
        <v>26</v>
      </c>
      <c r="C40" s="29" t="s">
        <v>27</v>
      </c>
      <c r="D40" s="636">
        <f t="shared" si="2"/>
        <v>17940</v>
      </c>
      <c r="E40" s="636">
        <v>0</v>
      </c>
      <c r="F40" s="636">
        <f t="shared" si="3"/>
        <v>17940</v>
      </c>
      <c r="G40" s="636">
        <v>12</v>
      </c>
      <c r="H40" s="636">
        <f t="shared" si="4"/>
        <v>17928</v>
      </c>
      <c r="I40" s="636">
        <v>1545</v>
      </c>
      <c r="J40" s="636">
        <v>16383</v>
      </c>
    </row>
    <row r="41" spans="1:10" x14ac:dyDescent="0.2">
      <c r="A41" s="637">
        <v>28</v>
      </c>
      <c r="B41" s="49" t="s">
        <v>98</v>
      </c>
      <c r="C41" s="50" t="s">
        <v>99</v>
      </c>
      <c r="D41" s="636">
        <f t="shared" si="2"/>
        <v>60616</v>
      </c>
      <c r="E41" s="636">
        <v>0</v>
      </c>
      <c r="F41" s="636">
        <f t="shared" si="3"/>
        <v>60616</v>
      </c>
      <c r="G41" s="636">
        <v>2800</v>
      </c>
      <c r="H41" s="636">
        <f t="shared" si="4"/>
        <v>57816</v>
      </c>
      <c r="I41" s="636">
        <v>0</v>
      </c>
      <c r="J41" s="636">
        <v>57816</v>
      </c>
    </row>
    <row r="42" spans="1:10" x14ac:dyDescent="0.2">
      <c r="A42" s="637">
        <v>29</v>
      </c>
      <c r="B42" s="30" t="s">
        <v>100</v>
      </c>
      <c r="C42" s="29" t="s">
        <v>101</v>
      </c>
      <c r="D42" s="636">
        <f t="shared" si="2"/>
        <v>8947</v>
      </c>
      <c r="E42" s="636">
        <v>0</v>
      </c>
      <c r="F42" s="636">
        <f t="shared" si="3"/>
        <v>8947</v>
      </c>
      <c r="G42" s="636">
        <v>265</v>
      </c>
      <c r="H42" s="636">
        <f t="shared" si="4"/>
        <v>8682</v>
      </c>
      <c r="I42" s="636">
        <v>0</v>
      </c>
      <c r="J42" s="636">
        <v>8682</v>
      </c>
    </row>
    <row r="43" spans="1:10" x14ac:dyDescent="0.2">
      <c r="A43" s="637">
        <v>30</v>
      </c>
      <c r="B43" s="22" t="s">
        <v>102</v>
      </c>
      <c r="C43" s="23" t="s">
        <v>103</v>
      </c>
      <c r="D43" s="636">
        <f t="shared" si="2"/>
        <v>43090</v>
      </c>
      <c r="E43" s="636">
        <v>0</v>
      </c>
      <c r="F43" s="636">
        <f t="shared" si="3"/>
        <v>43090</v>
      </c>
      <c r="G43" s="636">
        <v>2753</v>
      </c>
      <c r="H43" s="636">
        <f t="shared" si="4"/>
        <v>40337</v>
      </c>
      <c r="I43" s="636">
        <v>209</v>
      </c>
      <c r="J43" s="636">
        <v>40128</v>
      </c>
    </row>
    <row r="44" spans="1:10" x14ac:dyDescent="0.2">
      <c r="A44" s="637">
        <v>31</v>
      </c>
      <c r="B44" s="30" t="s">
        <v>104</v>
      </c>
      <c r="C44" s="29" t="s">
        <v>105</v>
      </c>
      <c r="D44" s="636">
        <f t="shared" si="2"/>
        <v>10571</v>
      </c>
      <c r="E44" s="636">
        <v>0</v>
      </c>
      <c r="F44" s="636">
        <f t="shared" si="3"/>
        <v>10571</v>
      </c>
      <c r="G44" s="636">
        <v>52</v>
      </c>
      <c r="H44" s="636">
        <f t="shared" si="4"/>
        <v>10519</v>
      </c>
      <c r="I44" s="636">
        <v>227</v>
      </c>
      <c r="J44" s="636">
        <v>10292</v>
      </c>
    </row>
    <row r="45" spans="1:10" x14ac:dyDescent="0.2">
      <c r="A45" s="637">
        <v>32</v>
      </c>
      <c r="B45" s="28" t="s">
        <v>106</v>
      </c>
      <c r="C45" s="29" t="s">
        <v>107</v>
      </c>
      <c r="D45" s="636">
        <f t="shared" si="2"/>
        <v>24367</v>
      </c>
      <c r="E45" s="636">
        <v>0</v>
      </c>
      <c r="F45" s="636">
        <f t="shared" si="3"/>
        <v>24367</v>
      </c>
      <c r="G45" s="636">
        <v>987</v>
      </c>
      <c r="H45" s="636">
        <f t="shared" si="4"/>
        <v>23380</v>
      </c>
      <c r="I45" s="636">
        <v>0</v>
      </c>
      <c r="J45" s="636">
        <v>23380</v>
      </c>
    </row>
    <row r="46" spans="1:10" x14ac:dyDescent="0.2">
      <c r="A46" s="637">
        <v>33</v>
      </c>
      <c r="B46" s="638" t="s">
        <v>108</v>
      </c>
      <c r="C46" s="639" t="s">
        <v>109</v>
      </c>
      <c r="D46" s="636">
        <f t="shared" si="2"/>
        <v>13232</v>
      </c>
      <c r="E46" s="636">
        <v>0</v>
      </c>
      <c r="F46" s="636">
        <f t="shared" si="3"/>
        <v>13232</v>
      </c>
      <c r="G46" s="636">
        <v>300</v>
      </c>
      <c r="H46" s="636">
        <f t="shared" si="4"/>
        <v>12932</v>
      </c>
      <c r="I46" s="636">
        <v>609</v>
      </c>
      <c r="J46" s="636">
        <v>12323</v>
      </c>
    </row>
    <row r="47" spans="1:10" x14ac:dyDescent="0.2">
      <c r="A47" s="637">
        <v>34</v>
      </c>
      <c r="B47" s="28" t="s">
        <v>110</v>
      </c>
      <c r="C47" s="29" t="s">
        <v>111</v>
      </c>
      <c r="D47" s="636">
        <f t="shared" si="2"/>
        <v>9143</v>
      </c>
      <c r="E47" s="636">
        <v>0</v>
      </c>
      <c r="F47" s="636">
        <f t="shared" si="3"/>
        <v>9143</v>
      </c>
      <c r="G47" s="636">
        <v>510</v>
      </c>
      <c r="H47" s="636">
        <f t="shared" si="4"/>
        <v>8633</v>
      </c>
      <c r="I47" s="636">
        <v>0</v>
      </c>
      <c r="J47" s="636">
        <v>8633</v>
      </c>
    </row>
    <row r="48" spans="1:10" x14ac:dyDescent="0.2">
      <c r="A48" s="637">
        <v>35</v>
      </c>
      <c r="B48" s="49" t="s">
        <v>112</v>
      </c>
      <c r="C48" s="50" t="s">
        <v>113</v>
      </c>
      <c r="D48" s="636">
        <f t="shared" si="2"/>
        <v>25241</v>
      </c>
      <c r="E48" s="636">
        <v>0</v>
      </c>
      <c r="F48" s="636">
        <f t="shared" si="3"/>
        <v>25241</v>
      </c>
      <c r="G48" s="636">
        <v>331</v>
      </c>
      <c r="H48" s="636">
        <f t="shared" si="4"/>
        <v>24910</v>
      </c>
      <c r="I48" s="636">
        <v>11</v>
      </c>
      <c r="J48" s="636">
        <v>24899</v>
      </c>
    </row>
    <row r="49" spans="1:10" x14ac:dyDescent="0.2">
      <c r="A49" s="637">
        <v>36</v>
      </c>
      <c r="B49" s="22" t="s">
        <v>114</v>
      </c>
      <c r="C49" s="23" t="s">
        <v>115</v>
      </c>
      <c r="D49" s="636">
        <f t="shared" si="2"/>
        <v>7531</v>
      </c>
      <c r="E49" s="636">
        <v>0</v>
      </c>
      <c r="F49" s="636">
        <f t="shared" si="3"/>
        <v>7531</v>
      </c>
      <c r="G49" s="636">
        <v>855</v>
      </c>
      <c r="H49" s="636">
        <f t="shared" si="4"/>
        <v>6676</v>
      </c>
      <c r="I49" s="636">
        <v>45</v>
      </c>
      <c r="J49" s="636">
        <v>6631</v>
      </c>
    </row>
    <row r="50" spans="1:10" x14ac:dyDescent="0.2">
      <c r="A50" s="637">
        <v>37</v>
      </c>
      <c r="B50" s="30" t="s">
        <v>116</v>
      </c>
      <c r="C50" s="29" t="s">
        <v>117</v>
      </c>
      <c r="D50" s="636">
        <f t="shared" si="2"/>
        <v>1800</v>
      </c>
      <c r="E50" s="636">
        <v>0</v>
      </c>
      <c r="F50" s="636">
        <f t="shared" si="3"/>
        <v>1800</v>
      </c>
      <c r="G50" s="636">
        <v>5</v>
      </c>
      <c r="H50" s="636">
        <f t="shared" si="4"/>
        <v>1795</v>
      </c>
      <c r="I50" s="636">
        <v>0</v>
      </c>
      <c r="J50" s="636">
        <v>1795</v>
      </c>
    </row>
    <row r="51" spans="1:10" x14ac:dyDescent="0.2">
      <c r="A51" s="637">
        <v>38</v>
      </c>
      <c r="B51" s="22" t="s">
        <v>28</v>
      </c>
      <c r="C51" s="23" t="s">
        <v>29</v>
      </c>
      <c r="D51" s="636">
        <f t="shared" si="2"/>
        <v>33849</v>
      </c>
      <c r="E51" s="636">
        <v>0</v>
      </c>
      <c r="F51" s="636">
        <f t="shared" si="3"/>
        <v>33849</v>
      </c>
      <c r="G51" s="636">
        <v>87</v>
      </c>
      <c r="H51" s="636">
        <f t="shared" si="4"/>
        <v>33762</v>
      </c>
      <c r="I51" s="636">
        <v>0</v>
      </c>
      <c r="J51" s="636">
        <v>33762</v>
      </c>
    </row>
    <row r="52" spans="1:10" x14ac:dyDescent="0.2">
      <c r="A52" s="637">
        <v>39</v>
      </c>
      <c r="B52" s="28" t="s">
        <v>118</v>
      </c>
      <c r="C52" s="29" t="s">
        <v>119</v>
      </c>
      <c r="D52" s="636">
        <f t="shared" si="2"/>
        <v>16587</v>
      </c>
      <c r="E52" s="636">
        <v>0</v>
      </c>
      <c r="F52" s="636">
        <f t="shared" si="3"/>
        <v>16587</v>
      </c>
      <c r="G52" s="636">
        <v>396</v>
      </c>
      <c r="H52" s="636">
        <f t="shared" si="4"/>
        <v>16191</v>
      </c>
      <c r="I52" s="636">
        <v>0</v>
      </c>
      <c r="J52" s="636">
        <v>16191</v>
      </c>
    </row>
    <row r="53" spans="1:10" x14ac:dyDescent="0.2">
      <c r="A53" s="637">
        <v>40</v>
      </c>
      <c r="B53" s="28" t="s">
        <v>120</v>
      </c>
      <c r="C53" s="29" t="s">
        <v>121</v>
      </c>
      <c r="D53" s="636">
        <f t="shared" si="2"/>
        <v>24128</v>
      </c>
      <c r="E53" s="636">
        <v>0</v>
      </c>
      <c r="F53" s="636">
        <f t="shared" si="3"/>
        <v>24128</v>
      </c>
      <c r="G53" s="636">
        <v>44</v>
      </c>
      <c r="H53" s="636">
        <f t="shared" si="4"/>
        <v>24084</v>
      </c>
      <c r="I53" s="636">
        <v>0</v>
      </c>
      <c r="J53" s="636">
        <v>24084</v>
      </c>
    </row>
    <row r="54" spans="1:10" x14ac:dyDescent="0.2">
      <c r="A54" s="637">
        <v>41</v>
      </c>
      <c r="B54" s="22" t="s">
        <v>122</v>
      </c>
      <c r="C54" s="23" t="s">
        <v>123</v>
      </c>
      <c r="D54" s="636">
        <f t="shared" si="2"/>
        <v>12494</v>
      </c>
      <c r="E54" s="636">
        <v>0</v>
      </c>
      <c r="F54" s="636">
        <f t="shared" si="3"/>
        <v>12494</v>
      </c>
      <c r="G54" s="636">
        <v>517</v>
      </c>
      <c r="H54" s="636">
        <f t="shared" si="4"/>
        <v>11977</v>
      </c>
      <c r="I54" s="636">
        <v>0</v>
      </c>
      <c r="J54" s="636">
        <v>11977</v>
      </c>
    </row>
    <row r="55" spans="1:10" x14ac:dyDescent="0.2">
      <c r="A55" s="637">
        <v>42</v>
      </c>
      <c r="B55" s="30" t="s">
        <v>124</v>
      </c>
      <c r="C55" s="29" t="s">
        <v>125</v>
      </c>
      <c r="D55" s="636">
        <f t="shared" si="2"/>
        <v>9379</v>
      </c>
      <c r="E55" s="636">
        <v>0</v>
      </c>
      <c r="F55" s="636">
        <f t="shared" si="3"/>
        <v>9379</v>
      </c>
      <c r="G55" s="636">
        <v>1080</v>
      </c>
      <c r="H55" s="636">
        <f t="shared" si="4"/>
        <v>8299</v>
      </c>
      <c r="I55" s="636">
        <v>0</v>
      </c>
      <c r="J55" s="636">
        <v>8299</v>
      </c>
    </row>
    <row r="56" spans="1:10" x14ac:dyDescent="0.2">
      <c r="A56" s="637">
        <v>43</v>
      </c>
      <c r="B56" s="22" t="s">
        <v>126</v>
      </c>
      <c r="C56" s="23" t="s">
        <v>127</v>
      </c>
      <c r="D56" s="636">
        <f t="shared" si="2"/>
        <v>10786</v>
      </c>
      <c r="E56" s="636">
        <v>0</v>
      </c>
      <c r="F56" s="636">
        <f t="shared" si="3"/>
        <v>10786</v>
      </c>
      <c r="G56" s="636">
        <v>200</v>
      </c>
      <c r="H56" s="636">
        <f t="shared" si="4"/>
        <v>10586</v>
      </c>
      <c r="I56" s="636">
        <v>5</v>
      </c>
      <c r="J56" s="636">
        <v>10581</v>
      </c>
    </row>
    <row r="57" spans="1:10" x14ac:dyDescent="0.2">
      <c r="A57" s="637">
        <v>44</v>
      </c>
      <c r="B57" s="30" t="s">
        <v>128</v>
      </c>
      <c r="C57" s="29" t="s">
        <v>129</v>
      </c>
      <c r="D57" s="636">
        <f t="shared" si="2"/>
        <v>14645</v>
      </c>
      <c r="E57" s="636">
        <v>0</v>
      </c>
      <c r="F57" s="636">
        <f t="shared" si="3"/>
        <v>14645</v>
      </c>
      <c r="G57" s="636">
        <v>363</v>
      </c>
      <c r="H57" s="636">
        <f t="shared" si="4"/>
        <v>14282</v>
      </c>
      <c r="I57" s="636">
        <v>0</v>
      </c>
      <c r="J57" s="636">
        <v>14282</v>
      </c>
    </row>
    <row r="58" spans="1:10" x14ac:dyDescent="0.2">
      <c r="A58" s="637">
        <v>45</v>
      </c>
      <c r="B58" s="22" t="s">
        <v>130</v>
      </c>
      <c r="C58" s="23" t="s">
        <v>131</v>
      </c>
      <c r="D58" s="636">
        <f t="shared" si="2"/>
        <v>13130</v>
      </c>
      <c r="E58" s="636">
        <v>0</v>
      </c>
      <c r="F58" s="636">
        <f t="shared" si="3"/>
        <v>13130</v>
      </c>
      <c r="G58" s="636">
        <v>452</v>
      </c>
      <c r="H58" s="636">
        <f t="shared" si="4"/>
        <v>12678</v>
      </c>
      <c r="I58" s="636">
        <v>0</v>
      </c>
      <c r="J58" s="636">
        <v>12678</v>
      </c>
    </row>
    <row r="59" spans="1:10" x14ac:dyDescent="0.2">
      <c r="A59" s="637">
        <v>46</v>
      </c>
      <c r="B59" s="30" t="s">
        <v>132</v>
      </c>
      <c r="C59" s="29" t="s">
        <v>133</v>
      </c>
      <c r="D59" s="636">
        <f t="shared" si="2"/>
        <v>13202</v>
      </c>
      <c r="E59" s="636">
        <v>0</v>
      </c>
      <c r="F59" s="636">
        <f t="shared" si="3"/>
        <v>13202</v>
      </c>
      <c r="G59" s="636">
        <v>300</v>
      </c>
      <c r="H59" s="636">
        <f t="shared" si="4"/>
        <v>12902</v>
      </c>
      <c r="I59" s="636">
        <v>0</v>
      </c>
      <c r="J59" s="636">
        <v>12902</v>
      </c>
    </row>
    <row r="60" spans="1:10" x14ac:dyDescent="0.2">
      <c r="A60" s="637">
        <v>47</v>
      </c>
      <c r="B60" s="22" t="s">
        <v>134</v>
      </c>
      <c r="C60" s="23" t="s">
        <v>135</v>
      </c>
      <c r="D60" s="636">
        <f t="shared" si="2"/>
        <v>29636</v>
      </c>
      <c r="E60" s="636">
        <v>0</v>
      </c>
      <c r="F60" s="636">
        <f t="shared" si="3"/>
        <v>29636</v>
      </c>
      <c r="G60" s="636">
        <v>800</v>
      </c>
      <c r="H60" s="636">
        <f t="shared" si="4"/>
        <v>28836</v>
      </c>
      <c r="I60" s="636">
        <v>7</v>
      </c>
      <c r="J60" s="636">
        <v>28829</v>
      </c>
    </row>
    <row r="61" spans="1:10" x14ac:dyDescent="0.2">
      <c r="A61" s="637">
        <v>48</v>
      </c>
      <c r="B61" s="22" t="s">
        <v>136</v>
      </c>
      <c r="C61" s="23" t="s">
        <v>137</v>
      </c>
      <c r="D61" s="636">
        <f t="shared" si="2"/>
        <v>55809</v>
      </c>
      <c r="E61" s="636">
        <v>0</v>
      </c>
      <c r="F61" s="636">
        <f t="shared" si="3"/>
        <v>55809</v>
      </c>
      <c r="G61" s="636">
        <v>1765</v>
      </c>
      <c r="H61" s="636">
        <f t="shared" si="4"/>
        <v>54044</v>
      </c>
      <c r="I61" s="636">
        <v>77</v>
      </c>
      <c r="J61" s="636">
        <v>53967</v>
      </c>
    </row>
    <row r="62" spans="1:10" x14ac:dyDescent="0.2">
      <c r="A62" s="637">
        <v>49</v>
      </c>
      <c r="B62" s="22" t="s">
        <v>138</v>
      </c>
      <c r="C62" s="23" t="s">
        <v>139</v>
      </c>
      <c r="D62" s="636">
        <f t="shared" si="2"/>
        <v>15253</v>
      </c>
      <c r="E62" s="636">
        <v>0</v>
      </c>
      <c r="F62" s="636">
        <f t="shared" si="3"/>
        <v>15253</v>
      </c>
      <c r="G62" s="636">
        <v>650</v>
      </c>
      <c r="H62" s="636">
        <f t="shared" si="4"/>
        <v>14603</v>
      </c>
      <c r="I62" s="636">
        <v>384</v>
      </c>
      <c r="J62" s="636">
        <v>14219</v>
      </c>
    </row>
    <row r="63" spans="1:10" x14ac:dyDescent="0.2">
      <c r="A63" s="637">
        <v>50</v>
      </c>
      <c r="B63" s="22" t="s">
        <v>140</v>
      </c>
      <c r="C63" s="23" t="s">
        <v>141</v>
      </c>
      <c r="D63" s="636">
        <f t="shared" si="2"/>
        <v>12440</v>
      </c>
      <c r="E63" s="636">
        <v>0</v>
      </c>
      <c r="F63" s="636">
        <f t="shared" si="3"/>
        <v>12440</v>
      </c>
      <c r="G63" s="636">
        <v>180</v>
      </c>
      <c r="H63" s="636">
        <f t="shared" si="4"/>
        <v>12260</v>
      </c>
      <c r="I63" s="636">
        <v>4</v>
      </c>
      <c r="J63" s="636">
        <v>12256</v>
      </c>
    </row>
    <row r="64" spans="1:10" x14ac:dyDescent="0.2">
      <c r="A64" s="637">
        <v>51</v>
      </c>
      <c r="B64" s="30" t="s">
        <v>142</v>
      </c>
      <c r="C64" s="29" t="s">
        <v>143</v>
      </c>
      <c r="D64" s="636">
        <f t="shared" si="2"/>
        <v>8899</v>
      </c>
      <c r="E64" s="636">
        <v>0</v>
      </c>
      <c r="F64" s="636">
        <f t="shared" si="3"/>
        <v>8899</v>
      </c>
      <c r="G64" s="636">
        <v>977</v>
      </c>
      <c r="H64" s="636">
        <f t="shared" si="4"/>
        <v>7922</v>
      </c>
      <c r="I64" s="636">
        <v>706</v>
      </c>
      <c r="J64" s="636">
        <v>7216</v>
      </c>
    </row>
    <row r="65" spans="1:10" x14ac:dyDescent="0.2">
      <c r="A65" s="637">
        <v>52</v>
      </c>
      <c r="B65" s="22" t="s">
        <v>144</v>
      </c>
      <c r="C65" s="23" t="s">
        <v>145</v>
      </c>
      <c r="D65" s="636">
        <f t="shared" si="2"/>
        <v>0</v>
      </c>
      <c r="E65" s="636">
        <v>0</v>
      </c>
      <c r="F65" s="636">
        <v>0</v>
      </c>
      <c r="G65" s="636">
        <v>0</v>
      </c>
      <c r="H65" s="636">
        <v>0</v>
      </c>
      <c r="I65" s="636">
        <v>0</v>
      </c>
      <c r="J65" s="636">
        <v>0</v>
      </c>
    </row>
    <row r="66" spans="1:10" x14ac:dyDescent="0.2">
      <c r="A66" s="637">
        <v>53</v>
      </c>
      <c r="B66" s="167" t="s">
        <v>146</v>
      </c>
      <c r="C66" s="50" t="s">
        <v>147</v>
      </c>
      <c r="D66" s="636">
        <f t="shared" si="2"/>
        <v>0</v>
      </c>
      <c r="E66" s="636">
        <v>0</v>
      </c>
      <c r="F66" s="636">
        <v>0</v>
      </c>
      <c r="G66" s="636">
        <v>0</v>
      </c>
      <c r="H66" s="636">
        <v>0</v>
      </c>
      <c r="I66" s="636">
        <v>0</v>
      </c>
      <c r="J66" s="636">
        <v>0</v>
      </c>
    </row>
    <row r="67" spans="1:10" x14ac:dyDescent="0.2">
      <c r="A67" s="637">
        <v>54</v>
      </c>
      <c r="B67" s="22" t="s">
        <v>148</v>
      </c>
      <c r="C67" s="23" t="s">
        <v>149</v>
      </c>
      <c r="D67" s="636">
        <f t="shared" si="2"/>
        <v>0</v>
      </c>
      <c r="E67" s="636">
        <v>0</v>
      </c>
      <c r="F67" s="636">
        <f t="shared" si="3"/>
        <v>0</v>
      </c>
      <c r="G67" s="636">
        <v>0</v>
      </c>
      <c r="H67" s="636">
        <f t="shared" si="4"/>
        <v>0</v>
      </c>
      <c r="I67" s="636">
        <v>0</v>
      </c>
      <c r="J67" s="636">
        <v>0</v>
      </c>
    </row>
    <row r="68" spans="1:10" x14ac:dyDescent="0.2">
      <c r="A68" s="637">
        <v>55</v>
      </c>
      <c r="B68" s="30" t="s">
        <v>150</v>
      </c>
      <c r="C68" s="23" t="s">
        <v>471</v>
      </c>
      <c r="D68" s="636">
        <f t="shared" si="2"/>
        <v>0</v>
      </c>
      <c r="E68" s="636">
        <v>0</v>
      </c>
      <c r="F68" s="636">
        <f t="shared" si="3"/>
        <v>0</v>
      </c>
      <c r="G68" s="636">
        <v>0</v>
      </c>
      <c r="H68" s="636">
        <f t="shared" si="4"/>
        <v>0</v>
      </c>
      <c r="I68" s="636">
        <v>0</v>
      </c>
      <c r="J68" s="636">
        <v>0</v>
      </c>
    </row>
    <row r="69" spans="1:10" x14ac:dyDescent="0.2">
      <c r="A69" s="637">
        <v>56</v>
      </c>
      <c r="B69" s="30" t="s">
        <v>154</v>
      </c>
      <c r="C69" s="23" t="s">
        <v>472</v>
      </c>
      <c r="D69" s="636">
        <f t="shared" si="2"/>
        <v>0</v>
      </c>
      <c r="E69" s="636">
        <v>0</v>
      </c>
      <c r="F69" s="636">
        <f t="shared" si="3"/>
        <v>0</v>
      </c>
      <c r="G69" s="636">
        <v>0</v>
      </c>
      <c r="H69" s="636">
        <f t="shared" si="4"/>
        <v>0</v>
      </c>
      <c r="I69" s="636">
        <v>0</v>
      </c>
      <c r="J69" s="636">
        <v>0</v>
      </c>
    </row>
    <row r="70" spans="1:10" ht="16.5" customHeight="1" x14ac:dyDescent="0.2">
      <c r="A70" s="637">
        <v>57</v>
      </c>
      <c r="B70" s="28" t="s">
        <v>158</v>
      </c>
      <c r="C70" s="23" t="s">
        <v>473</v>
      </c>
      <c r="D70" s="636">
        <f t="shared" si="2"/>
        <v>0</v>
      </c>
      <c r="E70" s="636">
        <v>0</v>
      </c>
      <c r="F70" s="636">
        <f t="shared" si="3"/>
        <v>0</v>
      </c>
      <c r="G70" s="636">
        <v>0</v>
      </c>
      <c r="H70" s="636">
        <f t="shared" si="4"/>
        <v>0</v>
      </c>
      <c r="I70" s="636">
        <v>0</v>
      </c>
      <c r="J70" s="636">
        <v>0</v>
      </c>
    </row>
    <row r="71" spans="1:10" ht="16.5" customHeight="1" x14ac:dyDescent="0.2">
      <c r="A71" s="637">
        <v>58</v>
      </c>
      <c r="B71" s="28" t="s">
        <v>160</v>
      </c>
      <c r="C71" s="23" t="s">
        <v>474</v>
      </c>
      <c r="D71" s="636">
        <f t="shared" si="2"/>
        <v>0</v>
      </c>
      <c r="E71" s="636">
        <v>0</v>
      </c>
      <c r="F71" s="636">
        <f t="shared" si="3"/>
        <v>0</v>
      </c>
      <c r="G71" s="636">
        <v>0</v>
      </c>
      <c r="H71" s="636">
        <f t="shared" si="4"/>
        <v>0</v>
      </c>
      <c r="I71" s="636">
        <v>0</v>
      </c>
      <c r="J71" s="636">
        <v>0</v>
      </c>
    </row>
    <row r="72" spans="1:10" x14ac:dyDescent="0.2">
      <c r="A72" s="637">
        <v>59</v>
      </c>
      <c r="B72" s="30" t="s">
        <v>162</v>
      </c>
      <c r="C72" s="23" t="s">
        <v>475</v>
      </c>
      <c r="D72" s="636">
        <f t="shared" si="2"/>
        <v>38269</v>
      </c>
      <c r="E72" s="636">
        <v>0</v>
      </c>
      <c r="F72" s="636">
        <f t="shared" si="3"/>
        <v>38269</v>
      </c>
      <c r="G72" s="636">
        <v>3000</v>
      </c>
      <c r="H72" s="636">
        <f t="shared" si="4"/>
        <v>35269</v>
      </c>
      <c r="I72" s="636">
        <v>0</v>
      </c>
      <c r="J72" s="636">
        <v>35269</v>
      </c>
    </row>
    <row r="73" spans="1:10" x14ac:dyDescent="0.2">
      <c r="A73" s="637">
        <v>60</v>
      </c>
      <c r="B73" s="30" t="s">
        <v>164</v>
      </c>
      <c r="C73" s="29" t="s">
        <v>165</v>
      </c>
      <c r="D73" s="636">
        <f t="shared" si="2"/>
        <v>27602</v>
      </c>
      <c r="E73" s="636">
        <v>0</v>
      </c>
      <c r="F73" s="636">
        <f t="shared" si="3"/>
        <v>27602</v>
      </c>
      <c r="G73" s="636">
        <v>0</v>
      </c>
      <c r="H73" s="636">
        <f t="shared" si="4"/>
        <v>27602</v>
      </c>
      <c r="I73" s="636">
        <v>0</v>
      </c>
      <c r="J73" s="636">
        <v>27602</v>
      </c>
    </row>
    <row r="74" spans="1:10" x14ac:dyDescent="0.2">
      <c r="A74" s="637">
        <v>61</v>
      </c>
      <c r="B74" s="30" t="s">
        <v>166</v>
      </c>
      <c r="C74" s="23" t="s">
        <v>476</v>
      </c>
      <c r="D74" s="636">
        <f t="shared" si="2"/>
        <v>77380</v>
      </c>
      <c r="E74" s="636">
        <v>0</v>
      </c>
      <c r="F74" s="636">
        <f t="shared" si="3"/>
        <v>77380</v>
      </c>
      <c r="G74" s="636">
        <v>4251</v>
      </c>
      <c r="H74" s="636">
        <f t="shared" si="4"/>
        <v>73129</v>
      </c>
      <c r="I74" s="636">
        <v>0</v>
      </c>
      <c r="J74" s="636">
        <v>73129</v>
      </c>
    </row>
    <row r="75" spans="1:10" ht="24" x14ac:dyDescent="0.2">
      <c r="A75" s="901">
        <v>62</v>
      </c>
      <c r="B75" s="49" t="s">
        <v>170</v>
      </c>
      <c r="C75" s="57" t="s">
        <v>774</v>
      </c>
      <c r="D75" s="636">
        <f t="shared" si="2"/>
        <v>2703</v>
      </c>
      <c r="E75" s="636">
        <v>0</v>
      </c>
      <c r="F75" s="636">
        <f t="shared" si="3"/>
        <v>2703</v>
      </c>
      <c r="G75" s="636">
        <v>0</v>
      </c>
      <c r="H75" s="636">
        <f t="shared" si="4"/>
        <v>2703</v>
      </c>
      <c r="I75" s="636">
        <v>2703</v>
      </c>
      <c r="J75" s="636">
        <v>0</v>
      </c>
    </row>
    <row r="76" spans="1:10" x14ac:dyDescent="0.2">
      <c r="A76" s="902"/>
      <c r="B76" s="52" t="s">
        <v>168</v>
      </c>
      <c r="C76" s="50" t="s">
        <v>169</v>
      </c>
      <c r="D76" s="636">
        <f t="shared" si="2"/>
        <v>0</v>
      </c>
      <c r="E76" s="636">
        <v>0</v>
      </c>
      <c r="F76" s="636">
        <f t="shared" si="3"/>
        <v>0</v>
      </c>
      <c r="G76" s="636">
        <v>0</v>
      </c>
      <c r="H76" s="636">
        <f t="shared" si="4"/>
        <v>0</v>
      </c>
      <c r="I76" s="636">
        <v>0</v>
      </c>
      <c r="J76" s="636">
        <v>0</v>
      </c>
    </row>
    <row r="77" spans="1:10" x14ac:dyDescent="0.2">
      <c r="A77" s="903"/>
      <c r="B77" s="52" t="s">
        <v>174</v>
      </c>
      <c r="C77" s="50" t="s">
        <v>175</v>
      </c>
      <c r="D77" s="636">
        <f t="shared" si="2"/>
        <v>901</v>
      </c>
      <c r="E77" s="636">
        <v>0</v>
      </c>
      <c r="F77" s="636">
        <f t="shared" si="3"/>
        <v>901</v>
      </c>
      <c r="G77" s="636">
        <v>0</v>
      </c>
      <c r="H77" s="636">
        <f t="shared" si="4"/>
        <v>901</v>
      </c>
      <c r="I77" s="636">
        <v>901</v>
      </c>
      <c r="J77" s="636">
        <v>0</v>
      </c>
    </row>
    <row r="78" spans="1:10" ht="24" x14ac:dyDescent="0.2">
      <c r="A78" s="901">
        <v>63</v>
      </c>
      <c r="B78" s="624" t="s">
        <v>176</v>
      </c>
      <c r="C78" s="57" t="s">
        <v>777</v>
      </c>
      <c r="D78" s="636">
        <f t="shared" ref="D78:D144" si="5">E78+F78</f>
        <v>68</v>
      </c>
      <c r="E78" s="636">
        <v>0</v>
      </c>
      <c r="F78" s="636">
        <f t="shared" ref="F78:F142" si="6">G78+H78</f>
        <v>68</v>
      </c>
      <c r="G78" s="636">
        <v>0</v>
      </c>
      <c r="H78" s="636">
        <f t="shared" ref="H78:H142" si="7">I78+J78</f>
        <v>68</v>
      </c>
      <c r="I78" s="636">
        <v>68</v>
      </c>
      <c r="J78" s="636">
        <v>0</v>
      </c>
    </row>
    <row r="79" spans="1:10" x14ac:dyDescent="0.2">
      <c r="A79" s="902"/>
      <c r="B79" s="52" t="s">
        <v>172</v>
      </c>
      <c r="C79" s="50" t="s">
        <v>173</v>
      </c>
      <c r="D79" s="636">
        <f t="shared" si="5"/>
        <v>23</v>
      </c>
      <c r="E79" s="636">
        <v>0</v>
      </c>
      <c r="F79" s="636">
        <f t="shared" si="6"/>
        <v>23</v>
      </c>
      <c r="G79" s="636">
        <v>0</v>
      </c>
      <c r="H79" s="636">
        <f t="shared" si="7"/>
        <v>23</v>
      </c>
      <c r="I79" s="636">
        <v>23</v>
      </c>
      <c r="J79" s="636">
        <v>0</v>
      </c>
    </row>
    <row r="80" spans="1:10" x14ac:dyDescent="0.2">
      <c r="A80" s="902"/>
      <c r="B80" s="49" t="s">
        <v>178</v>
      </c>
      <c r="C80" s="50" t="s">
        <v>179</v>
      </c>
      <c r="D80" s="636">
        <f t="shared" si="5"/>
        <v>0</v>
      </c>
      <c r="E80" s="636">
        <v>0</v>
      </c>
      <c r="F80" s="636">
        <f t="shared" si="6"/>
        <v>0</v>
      </c>
      <c r="G80" s="636">
        <v>0</v>
      </c>
      <c r="H80" s="636">
        <f t="shared" si="7"/>
        <v>0</v>
      </c>
      <c r="I80" s="636">
        <v>0</v>
      </c>
      <c r="J80" s="636">
        <v>0</v>
      </c>
    </row>
    <row r="81" spans="1:10" x14ac:dyDescent="0.2">
      <c r="A81" s="903"/>
      <c r="B81" s="49" t="s">
        <v>180</v>
      </c>
      <c r="C81" s="50" t="s">
        <v>181</v>
      </c>
      <c r="D81" s="636">
        <f t="shared" si="5"/>
        <v>0</v>
      </c>
      <c r="E81" s="636">
        <v>0</v>
      </c>
      <c r="F81" s="636">
        <f t="shared" si="6"/>
        <v>0</v>
      </c>
      <c r="G81" s="636">
        <v>0</v>
      </c>
      <c r="H81" s="636">
        <f t="shared" si="7"/>
        <v>0</v>
      </c>
      <c r="I81" s="636">
        <v>0</v>
      </c>
      <c r="J81" s="636">
        <v>0</v>
      </c>
    </row>
    <row r="82" spans="1:10" x14ac:dyDescent="0.2">
      <c r="A82" s="637">
        <v>64</v>
      </c>
      <c r="B82" s="22" t="s">
        <v>182</v>
      </c>
      <c r="C82" s="23" t="s">
        <v>183</v>
      </c>
      <c r="D82" s="636">
        <f t="shared" si="5"/>
        <v>25758</v>
      </c>
      <c r="E82" s="636">
        <v>0</v>
      </c>
      <c r="F82" s="636">
        <f t="shared" si="6"/>
        <v>25758</v>
      </c>
      <c r="G82" s="636">
        <v>1000</v>
      </c>
      <c r="H82" s="636">
        <f t="shared" si="7"/>
        <v>24758</v>
      </c>
      <c r="I82" s="636">
        <v>6</v>
      </c>
      <c r="J82" s="636">
        <v>24752</v>
      </c>
    </row>
    <row r="83" spans="1:10" x14ac:dyDescent="0.2">
      <c r="A83" s="637">
        <v>65</v>
      </c>
      <c r="B83" s="28" t="s">
        <v>184</v>
      </c>
      <c r="C83" s="23" t="s">
        <v>477</v>
      </c>
      <c r="D83" s="636">
        <f t="shared" si="5"/>
        <v>86638</v>
      </c>
      <c r="E83" s="636">
        <v>0</v>
      </c>
      <c r="F83" s="636">
        <f t="shared" si="6"/>
        <v>86638</v>
      </c>
      <c r="G83" s="636">
        <v>2188</v>
      </c>
      <c r="H83" s="636">
        <f t="shared" si="7"/>
        <v>84450</v>
      </c>
      <c r="I83" s="636">
        <v>0</v>
      </c>
      <c r="J83" s="636">
        <v>84450</v>
      </c>
    </row>
    <row r="84" spans="1:10" x14ac:dyDescent="0.2">
      <c r="A84" s="637">
        <v>66</v>
      </c>
      <c r="B84" s="22" t="s">
        <v>186</v>
      </c>
      <c r="C84" s="23" t="s">
        <v>187</v>
      </c>
      <c r="D84" s="636">
        <f t="shared" si="5"/>
        <v>70649</v>
      </c>
      <c r="E84" s="636">
        <v>0</v>
      </c>
      <c r="F84" s="636">
        <f t="shared" si="6"/>
        <v>70649</v>
      </c>
      <c r="G84" s="636">
        <v>2500</v>
      </c>
      <c r="H84" s="636">
        <f t="shared" si="7"/>
        <v>68149</v>
      </c>
      <c r="I84" s="636">
        <v>633</v>
      </c>
      <c r="J84" s="636">
        <v>67516</v>
      </c>
    </row>
    <row r="85" spans="1:10" x14ac:dyDescent="0.2">
      <c r="A85" s="901">
        <v>67</v>
      </c>
      <c r="B85" s="624" t="s">
        <v>188</v>
      </c>
      <c r="C85" s="57" t="s">
        <v>785</v>
      </c>
      <c r="D85" s="636">
        <f t="shared" si="5"/>
        <v>33879</v>
      </c>
      <c r="E85" s="636">
        <v>0</v>
      </c>
      <c r="F85" s="636">
        <f t="shared" si="6"/>
        <v>33879</v>
      </c>
      <c r="G85" s="636">
        <v>2960</v>
      </c>
      <c r="H85" s="636">
        <f t="shared" si="7"/>
        <v>30919</v>
      </c>
      <c r="I85" s="636">
        <v>1312</v>
      </c>
      <c r="J85" s="636">
        <v>29607</v>
      </c>
    </row>
    <row r="86" spans="1:10" x14ac:dyDescent="0.2">
      <c r="A86" s="903"/>
      <c r="B86" s="167" t="s">
        <v>156</v>
      </c>
      <c r="C86" s="50" t="s">
        <v>157</v>
      </c>
      <c r="D86" s="636">
        <f t="shared" si="5"/>
        <v>0</v>
      </c>
      <c r="E86" s="636">
        <v>0</v>
      </c>
      <c r="F86" s="636">
        <f t="shared" si="6"/>
        <v>0</v>
      </c>
      <c r="G86" s="636">
        <v>0</v>
      </c>
      <c r="H86" s="636">
        <f t="shared" si="7"/>
        <v>0</v>
      </c>
      <c r="I86" s="636">
        <v>0</v>
      </c>
      <c r="J86" s="636">
        <v>0</v>
      </c>
    </row>
    <row r="87" spans="1:10" x14ac:dyDescent="0.2">
      <c r="A87" s="637">
        <v>68</v>
      </c>
      <c r="B87" s="28" t="s">
        <v>190</v>
      </c>
      <c r="C87" s="23" t="s">
        <v>191</v>
      </c>
      <c r="D87" s="636">
        <f t="shared" si="5"/>
        <v>43942</v>
      </c>
      <c r="E87" s="636">
        <v>0</v>
      </c>
      <c r="F87" s="636">
        <f t="shared" si="6"/>
        <v>43942</v>
      </c>
      <c r="G87" s="636">
        <v>2500</v>
      </c>
      <c r="H87" s="636">
        <f t="shared" si="7"/>
        <v>41442</v>
      </c>
      <c r="I87" s="636">
        <v>0</v>
      </c>
      <c r="J87" s="636">
        <v>41442</v>
      </c>
    </row>
    <row r="88" spans="1:10" x14ac:dyDescent="0.2">
      <c r="A88" s="901">
        <v>69</v>
      </c>
      <c r="B88" s="624" t="s">
        <v>192</v>
      </c>
      <c r="C88" s="57" t="s">
        <v>776</v>
      </c>
      <c r="D88" s="636">
        <f t="shared" si="5"/>
        <v>0</v>
      </c>
      <c r="E88" s="636">
        <v>0</v>
      </c>
      <c r="F88" s="636">
        <f t="shared" si="6"/>
        <v>0</v>
      </c>
      <c r="G88" s="636">
        <v>0</v>
      </c>
      <c r="H88" s="636">
        <f t="shared" si="7"/>
        <v>0</v>
      </c>
      <c r="I88" s="636">
        <v>0</v>
      </c>
      <c r="J88" s="636">
        <v>0</v>
      </c>
    </row>
    <row r="89" spans="1:10" x14ac:dyDescent="0.2">
      <c r="A89" s="903"/>
      <c r="B89" s="49" t="s">
        <v>152</v>
      </c>
      <c r="C89" s="50" t="s">
        <v>153</v>
      </c>
      <c r="D89" s="636">
        <f t="shared" si="5"/>
        <v>0</v>
      </c>
      <c r="E89" s="636">
        <v>0</v>
      </c>
      <c r="F89" s="636">
        <f t="shared" si="6"/>
        <v>0</v>
      </c>
      <c r="G89" s="636">
        <v>0</v>
      </c>
      <c r="H89" s="636">
        <f t="shared" si="7"/>
        <v>0</v>
      </c>
      <c r="I89" s="636">
        <v>0</v>
      </c>
      <c r="J89" s="636">
        <v>0</v>
      </c>
    </row>
    <row r="90" spans="1:10" x14ac:dyDescent="0.2">
      <c r="A90" s="637">
        <v>70</v>
      </c>
      <c r="B90" s="28" t="s">
        <v>194</v>
      </c>
      <c r="C90" s="23" t="s">
        <v>478</v>
      </c>
      <c r="D90" s="636">
        <f t="shared" si="5"/>
        <v>80028</v>
      </c>
      <c r="E90" s="636">
        <v>0</v>
      </c>
      <c r="F90" s="636">
        <f t="shared" si="6"/>
        <v>80028</v>
      </c>
      <c r="G90" s="636">
        <v>4500</v>
      </c>
      <c r="H90" s="636">
        <f t="shared" si="7"/>
        <v>75528</v>
      </c>
      <c r="I90" s="636">
        <v>2950</v>
      </c>
      <c r="J90" s="636">
        <v>72578</v>
      </c>
    </row>
    <row r="91" spans="1:10" x14ac:dyDescent="0.2">
      <c r="A91" s="637">
        <v>71</v>
      </c>
      <c r="B91" s="49" t="s">
        <v>196</v>
      </c>
      <c r="C91" s="50" t="s">
        <v>197</v>
      </c>
      <c r="D91" s="636">
        <f t="shared" si="5"/>
        <v>1600</v>
      </c>
      <c r="E91" s="636">
        <v>1600</v>
      </c>
      <c r="F91" s="636">
        <f t="shared" si="6"/>
        <v>0</v>
      </c>
      <c r="G91" s="636">
        <v>0</v>
      </c>
      <c r="H91" s="636">
        <f t="shared" si="7"/>
        <v>0</v>
      </c>
      <c r="I91" s="636">
        <v>0</v>
      </c>
      <c r="J91" s="636">
        <v>0</v>
      </c>
    </row>
    <row r="92" spans="1:10" x14ac:dyDescent="0.2">
      <c r="A92" s="637">
        <v>72</v>
      </c>
      <c r="B92" s="30" t="s">
        <v>30</v>
      </c>
      <c r="C92" s="50" t="s">
        <v>198</v>
      </c>
      <c r="D92" s="636">
        <f t="shared" si="5"/>
        <v>0</v>
      </c>
      <c r="E92" s="636">
        <v>0</v>
      </c>
      <c r="F92" s="636">
        <v>0</v>
      </c>
      <c r="G92" s="636">
        <v>0</v>
      </c>
      <c r="H92" s="636">
        <v>0</v>
      </c>
      <c r="I92" s="636">
        <v>0</v>
      </c>
      <c r="J92" s="636"/>
    </row>
    <row r="93" spans="1:10" x14ac:dyDescent="0.2">
      <c r="A93" s="978">
        <v>73</v>
      </c>
      <c r="B93" s="979" t="s">
        <v>199</v>
      </c>
      <c r="C93" s="640" t="s">
        <v>200</v>
      </c>
      <c r="D93" s="636">
        <f t="shared" si="5"/>
        <v>989</v>
      </c>
      <c r="E93" s="636">
        <v>0</v>
      </c>
      <c r="F93" s="636">
        <f t="shared" si="6"/>
        <v>989</v>
      </c>
      <c r="G93" s="636">
        <v>130</v>
      </c>
      <c r="H93" s="636">
        <f t="shared" si="7"/>
        <v>859</v>
      </c>
      <c r="I93" s="636">
        <v>0</v>
      </c>
      <c r="J93" s="636">
        <v>859</v>
      </c>
    </row>
    <row r="94" spans="1:10" ht="24" x14ac:dyDescent="0.2">
      <c r="A94" s="978"/>
      <c r="B94" s="979"/>
      <c r="C94" s="50" t="s">
        <v>201</v>
      </c>
      <c r="D94" s="636">
        <f t="shared" si="5"/>
        <v>989</v>
      </c>
      <c r="E94" s="636">
        <v>0</v>
      </c>
      <c r="F94" s="636">
        <f t="shared" si="6"/>
        <v>989</v>
      </c>
      <c r="G94" s="636">
        <v>130</v>
      </c>
      <c r="H94" s="636">
        <f t="shared" si="7"/>
        <v>859</v>
      </c>
      <c r="I94" s="636">
        <v>0</v>
      </c>
      <c r="J94" s="636">
        <v>859</v>
      </c>
    </row>
    <row r="95" spans="1:10" x14ac:dyDescent="0.2">
      <c r="A95" s="978"/>
      <c r="B95" s="979"/>
      <c r="C95" s="23" t="s">
        <v>202</v>
      </c>
      <c r="D95" s="636">
        <f t="shared" si="5"/>
        <v>0</v>
      </c>
      <c r="E95" s="636">
        <v>0</v>
      </c>
      <c r="F95" s="636">
        <f t="shared" si="6"/>
        <v>0</v>
      </c>
      <c r="G95" s="636">
        <v>0</v>
      </c>
      <c r="H95" s="636">
        <f t="shared" si="7"/>
        <v>0</v>
      </c>
      <c r="I95" s="636">
        <v>0</v>
      </c>
      <c r="J95" s="636">
        <v>0</v>
      </c>
    </row>
    <row r="96" spans="1:10" ht="24" x14ac:dyDescent="0.2">
      <c r="A96" s="978"/>
      <c r="B96" s="979"/>
      <c r="C96" s="58" t="s">
        <v>203</v>
      </c>
      <c r="D96" s="636">
        <f t="shared" si="5"/>
        <v>0</v>
      </c>
      <c r="E96" s="636">
        <v>0</v>
      </c>
      <c r="F96" s="636">
        <v>0</v>
      </c>
      <c r="G96" s="636">
        <v>0</v>
      </c>
      <c r="H96" s="636">
        <v>0</v>
      </c>
      <c r="I96" s="636">
        <v>0</v>
      </c>
      <c r="J96" s="636">
        <v>0</v>
      </c>
    </row>
    <row r="97" spans="1:10" x14ac:dyDescent="0.2">
      <c r="A97" s="637">
        <v>74</v>
      </c>
      <c r="B97" s="30" t="s">
        <v>204</v>
      </c>
      <c r="C97" s="29" t="s">
        <v>205</v>
      </c>
      <c r="D97" s="636">
        <f t="shared" si="5"/>
        <v>0</v>
      </c>
      <c r="E97" s="636">
        <v>0</v>
      </c>
      <c r="F97" s="636">
        <f t="shared" si="6"/>
        <v>0</v>
      </c>
      <c r="G97" s="636">
        <v>0</v>
      </c>
      <c r="H97" s="636">
        <f t="shared" si="7"/>
        <v>0</v>
      </c>
      <c r="I97" s="636">
        <v>0</v>
      </c>
      <c r="J97" s="636">
        <v>0</v>
      </c>
    </row>
    <row r="98" spans="1:10" x14ac:dyDescent="0.2">
      <c r="A98" s="637">
        <v>75</v>
      </c>
      <c r="B98" s="30" t="s">
        <v>206</v>
      </c>
      <c r="C98" s="50" t="s">
        <v>207</v>
      </c>
      <c r="D98" s="636">
        <f t="shared" si="5"/>
        <v>7310</v>
      </c>
      <c r="E98" s="636">
        <v>0</v>
      </c>
      <c r="F98" s="636">
        <f t="shared" si="6"/>
        <v>7310</v>
      </c>
      <c r="G98" s="636">
        <v>0</v>
      </c>
      <c r="H98" s="636">
        <f t="shared" si="7"/>
        <v>7310</v>
      </c>
      <c r="I98" s="636">
        <v>0</v>
      </c>
      <c r="J98" s="636">
        <v>7310</v>
      </c>
    </row>
    <row r="99" spans="1:10" x14ac:dyDescent="0.2">
      <c r="A99" s="637">
        <v>76</v>
      </c>
      <c r="B99" s="22" t="s">
        <v>208</v>
      </c>
      <c r="C99" s="23" t="s">
        <v>209</v>
      </c>
      <c r="D99" s="636">
        <f t="shared" si="5"/>
        <v>4781</v>
      </c>
      <c r="E99" s="636">
        <v>0</v>
      </c>
      <c r="F99" s="636">
        <f t="shared" si="6"/>
        <v>4781</v>
      </c>
      <c r="G99" s="636">
        <v>1320</v>
      </c>
      <c r="H99" s="636">
        <f t="shared" si="7"/>
        <v>3461</v>
      </c>
      <c r="I99" s="636">
        <v>0</v>
      </c>
      <c r="J99" s="636">
        <v>3461</v>
      </c>
    </row>
    <row r="100" spans="1:10" x14ac:dyDescent="0.2">
      <c r="A100" s="637">
        <v>77</v>
      </c>
      <c r="B100" s="30" t="s">
        <v>210</v>
      </c>
      <c r="C100" s="29" t="s">
        <v>211</v>
      </c>
      <c r="D100" s="636">
        <f t="shared" si="5"/>
        <v>7522</v>
      </c>
      <c r="E100" s="636">
        <v>0</v>
      </c>
      <c r="F100" s="636">
        <f t="shared" si="6"/>
        <v>7522</v>
      </c>
      <c r="G100" s="636">
        <v>100</v>
      </c>
      <c r="H100" s="636">
        <f t="shared" si="7"/>
        <v>7422</v>
      </c>
      <c r="I100" s="636">
        <v>207</v>
      </c>
      <c r="J100" s="636">
        <v>7215</v>
      </c>
    </row>
    <row r="101" spans="1:10" x14ac:dyDescent="0.2">
      <c r="A101" s="637">
        <v>78</v>
      </c>
      <c r="B101" s="22" t="s">
        <v>212</v>
      </c>
      <c r="C101" s="23" t="s">
        <v>213</v>
      </c>
      <c r="D101" s="636">
        <f t="shared" si="5"/>
        <v>6992</v>
      </c>
      <c r="E101" s="636">
        <v>0</v>
      </c>
      <c r="F101" s="636">
        <f t="shared" si="6"/>
        <v>6992</v>
      </c>
      <c r="G101" s="636">
        <v>280</v>
      </c>
      <c r="H101" s="636">
        <f t="shared" si="7"/>
        <v>6712</v>
      </c>
      <c r="I101" s="636">
        <v>0</v>
      </c>
      <c r="J101" s="636">
        <v>6712</v>
      </c>
    </row>
    <row r="102" spans="1:10" x14ac:dyDescent="0.2">
      <c r="A102" s="637">
        <v>79</v>
      </c>
      <c r="B102" s="22" t="s">
        <v>214</v>
      </c>
      <c r="C102" s="23" t="s">
        <v>215</v>
      </c>
      <c r="D102" s="636">
        <f t="shared" si="5"/>
        <v>22053</v>
      </c>
      <c r="E102" s="636">
        <v>0</v>
      </c>
      <c r="F102" s="636">
        <f t="shared" si="6"/>
        <v>22053</v>
      </c>
      <c r="G102" s="636">
        <v>270</v>
      </c>
      <c r="H102" s="636">
        <f t="shared" si="7"/>
        <v>21783</v>
      </c>
      <c r="I102" s="636">
        <v>11</v>
      </c>
      <c r="J102" s="636">
        <v>21772</v>
      </c>
    </row>
    <row r="103" spans="1:10" x14ac:dyDescent="0.2">
      <c r="A103" s="637">
        <v>80</v>
      </c>
      <c r="B103" s="30" t="s">
        <v>216</v>
      </c>
      <c r="C103" s="50" t="s">
        <v>217</v>
      </c>
      <c r="D103" s="636">
        <f t="shared" si="5"/>
        <v>10541</v>
      </c>
      <c r="E103" s="636">
        <v>0</v>
      </c>
      <c r="F103" s="636">
        <f t="shared" si="6"/>
        <v>10541</v>
      </c>
      <c r="G103" s="636">
        <v>315</v>
      </c>
      <c r="H103" s="636">
        <f t="shared" si="7"/>
        <v>10226</v>
      </c>
      <c r="I103" s="636">
        <v>0</v>
      </c>
      <c r="J103" s="636">
        <v>10226</v>
      </c>
    </row>
    <row r="104" spans="1:10" x14ac:dyDescent="0.2">
      <c r="A104" s="637">
        <v>81</v>
      </c>
      <c r="B104" s="28" t="s">
        <v>218</v>
      </c>
      <c r="C104" s="29" t="s">
        <v>219</v>
      </c>
      <c r="D104" s="636">
        <f t="shared" si="5"/>
        <v>23082</v>
      </c>
      <c r="E104" s="636">
        <v>0</v>
      </c>
      <c r="F104" s="636">
        <f t="shared" si="6"/>
        <v>23082</v>
      </c>
      <c r="G104" s="636">
        <v>301</v>
      </c>
      <c r="H104" s="636">
        <f t="shared" si="7"/>
        <v>22781</v>
      </c>
      <c r="I104" s="636">
        <v>0</v>
      </c>
      <c r="J104" s="636">
        <v>22781</v>
      </c>
    </row>
    <row r="105" spans="1:10" x14ac:dyDescent="0.2">
      <c r="A105" s="637">
        <v>82</v>
      </c>
      <c r="B105" s="28" t="s">
        <v>220</v>
      </c>
      <c r="C105" s="29" t="s">
        <v>221</v>
      </c>
      <c r="D105" s="636">
        <f t="shared" si="5"/>
        <v>23011</v>
      </c>
      <c r="E105" s="636">
        <v>0</v>
      </c>
      <c r="F105" s="636">
        <f t="shared" si="6"/>
        <v>23011</v>
      </c>
      <c r="G105" s="636">
        <v>800</v>
      </c>
      <c r="H105" s="636">
        <f t="shared" si="7"/>
        <v>22211</v>
      </c>
      <c r="I105" s="636">
        <v>118</v>
      </c>
      <c r="J105" s="636">
        <v>22093</v>
      </c>
    </row>
    <row r="106" spans="1:10" x14ac:dyDescent="0.2">
      <c r="A106" s="637">
        <v>83</v>
      </c>
      <c r="B106" s="22" t="s">
        <v>222</v>
      </c>
      <c r="C106" s="23" t="s">
        <v>223</v>
      </c>
      <c r="D106" s="636">
        <f t="shared" si="5"/>
        <v>7914</v>
      </c>
      <c r="E106" s="636">
        <v>0</v>
      </c>
      <c r="F106" s="636">
        <f t="shared" si="6"/>
        <v>7914</v>
      </c>
      <c r="G106" s="636">
        <v>80</v>
      </c>
      <c r="H106" s="636">
        <f t="shared" si="7"/>
        <v>7834</v>
      </c>
      <c r="I106" s="636">
        <v>0</v>
      </c>
      <c r="J106" s="636">
        <v>7834</v>
      </c>
    </row>
    <row r="107" spans="1:10" x14ac:dyDescent="0.2">
      <c r="A107" s="637">
        <v>84</v>
      </c>
      <c r="B107" s="49" t="s">
        <v>224</v>
      </c>
      <c r="C107" s="50" t="s">
        <v>225</v>
      </c>
      <c r="D107" s="636">
        <f t="shared" si="5"/>
        <v>20460</v>
      </c>
      <c r="E107" s="636">
        <v>0</v>
      </c>
      <c r="F107" s="636">
        <f t="shared" si="6"/>
        <v>20460</v>
      </c>
      <c r="G107" s="636">
        <v>214</v>
      </c>
      <c r="H107" s="636">
        <f t="shared" si="7"/>
        <v>20246</v>
      </c>
      <c r="I107" s="636">
        <v>0</v>
      </c>
      <c r="J107" s="636">
        <v>20246</v>
      </c>
    </row>
    <row r="108" spans="1:10" x14ac:dyDescent="0.2">
      <c r="A108" s="637">
        <v>85</v>
      </c>
      <c r="B108" s="28" t="s">
        <v>226</v>
      </c>
      <c r="C108" s="29" t="s">
        <v>227</v>
      </c>
      <c r="D108" s="636">
        <f t="shared" si="5"/>
        <v>10903</v>
      </c>
      <c r="E108" s="636">
        <v>0</v>
      </c>
      <c r="F108" s="636">
        <f t="shared" si="6"/>
        <v>10903</v>
      </c>
      <c r="G108" s="636">
        <v>802</v>
      </c>
      <c r="H108" s="636">
        <f t="shared" si="7"/>
        <v>10101</v>
      </c>
      <c r="I108" s="636">
        <v>0</v>
      </c>
      <c r="J108" s="636">
        <v>10101</v>
      </c>
    </row>
    <row r="109" spans="1:10" x14ac:dyDescent="0.2">
      <c r="A109" s="637">
        <v>86</v>
      </c>
      <c r="B109" s="30" t="s">
        <v>32</v>
      </c>
      <c r="C109" s="29" t="s">
        <v>33</v>
      </c>
      <c r="D109" s="636">
        <f t="shared" si="5"/>
        <v>7595</v>
      </c>
      <c r="E109" s="636">
        <v>0</v>
      </c>
      <c r="F109" s="636">
        <f t="shared" si="6"/>
        <v>7595</v>
      </c>
      <c r="G109" s="636">
        <v>500</v>
      </c>
      <c r="H109" s="636">
        <f t="shared" si="7"/>
        <v>7095</v>
      </c>
      <c r="I109" s="636">
        <v>0</v>
      </c>
      <c r="J109" s="636">
        <v>7095</v>
      </c>
    </row>
    <row r="110" spans="1:10" x14ac:dyDescent="0.2">
      <c r="A110" s="637">
        <v>87</v>
      </c>
      <c r="B110" s="22" t="s">
        <v>228</v>
      </c>
      <c r="C110" s="23" t="s">
        <v>229</v>
      </c>
      <c r="D110" s="636">
        <f t="shared" si="5"/>
        <v>6725</v>
      </c>
      <c r="E110" s="636">
        <v>0</v>
      </c>
      <c r="F110" s="636">
        <f t="shared" si="6"/>
        <v>6725</v>
      </c>
      <c r="G110" s="636">
        <v>290</v>
      </c>
      <c r="H110" s="636">
        <f t="shared" si="7"/>
        <v>6435</v>
      </c>
      <c r="I110" s="636">
        <v>60</v>
      </c>
      <c r="J110" s="636">
        <v>6375</v>
      </c>
    </row>
    <row r="111" spans="1:10" x14ac:dyDescent="0.2">
      <c r="A111" s="637">
        <v>88</v>
      </c>
      <c r="B111" s="28" t="s">
        <v>230</v>
      </c>
      <c r="C111" s="29" t="s">
        <v>231</v>
      </c>
      <c r="D111" s="636">
        <f t="shared" si="5"/>
        <v>23450</v>
      </c>
      <c r="E111" s="636">
        <v>0</v>
      </c>
      <c r="F111" s="636">
        <f t="shared" si="6"/>
        <v>23450</v>
      </c>
      <c r="G111" s="636">
        <v>600</v>
      </c>
      <c r="H111" s="636">
        <f t="shared" si="7"/>
        <v>22850</v>
      </c>
      <c r="I111" s="636">
        <v>70</v>
      </c>
      <c r="J111" s="636">
        <v>22780</v>
      </c>
    </row>
    <row r="112" spans="1:10" x14ac:dyDescent="0.2">
      <c r="A112" s="637">
        <v>89</v>
      </c>
      <c r="B112" s="28" t="s">
        <v>232</v>
      </c>
      <c r="C112" s="23" t="s">
        <v>233</v>
      </c>
      <c r="D112" s="636">
        <f t="shared" si="5"/>
        <v>932</v>
      </c>
      <c r="E112" s="636">
        <v>932</v>
      </c>
      <c r="F112" s="636">
        <f t="shared" si="6"/>
        <v>0</v>
      </c>
      <c r="G112" s="636">
        <v>0</v>
      </c>
      <c r="H112" s="636">
        <f t="shared" si="7"/>
        <v>0</v>
      </c>
      <c r="I112" s="636">
        <v>0</v>
      </c>
      <c r="J112" s="636">
        <v>0</v>
      </c>
    </row>
    <row r="113" spans="1:10" x14ac:dyDescent="0.2">
      <c r="A113" s="637">
        <v>90</v>
      </c>
      <c r="B113" s="28" t="s">
        <v>234</v>
      </c>
      <c r="C113" s="29" t="s">
        <v>235</v>
      </c>
      <c r="D113" s="636">
        <f t="shared" si="5"/>
        <v>0</v>
      </c>
      <c r="E113" s="636">
        <v>0</v>
      </c>
      <c r="F113" s="636">
        <v>0</v>
      </c>
      <c r="G113" s="636">
        <v>0</v>
      </c>
      <c r="H113" s="636">
        <v>0</v>
      </c>
      <c r="I113" s="636">
        <v>0</v>
      </c>
      <c r="J113" s="636">
        <v>0</v>
      </c>
    </row>
    <row r="114" spans="1:10" x14ac:dyDescent="0.2">
      <c r="A114" s="637">
        <v>91</v>
      </c>
      <c r="B114" s="22" t="s">
        <v>236</v>
      </c>
      <c r="C114" s="23" t="s">
        <v>237</v>
      </c>
      <c r="D114" s="636">
        <f t="shared" si="5"/>
        <v>0</v>
      </c>
      <c r="E114" s="636">
        <v>0</v>
      </c>
      <c r="F114" s="636">
        <v>0</v>
      </c>
      <c r="G114" s="636">
        <v>0</v>
      </c>
      <c r="H114" s="636">
        <v>0</v>
      </c>
      <c r="I114" s="636">
        <v>0</v>
      </c>
      <c r="J114" s="636">
        <v>0</v>
      </c>
    </row>
    <row r="115" spans="1:10" x14ac:dyDescent="0.2">
      <c r="A115" s="637">
        <v>92</v>
      </c>
      <c r="B115" s="22" t="s">
        <v>238</v>
      </c>
      <c r="C115" s="23" t="s">
        <v>239</v>
      </c>
      <c r="D115" s="636">
        <f t="shared" si="5"/>
        <v>0</v>
      </c>
      <c r="E115" s="636">
        <v>0</v>
      </c>
      <c r="F115" s="636">
        <v>0</v>
      </c>
      <c r="G115" s="636">
        <v>0</v>
      </c>
      <c r="H115" s="636">
        <v>0</v>
      </c>
      <c r="I115" s="636">
        <v>0</v>
      </c>
      <c r="J115" s="636">
        <v>0</v>
      </c>
    </row>
    <row r="116" spans="1:10" x14ac:dyDescent="0.2">
      <c r="A116" s="637">
        <v>93</v>
      </c>
      <c r="B116" s="22" t="s">
        <v>240</v>
      </c>
      <c r="C116" s="23" t="s">
        <v>241</v>
      </c>
      <c r="D116" s="636">
        <f t="shared" si="5"/>
        <v>0</v>
      </c>
      <c r="E116" s="636">
        <v>0</v>
      </c>
      <c r="F116" s="636">
        <v>0</v>
      </c>
      <c r="G116" s="636">
        <v>0</v>
      </c>
      <c r="H116" s="636">
        <v>0</v>
      </c>
      <c r="I116" s="636">
        <v>0</v>
      </c>
      <c r="J116" s="636">
        <v>0</v>
      </c>
    </row>
    <row r="117" spans="1:10" x14ac:dyDescent="0.2">
      <c r="A117" s="637">
        <v>94</v>
      </c>
      <c r="B117" s="22" t="s">
        <v>242</v>
      </c>
      <c r="C117" s="23" t="s">
        <v>243</v>
      </c>
      <c r="D117" s="636">
        <f t="shared" si="5"/>
        <v>0</v>
      </c>
      <c r="E117" s="636">
        <v>0</v>
      </c>
      <c r="F117" s="636">
        <v>0</v>
      </c>
      <c r="G117" s="636">
        <v>0</v>
      </c>
      <c r="H117" s="636">
        <v>0</v>
      </c>
      <c r="I117" s="636">
        <v>0</v>
      </c>
      <c r="J117" s="636">
        <v>0</v>
      </c>
    </row>
    <row r="118" spans="1:10" x14ac:dyDescent="0.2">
      <c r="A118" s="637">
        <v>95</v>
      </c>
      <c r="B118" s="22" t="s">
        <v>244</v>
      </c>
      <c r="C118" s="23" t="s">
        <v>245</v>
      </c>
      <c r="D118" s="636">
        <f t="shared" si="5"/>
        <v>3940</v>
      </c>
      <c r="E118" s="636">
        <v>3940</v>
      </c>
      <c r="F118" s="636">
        <f t="shared" si="6"/>
        <v>0</v>
      </c>
      <c r="G118" s="636">
        <v>0</v>
      </c>
      <c r="H118" s="636">
        <f t="shared" si="7"/>
        <v>0</v>
      </c>
      <c r="I118" s="636">
        <v>0</v>
      </c>
      <c r="J118" s="636">
        <v>0</v>
      </c>
    </row>
    <row r="119" spans="1:10" x14ac:dyDescent="0.2">
      <c r="A119" s="637">
        <v>96</v>
      </c>
      <c r="B119" s="641" t="s">
        <v>246</v>
      </c>
      <c r="C119" s="642" t="s">
        <v>247</v>
      </c>
      <c r="D119" s="636">
        <f t="shared" si="5"/>
        <v>0</v>
      </c>
      <c r="E119" s="636">
        <v>0</v>
      </c>
      <c r="F119" s="636">
        <v>0</v>
      </c>
      <c r="G119" s="636">
        <v>0</v>
      </c>
      <c r="H119" s="636">
        <v>0</v>
      </c>
      <c r="I119" s="636">
        <v>0</v>
      </c>
      <c r="J119" s="636">
        <v>0</v>
      </c>
    </row>
    <row r="120" spans="1:10" x14ac:dyDescent="0.2">
      <c r="A120" s="637">
        <v>97</v>
      </c>
      <c r="B120" s="30" t="s">
        <v>248</v>
      </c>
      <c r="C120" s="29" t="s">
        <v>249</v>
      </c>
      <c r="D120" s="636">
        <f t="shared" si="5"/>
        <v>0</v>
      </c>
      <c r="E120" s="636">
        <v>0</v>
      </c>
      <c r="F120" s="636">
        <v>0</v>
      </c>
      <c r="G120" s="636">
        <v>0</v>
      </c>
      <c r="H120" s="636">
        <v>0</v>
      </c>
      <c r="I120" s="636">
        <v>0</v>
      </c>
      <c r="J120" s="636">
        <v>0</v>
      </c>
    </row>
    <row r="121" spans="1:10" x14ac:dyDescent="0.2">
      <c r="A121" s="637">
        <v>98</v>
      </c>
      <c r="B121" s="22" t="s">
        <v>250</v>
      </c>
      <c r="C121" s="23" t="s">
        <v>251</v>
      </c>
      <c r="D121" s="636">
        <f t="shared" si="5"/>
        <v>0</v>
      </c>
      <c r="E121" s="636">
        <v>0</v>
      </c>
      <c r="F121" s="636">
        <v>0</v>
      </c>
      <c r="G121" s="636">
        <v>0</v>
      </c>
      <c r="H121" s="636">
        <v>0</v>
      </c>
      <c r="I121" s="636">
        <v>0</v>
      </c>
      <c r="J121" s="636">
        <v>0</v>
      </c>
    </row>
    <row r="122" spans="1:10" x14ac:dyDescent="0.2">
      <c r="A122" s="637">
        <v>99</v>
      </c>
      <c r="B122" s="28" t="s">
        <v>252</v>
      </c>
      <c r="C122" s="643" t="s">
        <v>253</v>
      </c>
      <c r="D122" s="636">
        <f t="shared" si="5"/>
        <v>0</v>
      </c>
      <c r="E122" s="636">
        <v>0</v>
      </c>
      <c r="F122" s="636">
        <v>0</v>
      </c>
      <c r="G122" s="636">
        <v>0</v>
      </c>
      <c r="H122" s="636">
        <v>0</v>
      </c>
      <c r="I122" s="636">
        <v>0</v>
      </c>
      <c r="J122" s="636">
        <v>0</v>
      </c>
    </row>
    <row r="123" spans="1:10" x14ac:dyDescent="0.2">
      <c r="A123" s="637">
        <v>100</v>
      </c>
      <c r="B123" s="22" t="s">
        <v>254</v>
      </c>
      <c r="C123" s="50" t="s">
        <v>255</v>
      </c>
      <c r="D123" s="636">
        <f t="shared" si="5"/>
        <v>0</v>
      </c>
      <c r="E123" s="636">
        <v>0</v>
      </c>
      <c r="F123" s="636">
        <v>0</v>
      </c>
      <c r="G123" s="636">
        <v>0</v>
      </c>
      <c r="H123" s="636">
        <v>0</v>
      </c>
      <c r="I123" s="636">
        <v>0</v>
      </c>
      <c r="J123" s="636">
        <v>0</v>
      </c>
    </row>
    <row r="124" spans="1:10" x14ac:dyDescent="0.2">
      <c r="A124" s="637">
        <v>101</v>
      </c>
      <c r="B124" s="30" t="s">
        <v>256</v>
      </c>
      <c r="C124" s="23" t="s">
        <v>479</v>
      </c>
      <c r="D124" s="636">
        <f t="shared" si="5"/>
        <v>0</v>
      </c>
      <c r="E124" s="636">
        <v>0</v>
      </c>
      <c r="F124" s="636">
        <v>0</v>
      </c>
      <c r="G124" s="636">
        <v>0</v>
      </c>
      <c r="H124" s="636">
        <v>0</v>
      </c>
      <c r="I124" s="636">
        <v>0</v>
      </c>
      <c r="J124" s="636">
        <v>0</v>
      </c>
    </row>
    <row r="125" spans="1:10" x14ac:dyDescent="0.2">
      <c r="A125" s="637">
        <v>102</v>
      </c>
      <c r="B125" s="49" t="s">
        <v>258</v>
      </c>
      <c r="C125" s="50" t="s">
        <v>259</v>
      </c>
      <c r="D125" s="636">
        <f t="shared" si="5"/>
        <v>0</v>
      </c>
      <c r="E125" s="636">
        <v>0</v>
      </c>
      <c r="F125" s="636">
        <v>0</v>
      </c>
      <c r="G125" s="636">
        <v>0</v>
      </c>
      <c r="H125" s="636">
        <v>0</v>
      </c>
      <c r="I125" s="636">
        <v>0</v>
      </c>
      <c r="J125" s="636">
        <v>0</v>
      </c>
    </row>
    <row r="126" spans="1:10" x14ac:dyDescent="0.2">
      <c r="A126" s="637">
        <v>103</v>
      </c>
      <c r="B126" s="165" t="s">
        <v>543</v>
      </c>
      <c r="C126" s="164" t="s">
        <v>544</v>
      </c>
      <c r="D126" s="636">
        <f t="shared" si="5"/>
        <v>0</v>
      </c>
      <c r="E126" s="636">
        <v>0</v>
      </c>
      <c r="F126" s="636">
        <v>0</v>
      </c>
      <c r="G126" s="636">
        <v>0</v>
      </c>
      <c r="H126" s="636">
        <v>0</v>
      </c>
      <c r="I126" s="636">
        <v>0</v>
      </c>
      <c r="J126" s="636">
        <v>0</v>
      </c>
    </row>
    <row r="127" spans="1:10" x14ac:dyDescent="0.2">
      <c r="A127" s="637">
        <v>104</v>
      </c>
      <c r="B127" s="30" t="s">
        <v>260</v>
      </c>
      <c r="C127" s="50" t="s">
        <v>261</v>
      </c>
      <c r="D127" s="636">
        <f t="shared" si="5"/>
        <v>0</v>
      </c>
      <c r="E127" s="636">
        <v>0</v>
      </c>
      <c r="F127" s="636">
        <v>0</v>
      </c>
      <c r="G127" s="636">
        <v>0</v>
      </c>
      <c r="H127" s="636">
        <v>0</v>
      </c>
      <c r="I127" s="636">
        <v>0</v>
      </c>
      <c r="J127" s="636">
        <v>0</v>
      </c>
    </row>
    <row r="128" spans="1:10" x14ac:dyDescent="0.2">
      <c r="A128" s="637">
        <v>105</v>
      </c>
      <c r="B128" s="22" t="s">
        <v>262</v>
      </c>
      <c r="C128" s="23" t="s">
        <v>263</v>
      </c>
      <c r="D128" s="636">
        <f t="shared" si="5"/>
        <v>1080</v>
      </c>
      <c r="E128" s="636">
        <v>1080</v>
      </c>
      <c r="F128" s="636">
        <f t="shared" si="6"/>
        <v>0</v>
      </c>
      <c r="G128" s="636">
        <v>0</v>
      </c>
      <c r="H128" s="636">
        <f t="shared" si="7"/>
        <v>0</v>
      </c>
      <c r="I128" s="636">
        <v>0</v>
      </c>
      <c r="J128" s="636">
        <v>0</v>
      </c>
    </row>
    <row r="129" spans="1:10" x14ac:dyDescent="0.2">
      <c r="A129" s="637">
        <v>106</v>
      </c>
      <c r="B129" s="22" t="s">
        <v>264</v>
      </c>
      <c r="C129" s="54" t="s">
        <v>265</v>
      </c>
      <c r="D129" s="636">
        <f t="shared" si="5"/>
        <v>0</v>
      </c>
      <c r="E129" s="636">
        <v>0</v>
      </c>
      <c r="F129" s="636">
        <v>0</v>
      </c>
      <c r="G129" s="636">
        <v>0</v>
      </c>
      <c r="H129" s="636">
        <v>0</v>
      </c>
      <c r="I129" s="636">
        <v>0</v>
      </c>
      <c r="J129" s="636">
        <v>0</v>
      </c>
    </row>
    <row r="130" spans="1:10" x14ac:dyDescent="0.2">
      <c r="A130" s="637">
        <v>107</v>
      </c>
      <c r="B130" s="22" t="s">
        <v>266</v>
      </c>
      <c r="C130" s="23" t="s">
        <v>267</v>
      </c>
      <c r="D130" s="636">
        <f t="shared" si="5"/>
        <v>0</v>
      </c>
      <c r="E130" s="636">
        <v>0</v>
      </c>
      <c r="F130" s="636">
        <f t="shared" si="6"/>
        <v>0</v>
      </c>
      <c r="G130" s="636">
        <v>0</v>
      </c>
      <c r="H130" s="636">
        <f t="shared" si="7"/>
        <v>0</v>
      </c>
      <c r="I130" s="636">
        <v>0</v>
      </c>
      <c r="J130" s="636">
        <v>0</v>
      </c>
    </row>
    <row r="131" spans="1:10" x14ac:dyDescent="0.2">
      <c r="A131" s="637">
        <v>108</v>
      </c>
      <c r="B131" s="22" t="s">
        <v>268</v>
      </c>
      <c r="C131" s="23" t="s">
        <v>269</v>
      </c>
      <c r="D131" s="636">
        <f t="shared" si="5"/>
        <v>0</v>
      </c>
      <c r="E131" s="636">
        <v>0</v>
      </c>
      <c r="F131" s="636">
        <f t="shared" si="6"/>
        <v>0</v>
      </c>
      <c r="G131" s="636">
        <v>0</v>
      </c>
      <c r="H131" s="636">
        <f t="shared" si="7"/>
        <v>0</v>
      </c>
      <c r="I131" s="636">
        <v>0</v>
      </c>
      <c r="J131" s="636">
        <v>0</v>
      </c>
    </row>
    <row r="132" spans="1:10" x14ac:dyDescent="0.2">
      <c r="A132" s="637">
        <v>109</v>
      </c>
      <c r="B132" s="22" t="s">
        <v>270</v>
      </c>
      <c r="C132" s="23" t="s">
        <v>271</v>
      </c>
      <c r="D132" s="636">
        <f t="shared" si="5"/>
        <v>0</v>
      </c>
      <c r="E132" s="636">
        <v>0</v>
      </c>
      <c r="F132" s="636">
        <f t="shared" si="6"/>
        <v>0</v>
      </c>
      <c r="G132" s="636">
        <v>0</v>
      </c>
      <c r="H132" s="636">
        <f t="shared" si="7"/>
        <v>0</v>
      </c>
      <c r="I132" s="636">
        <v>0</v>
      </c>
      <c r="J132" s="636">
        <v>0</v>
      </c>
    </row>
    <row r="133" spans="1:10" x14ac:dyDescent="0.2">
      <c r="A133" s="637">
        <v>110</v>
      </c>
      <c r="B133" s="28" t="s">
        <v>272</v>
      </c>
      <c r="C133" s="29" t="s">
        <v>273</v>
      </c>
      <c r="D133" s="636">
        <f t="shared" si="5"/>
        <v>0</v>
      </c>
      <c r="E133" s="636">
        <v>0</v>
      </c>
      <c r="F133" s="636">
        <f t="shared" si="6"/>
        <v>0</v>
      </c>
      <c r="G133" s="636">
        <v>0</v>
      </c>
      <c r="H133" s="636">
        <f t="shared" si="7"/>
        <v>0</v>
      </c>
      <c r="I133" s="636">
        <v>0</v>
      </c>
      <c r="J133" s="636">
        <v>0</v>
      </c>
    </row>
    <row r="134" spans="1:10" x14ac:dyDescent="0.2">
      <c r="A134" s="637">
        <v>111</v>
      </c>
      <c r="B134" s="28" t="s">
        <v>274</v>
      </c>
      <c r="C134" s="23" t="s">
        <v>275</v>
      </c>
      <c r="D134" s="636">
        <f t="shared" si="5"/>
        <v>600</v>
      </c>
      <c r="E134" s="636">
        <v>600</v>
      </c>
      <c r="F134" s="636">
        <f t="shared" si="6"/>
        <v>0</v>
      </c>
      <c r="G134" s="636">
        <v>0</v>
      </c>
      <c r="H134" s="636">
        <f t="shared" si="7"/>
        <v>0</v>
      </c>
      <c r="I134" s="636">
        <v>0</v>
      </c>
      <c r="J134" s="636">
        <v>0</v>
      </c>
    </row>
    <row r="135" spans="1:10" x14ac:dyDescent="0.2">
      <c r="A135" s="637">
        <v>112</v>
      </c>
      <c r="B135" s="49" t="s">
        <v>276</v>
      </c>
      <c r="C135" s="50" t="s">
        <v>277</v>
      </c>
      <c r="D135" s="636">
        <f t="shared" si="5"/>
        <v>0</v>
      </c>
      <c r="E135" s="636">
        <v>0</v>
      </c>
      <c r="F135" s="636">
        <f t="shared" si="6"/>
        <v>0</v>
      </c>
      <c r="G135" s="636">
        <v>0</v>
      </c>
      <c r="H135" s="636">
        <f t="shared" si="7"/>
        <v>0</v>
      </c>
      <c r="I135" s="636">
        <v>0</v>
      </c>
      <c r="J135" s="636">
        <v>0</v>
      </c>
    </row>
    <row r="136" spans="1:10" x14ac:dyDescent="0.2">
      <c r="A136" s="637">
        <v>113</v>
      </c>
      <c r="B136" s="22" t="s">
        <v>278</v>
      </c>
      <c r="C136" s="23" t="s">
        <v>279</v>
      </c>
      <c r="D136" s="636">
        <f t="shared" si="5"/>
        <v>0</v>
      </c>
      <c r="E136" s="636">
        <v>0</v>
      </c>
      <c r="F136" s="636">
        <f t="shared" si="6"/>
        <v>0</v>
      </c>
      <c r="G136" s="636">
        <v>0</v>
      </c>
      <c r="H136" s="636">
        <f t="shared" si="7"/>
        <v>0</v>
      </c>
      <c r="I136" s="636">
        <v>0</v>
      </c>
      <c r="J136" s="636">
        <v>0</v>
      </c>
    </row>
    <row r="137" spans="1:10" x14ac:dyDescent="0.2">
      <c r="A137" s="637">
        <v>114</v>
      </c>
      <c r="B137" s="22" t="s">
        <v>280</v>
      </c>
      <c r="C137" s="23" t="s">
        <v>281</v>
      </c>
      <c r="D137" s="636">
        <f t="shared" si="5"/>
        <v>0</v>
      </c>
      <c r="E137" s="636">
        <v>0</v>
      </c>
      <c r="F137" s="636">
        <f t="shared" si="6"/>
        <v>0</v>
      </c>
      <c r="G137" s="636">
        <v>0</v>
      </c>
      <c r="H137" s="636">
        <f t="shared" si="7"/>
        <v>0</v>
      </c>
      <c r="I137" s="636">
        <v>0</v>
      </c>
      <c r="J137" s="636">
        <v>0</v>
      </c>
    </row>
    <row r="138" spans="1:10" x14ac:dyDescent="0.2">
      <c r="A138" s="637">
        <v>115</v>
      </c>
      <c r="B138" s="22" t="s">
        <v>282</v>
      </c>
      <c r="C138" s="23" t="s">
        <v>772</v>
      </c>
      <c r="D138" s="636">
        <f t="shared" si="5"/>
        <v>0</v>
      </c>
      <c r="E138" s="636">
        <v>0</v>
      </c>
      <c r="F138" s="636">
        <f t="shared" si="6"/>
        <v>0</v>
      </c>
      <c r="G138" s="636">
        <v>0</v>
      </c>
      <c r="H138" s="636">
        <f t="shared" si="7"/>
        <v>0</v>
      </c>
      <c r="I138" s="636">
        <v>0</v>
      </c>
      <c r="J138" s="636">
        <v>0</v>
      </c>
    </row>
    <row r="139" spans="1:10" x14ac:dyDescent="0.2">
      <c r="A139" s="637">
        <v>116</v>
      </c>
      <c r="B139" s="49" t="s">
        <v>283</v>
      </c>
      <c r="C139" s="50" t="s">
        <v>284</v>
      </c>
      <c r="D139" s="636">
        <f t="shared" si="5"/>
        <v>39102</v>
      </c>
      <c r="E139" s="636">
        <v>0</v>
      </c>
      <c r="F139" s="636">
        <f t="shared" si="6"/>
        <v>39102</v>
      </c>
      <c r="G139" s="636">
        <v>0</v>
      </c>
      <c r="H139" s="636">
        <f t="shared" si="7"/>
        <v>39102</v>
      </c>
      <c r="I139" s="636">
        <v>0</v>
      </c>
      <c r="J139" s="636">
        <v>39102</v>
      </c>
    </row>
    <row r="140" spans="1:10" x14ac:dyDescent="0.2">
      <c r="A140" s="637">
        <v>117</v>
      </c>
      <c r="B140" s="30" t="s">
        <v>285</v>
      </c>
      <c r="C140" s="50" t="s">
        <v>728</v>
      </c>
      <c r="D140" s="636">
        <f t="shared" si="5"/>
        <v>24178</v>
      </c>
      <c r="E140" s="636">
        <v>0</v>
      </c>
      <c r="F140" s="636">
        <f t="shared" si="6"/>
        <v>24178</v>
      </c>
      <c r="G140" s="636">
        <v>5374</v>
      </c>
      <c r="H140" s="636">
        <f t="shared" si="7"/>
        <v>18804</v>
      </c>
      <c r="I140" s="636">
        <v>345</v>
      </c>
      <c r="J140" s="636">
        <v>18459</v>
      </c>
    </row>
    <row r="141" spans="1:10" x14ac:dyDescent="0.2">
      <c r="A141" s="637">
        <v>118</v>
      </c>
      <c r="B141" s="22" t="s">
        <v>286</v>
      </c>
      <c r="C141" s="23" t="s">
        <v>287</v>
      </c>
      <c r="D141" s="636">
        <f t="shared" si="5"/>
        <v>0</v>
      </c>
      <c r="E141" s="636">
        <v>0</v>
      </c>
      <c r="F141" s="636">
        <f t="shared" si="6"/>
        <v>0</v>
      </c>
      <c r="G141" s="636">
        <v>0</v>
      </c>
      <c r="H141" s="636">
        <f t="shared" si="7"/>
        <v>0</v>
      </c>
      <c r="I141" s="636">
        <v>0</v>
      </c>
      <c r="J141" s="636">
        <v>0</v>
      </c>
    </row>
    <row r="142" spans="1:10" x14ac:dyDescent="0.2">
      <c r="A142" s="637">
        <v>119</v>
      </c>
      <c r="B142" s="28" t="s">
        <v>288</v>
      </c>
      <c r="C142" s="29" t="s">
        <v>289</v>
      </c>
      <c r="D142" s="636">
        <f t="shared" si="5"/>
        <v>0</v>
      </c>
      <c r="E142" s="636">
        <v>0</v>
      </c>
      <c r="F142" s="636">
        <f t="shared" si="6"/>
        <v>0</v>
      </c>
      <c r="G142" s="636">
        <v>0</v>
      </c>
      <c r="H142" s="636">
        <f t="shared" si="7"/>
        <v>0</v>
      </c>
      <c r="I142" s="636">
        <v>0</v>
      </c>
      <c r="J142" s="636">
        <v>0</v>
      </c>
    </row>
    <row r="143" spans="1:10" x14ac:dyDescent="0.2">
      <c r="A143" s="637">
        <v>120</v>
      </c>
      <c r="B143" s="22" t="s">
        <v>290</v>
      </c>
      <c r="C143" s="23" t="s">
        <v>291</v>
      </c>
      <c r="D143" s="636">
        <f t="shared" si="5"/>
        <v>0</v>
      </c>
      <c r="E143" s="636">
        <v>0</v>
      </c>
      <c r="F143" s="636">
        <v>0</v>
      </c>
      <c r="G143" s="636">
        <v>0</v>
      </c>
      <c r="H143" s="636">
        <v>0</v>
      </c>
      <c r="I143" s="636">
        <v>0</v>
      </c>
      <c r="J143" s="636">
        <v>0</v>
      </c>
    </row>
    <row r="144" spans="1:10" x14ac:dyDescent="0.2">
      <c r="A144" s="637">
        <v>121</v>
      </c>
      <c r="B144" s="61" t="s">
        <v>292</v>
      </c>
      <c r="C144" s="644" t="s">
        <v>293</v>
      </c>
      <c r="D144" s="636">
        <f t="shared" si="5"/>
        <v>0</v>
      </c>
      <c r="E144" s="636">
        <v>0</v>
      </c>
      <c r="F144" s="636">
        <v>0</v>
      </c>
      <c r="G144" s="636">
        <v>0</v>
      </c>
      <c r="H144" s="636">
        <v>0</v>
      </c>
      <c r="I144" s="636">
        <v>0</v>
      </c>
      <c r="J144" s="636">
        <v>0</v>
      </c>
    </row>
    <row r="145" spans="1:10" x14ac:dyDescent="0.2">
      <c r="A145" s="637">
        <v>122</v>
      </c>
      <c r="B145" s="63" t="s">
        <v>294</v>
      </c>
      <c r="C145" s="645" t="s">
        <v>295</v>
      </c>
      <c r="D145" s="636">
        <f t="shared" ref="D145:D150" si="8">E145+F145</f>
        <v>0</v>
      </c>
      <c r="E145" s="636">
        <v>0</v>
      </c>
      <c r="F145" s="636">
        <v>0</v>
      </c>
      <c r="G145" s="636">
        <v>0</v>
      </c>
      <c r="H145" s="636">
        <v>0</v>
      </c>
      <c r="I145" s="636">
        <v>0</v>
      </c>
      <c r="J145" s="636">
        <v>0</v>
      </c>
    </row>
    <row r="146" spans="1:10" ht="12.75" x14ac:dyDescent="0.2">
      <c r="A146" s="637">
        <v>123</v>
      </c>
      <c r="B146" s="61" t="s">
        <v>296</v>
      </c>
      <c r="C146" s="646" t="s">
        <v>461</v>
      </c>
      <c r="D146" s="636">
        <f t="shared" si="8"/>
        <v>0</v>
      </c>
      <c r="E146" s="636">
        <v>0</v>
      </c>
      <c r="F146" s="636">
        <v>0</v>
      </c>
      <c r="G146" s="636">
        <v>0</v>
      </c>
      <c r="H146" s="636">
        <v>0</v>
      </c>
      <c r="I146" s="636">
        <v>0</v>
      </c>
      <c r="J146" s="636">
        <v>0</v>
      </c>
    </row>
    <row r="147" spans="1:10" x14ac:dyDescent="0.2">
      <c r="A147" s="637">
        <v>124</v>
      </c>
      <c r="B147" s="637" t="s">
        <v>298</v>
      </c>
      <c r="C147" s="647" t="s">
        <v>299</v>
      </c>
      <c r="D147" s="636">
        <f t="shared" si="8"/>
        <v>0</v>
      </c>
      <c r="E147" s="636">
        <v>0</v>
      </c>
      <c r="F147" s="636">
        <v>0</v>
      </c>
      <c r="G147" s="636">
        <v>0</v>
      </c>
      <c r="H147" s="636">
        <v>0</v>
      </c>
      <c r="I147" s="636">
        <v>0</v>
      </c>
      <c r="J147" s="636">
        <v>0</v>
      </c>
    </row>
    <row r="148" spans="1:10" x14ac:dyDescent="0.2">
      <c r="A148" s="637">
        <v>125</v>
      </c>
      <c r="B148" s="648" t="s">
        <v>300</v>
      </c>
      <c r="C148" s="649" t="s">
        <v>301</v>
      </c>
      <c r="D148" s="636">
        <f t="shared" si="8"/>
        <v>0</v>
      </c>
      <c r="E148" s="636">
        <v>0</v>
      </c>
      <c r="F148" s="636">
        <v>0</v>
      </c>
      <c r="G148" s="636">
        <v>0</v>
      </c>
      <c r="H148" s="636">
        <v>0</v>
      </c>
      <c r="I148" s="636">
        <v>0</v>
      </c>
      <c r="J148" s="636">
        <v>0</v>
      </c>
    </row>
    <row r="149" spans="1:10" x14ac:dyDescent="0.2">
      <c r="A149" s="637">
        <v>126</v>
      </c>
      <c r="B149" s="650" t="s">
        <v>302</v>
      </c>
      <c r="C149" s="651" t="s">
        <v>303</v>
      </c>
      <c r="D149" s="636">
        <f t="shared" si="8"/>
        <v>0</v>
      </c>
      <c r="E149" s="636">
        <v>0</v>
      </c>
      <c r="F149" s="636">
        <v>0</v>
      </c>
      <c r="G149" s="636">
        <v>0</v>
      </c>
      <c r="H149" s="636">
        <v>0</v>
      </c>
      <c r="I149" s="636">
        <v>0</v>
      </c>
      <c r="J149" s="636">
        <v>0</v>
      </c>
    </row>
    <row r="150" spans="1:10" x14ac:dyDescent="0.2">
      <c r="A150" s="637">
        <v>127</v>
      </c>
      <c r="B150" s="75" t="s">
        <v>304</v>
      </c>
      <c r="C150" s="144" t="s">
        <v>305</v>
      </c>
      <c r="D150" s="636">
        <f t="shared" si="8"/>
        <v>0</v>
      </c>
      <c r="E150" s="636">
        <v>0</v>
      </c>
      <c r="F150" s="636">
        <v>0</v>
      </c>
      <c r="G150" s="636">
        <v>0</v>
      </c>
      <c r="H150" s="636">
        <v>0</v>
      </c>
      <c r="I150" s="636">
        <v>0</v>
      </c>
      <c r="J150" s="636">
        <v>0</v>
      </c>
    </row>
    <row r="151" spans="1:10" ht="16.5" customHeight="1" x14ac:dyDescent="0.2">
      <c r="A151" s="980"/>
      <c r="B151" s="980"/>
      <c r="C151" s="980"/>
      <c r="D151" s="980"/>
      <c r="E151" s="980"/>
      <c r="F151" s="980"/>
      <c r="G151" s="980"/>
      <c r="H151" s="980"/>
      <c r="I151" s="980"/>
      <c r="J151" s="980"/>
    </row>
  </sheetData>
  <mergeCells count="24">
    <mergeCell ref="A10:C10"/>
    <mergeCell ref="A11:C11"/>
    <mergeCell ref="G6:J6"/>
    <mergeCell ref="G7:G8"/>
    <mergeCell ref="H7:J7"/>
    <mergeCell ref="A1:J1"/>
    <mergeCell ref="A2:A8"/>
    <mergeCell ref="B2:B8"/>
    <mergeCell ref="C2:C8"/>
    <mergeCell ref="D2:J2"/>
    <mergeCell ref="D3:D8"/>
    <mergeCell ref="E3:J4"/>
    <mergeCell ref="E5:E8"/>
    <mergeCell ref="F5:J5"/>
    <mergeCell ref="F6:F8"/>
    <mergeCell ref="A93:A96"/>
    <mergeCell ref="B93:B96"/>
    <mergeCell ref="A151:J151"/>
    <mergeCell ref="A12:C12"/>
    <mergeCell ref="A37:A38"/>
    <mergeCell ref="A75:A77"/>
    <mergeCell ref="A85:A86"/>
    <mergeCell ref="A88:A89"/>
    <mergeCell ref="A78:A81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48"/>
  <sheetViews>
    <sheetView workbookViewId="0">
      <pane xSplit="4" ySplit="10" topLeftCell="E11" activePane="bottomRight" state="frozen"/>
      <selection activeCell="B125" sqref="B125"/>
      <selection pane="topRight" activeCell="B125" sqref="B125"/>
      <selection pane="bottomLeft" activeCell="B125" sqref="B125"/>
      <selection pane="bottomRight" activeCell="P16" sqref="P16"/>
    </sheetView>
  </sheetViews>
  <sheetFormatPr defaultRowHeight="12" x14ac:dyDescent="0.2"/>
  <cols>
    <col min="1" max="1" width="6.140625" style="652" customWidth="1"/>
    <col min="2" max="2" width="9.140625" style="652"/>
    <col min="3" max="3" width="33.140625" style="652" customWidth="1"/>
    <col min="4" max="4" width="13.140625" style="652" customWidth="1"/>
    <col min="5" max="5" width="10.5703125" style="652" customWidth="1"/>
    <col min="6" max="6" width="12" style="652" customWidth="1"/>
    <col min="7" max="9" width="11.28515625" style="652" customWidth="1"/>
    <col min="10" max="10" width="13.28515625" style="652" customWidth="1"/>
    <col min="11" max="11" width="12.42578125" style="652" customWidth="1"/>
    <col min="12" max="12" width="11.7109375" style="652" customWidth="1"/>
    <col min="13" max="14" width="10.5703125" style="652" customWidth="1"/>
    <col min="15" max="17" width="10.140625" style="652" customWidth="1"/>
    <col min="18" max="18" width="14.5703125" style="652" customWidth="1"/>
    <col min="19" max="19" width="21.140625" style="652" customWidth="1"/>
    <col min="20" max="16384" width="9.140625" style="652"/>
  </cols>
  <sheetData>
    <row r="1" spans="1:19" ht="15.75" x14ac:dyDescent="0.2">
      <c r="B1" s="1012" t="s">
        <v>480</v>
      </c>
      <c r="C1" s="1012"/>
      <c r="D1" s="1013"/>
      <c r="E1" s="1013"/>
      <c r="F1" s="1013"/>
      <c r="G1" s="1013"/>
      <c r="H1" s="1013"/>
      <c r="I1" s="1013"/>
      <c r="J1" s="1013"/>
      <c r="K1" s="1013"/>
      <c r="L1" s="1013"/>
      <c r="M1" s="1013"/>
      <c r="N1" s="1013"/>
      <c r="O1" s="1013"/>
      <c r="P1" s="1013"/>
      <c r="Q1" s="1013"/>
      <c r="R1" s="1013"/>
    </row>
    <row r="2" spans="1:19" ht="12" customHeight="1" x14ac:dyDescent="0.2">
      <c r="A2" s="1011" t="s">
        <v>0</v>
      </c>
      <c r="B2" s="1014" t="s">
        <v>326</v>
      </c>
      <c r="C2" s="1011" t="s">
        <v>309</v>
      </c>
      <c r="D2" s="1017" t="s">
        <v>481</v>
      </c>
      <c r="E2" s="1017"/>
      <c r="F2" s="1017"/>
      <c r="G2" s="1017"/>
      <c r="H2" s="1017"/>
      <c r="I2" s="1017"/>
      <c r="J2" s="1017"/>
      <c r="K2" s="1017"/>
      <c r="L2" s="1017"/>
      <c r="M2" s="1017"/>
      <c r="N2" s="1017"/>
      <c r="O2" s="1017"/>
      <c r="P2" s="1017"/>
      <c r="Q2" s="1017"/>
      <c r="R2" s="1017"/>
      <c r="S2" s="1017"/>
    </row>
    <row r="3" spans="1:19" ht="12" customHeight="1" x14ac:dyDescent="0.2">
      <c r="A3" s="1011"/>
      <c r="B3" s="1015"/>
      <c r="C3" s="1011"/>
      <c r="D3" s="1018" t="s">
        <v>442</v>
      </c>
      <c r="E3" s="1017" t="s">
        <v>448</v>
      </c>
      <c r="F3" s="1017"/>
      <c r="G3" s="1017"/>
      <c r="H3" s="1017"/>
      <c r="I3" s="1017"/>
      <c r="J3" s="1017"/>
      <c r="K3" s="1017"/>
      <c r="L3" s="1017"/>
      <c r="M3" s="1017"/>
      <c r="N3" s="1017"/>
      <c r="O3" s="1017"/>
      <c r="P3" s="1017"/>
      <c r="Q3" s="1017"/>
      <c r="R3" s="1017"/>
      <c r="S3" s="1017"/>
    </row>
    <row r="4" spans="1:19" ht="28.5" customHeight="1" x14ac:dyDescent="0.2">
      <c r="A4" s="1011"/>
      <c r="B4" s="1015"/>
      <c r="C4" s="1011"/>
      <c r="D4" s="1018"/>
      <c r="E4" s="1010" t="s">
        <v>466</v>
      </c>
      <c r="F4" s="1010"/>
      <c r="G4" s="1010"/>
      <c r="H4" s="1019" t="s">
        <v>467</v>
      </c>
      <c r="I4" s="1023"/>
      <c r="J4" s="1023"/>
      <c r="K4" s="1023"/>
      <c r="L4" s="1020"/>
      <c r="M4" s="1010" t="s">
        <v>482</v>
      </c>
      <c r="N4" s="1010"/>
      <c r="O4" s="1019" t="s">
        <v>483</v>
      </c>
      <c r="P4" s="1023"/>
      <c r="Q4" s="1023"/>
      <c r="R4" s="1020"/>
      <c r="S4" s="1024" t="s">
        <v>747</v>
      </c>
    </row>
    <row r="5" spans="1:19" ht="47.25" customHeight="1" x14ac:dyDescent="0.2">
      <c r="A5" s="1011"/>
      <c r="B5" s="1015"/>
      <c r="C5" s="1011"/>
      <c r="D5" s="1018"/>
      <c r="E5" s="1021" t="s">
        <v>46</v>
      </c>
      <c r="F5" s="1019" t="s">
        <v>448</v>
      </c>
      <c r="G5" s="1020"/>
      <c r="H5" s="1021" t="s">
        <v>46</v>
      </c>
      <c r="I5" s="1011" t="s">
        <v>45</v>
      </c>
      <c r="J5" s="1011"/>
      <c r="K5" s="1010" t="s">
        <v>49</v>
      </c>
      <c r="L5" s="1010"/>
      <c r="M5" s="1011" t="s">
        <v>484</v>
      </c>
      <c r="N5" s="1010" t="s">
        <v>485</v>
      </c>
      <c r="O5" s="1010" t="s">
        <v>46</v>
      </c>
      <c r="P5" s="1008" t="s">
        <v>486</v>
      </c>
      <c r="Q5" s="1006" t="s">
        <v>50</v>
      </c>
      <c r="R5" s="1006" t="s">
        <v>487</v>
      </c>
      <c r="S5" s="1025"/>
    </row>
    <row r="6" spans="1:19" ht="36.75" customHeight="1" x14ac:dyDescent="0.2">
      <c r="A6" s="1011"/>
      <c r="B6" s="1016"/>
      <c r="C6" s="1011"/>
      <c r="D6" s="1007"/>
      <c r="E6" s="1022"/>
      <c r="F6" s="653" t="s">
        <v>51</v>
      </c>
      <c r="G6" s="654" t="s">
        <v>50</v>
      </c>
      <c r="H6" s="1022"/>
      <c r="I6" s="655" t="s">
        <v>486</v>
      </c>
      <c r="J6" s="656" t="s">
        <v>53</v>
      </c>
      <c r="K6" s="656" t="s">
        <v>51</v>
      </c>
      <c r="L6" s="654" t="s">
        <v>50</v>
      </c>
      <c r="M6" s="1011"/>
      <c r="N6" s="1010"/>
      <c r="O6" s="1010"/>
      <c r="P6" s="1009"/>
      <c r="Q6" s="1007"/>
      <c r="R6" s="1007"/>
      <c r="S6" s="1026"/>
    </row>
    <row r="7" spans="1:19" s="660" customFormat="1" ht="11.25" x14ac:dyDescent="0.2">
      <c r="A7" s="657">
        <v>1</v>
      </c>
      <c r="B7" s="657">
        <v>2</v>
      </c>
      <c r="C7" s="657">
        <v>3</v>
      </c>
      <c r="D7" s="658">
        <v>4</v>
      </c>
      <c r="E7" s="659">
        <v>5</v>
      </c>
      <c r="F7" s="659">
        <v>6</v>
      </c>
      <c r="G7" s="659">
        <v>7</v>
      </c>
      <c r="H7" s="659">
        <v>8</v>
      </c>
      <c r="I7" s="659">
        <v>9</v>
      </c>
      <c r="J7" s="659">
        <v>10</v>
      </c>
      <c r="K7" s="659">
        <v>11</v>
      </c>
      <c r="L7" s="659">
        <v>12</v>
      </c>
      <c r="M7" s="659">
        <v>13</v>
      </c>
      <c r="N7" s="659">
        <v>14</v>
      </c>
      <c r="O7" s="659">
        <v>15</v>
      </c>
      <c r="P7" s="659">
        <v>16</v>
      </c>
      <c r="Q7" s="659">
        <v>17</v>
      </c>
      <c r="R7" s="659">
        <v>18</v>
      </c>
      <c r="S7" s="659">
        <v>19</v>
      </c>
    </row>
    <row r="8" spans="1:19" s="660" customFormat="1" x14ac:dyDescent="0.2">
      <c r="A8" s="998" t="s">
        <v>44</v>
      </c>
      <c r="B8" s="998"/>
      <c r="C8" s="998"/>
      <c r="D8" s="661">
        <f>E8+H8+M8+N8+O8+S8</f>
        <v>5185533</v>
      </c>
      <c r="E8" s="661">
        <f t="shared" ref="E8:S8" si="0">E9+E10</f>
        <v>151672</v>
      </c>
      <c r="F8" s="661">
        <f t="shared" si="0"/>
        <v>7690</v>
      </c>
      <c r="G8" s="661">
        <f t="shared" si="0"/>
        <v>143982</v>
      </c>
      <c r="H8" s="661">
        <f>H9+H10</f>
        <v>3992192</v>
      </c>
      <c r="I8" s="661">
        <f t="shared" si="0"/>
        <v>36468</v>
      </c>
      <c r="J8" s="661">
        <f t="shared" si="0"/>
        <v>375439</v>
      </c>
      <c r="K8" s="661">
        <f>K9+K10</f>
        <v>411687</v>
      </c>
      <c r="L8" s="661">
        <f t="shared" si="0"/>
        <v>3020159</v>
      </c>
      <c r="M8" s="661">
        <f t="shared" si="0"/>
        <v>49200</v>
      </c>
      <c r="N8" s="661">
        <f t="shared" si="0"/>
        <v>21072</v>
      </c>
      <c r="O8" s="661">
        <f t="shared" si="0"/>
        <v>948805</v>
      </c>
      <c r="P8" s="661">
        <f t="shared" si="0"/>
        <v>6965</v>
      </c>
      <c r="Q8" s="661">
        <f t="shared" si="0"/>
        <v>941840</v>
      </c>
      <c r="R8" s="661">
        <f t="shared" si="0"/>
        <v>330</v>
      </c>
      <c r="S8" s="661">
        <f t="shared" si="0"/>
        <v>22592</v>
      </c>
    </row>
    <row r="9" spans="1:19" s="660" customFormat="1" ht="12" customHeight="1" x14ac:dyDescent="0.2">
      <c r="A9" s="999" t="s">
        <v>14</v>
      </c>
      <c r="B9" s="1000"/>
      <c r="C9" s="1001"/>
      <c r="D9" s="659">
        <f>H9+M9+N9+O9+S9</f>
        <v>149867</v>
      </c>
      <c r="E9" s="659">
        <f>F9+G9</f>
        <v>0</v>
      </c>
      <c r="F9" s="659">
        <v>0</v>
      </c>
      <c r="G9" s="659">
        <v>0</v>
      </c>
      <c r="H9" s="659">
        <f>144439+4000</f>
        <v>148439</v>
      </c>
      <c r="I9" s="659">
        <f>'[19]Раз.пос.(Пр.3-26)     '!I9+'[19]Уточнение для Пр.5-26'!I9</f>
        <v>0</v>
      </c>
      <c r="J9" s="659">
        <f>'[19]Раз.пос.(Пр.3-26)     '!J9+'[19]Уточнение для Пр.5-26'!J9</f>
        <v>0</v>
      </c>
      <c r="K9" s="659">
        <f>'[19]Раз.пос.(Пр.3-26)     '!K9+'[19]Уточнение для Пр.5-26'!K9</f>
        <v>0</v>
      </c>
      <c r="L9" s="659">
        <f>'[19]Раз.пос.(Пр.3-26)     '!L9+'[19]Уточнение для Пр.5-26'!L9</f>
        <v>0</v>
      </c>
      <c r="M9" s="659">
        <v>0</v>
      </c>
      <c r="N9" s="659">
        <v>0</v>
      </c>
      <c r="O9" s="659">
        <f>P9+Q9</f>
        <v>0</v>
      </c>
      <c r="P9" s="659">
        <f>'[19]Раз.пос.(Пр.3-26)     '!P9+'[19]Уточнение для Пр.5-26'!P9</f>
        <v>0</v>
      </c>
      <c r="Q9" s="659">
        <v>0</v>
      </c>
      <c r="R9" s="659">
        <f>'[19]Раз.пос.(Пр.3-26)     '!R9+'[19]Уточнение для Пр.5-26'!R9</f>
        <v>0</v>
      </c>
      <c r="S9" s="659">
        <f>'[19]Раз.пос.(Пр.3-26)     '!S9+'[19]Уточнение для Пр.5-26'!S9</f>
        <v>1428</v>
      </c>
    </row>
    <row r="10" spans="1:19" s="660" customFormat="1" ht="12" customHeight="1" x14ac:dyDescent="0.2">
      <c r="A10" s="999" t="s">
        <v>15</v>
      </c>
      <c r="B10" s="1000"/>
      <c r="C10" s="1001"/>
      <c r="D10" s="661">
        <f>SUM(D11:D142)-D91-D36-D74-D75-D77-D78-D79-D84-D87</f>
        <v>5035666</v>
      </c>
      <c r="E10" s="661">
        <f t="shared" ref="E10:S10" si="1">SUM(E11:E142)-E91-E36-E74-E75-E77-E78-E79-E84-E87</f>
        <v>151672</v>
      </c>
      <c r="F10" s="661">
        <f t="shared" si="1"/>
        <v>7690</v>
      </c>
      <c r="G10" s="661">
        <f t="shared" si="1"/>
        <v>143982</v>
      </c>
      <c r="H10" s="661">
        <f t="shared" si="1"/>
        <v>3843753</v>
      </c>
      <c r="I10" s="661">
        <f t="shared" si="1"/>
        <v>36468</v>
      </c>
      <c r="J10" s="661">
        <f t="shared" si="1"/>
        <v>375439</v>
      </c>
      <c r="K10" s="661">
        <f t="shared" si="1"/>
        <v>411687</v>
      </c>
      <c r="L10" s="661">
        <f t="shared" si="1"/>
        <v>3020159</v>
      </c>
      <c r="M10" s="661">
        <f t="shared" si="1"/>
        <v>49200</v>
      </c>
      <c r="N10" s="661">
        <f t="shared" si="1"/>
        <v>21072</v>
      </c>
      <c r="O10" s="661">
        <f t="shared" si="1"/>
        <v>948805</v>
      </c>
      <c r="P10" s="661">
        <f t="shared" si="1"/>
        <v>6965</v>
      </c>
      <c r="Q10" s="661">
        <f t="shared" si="1"/>
        <v>941840</v>
      </c>
      <c r="R10" s="661">
        <f t="shared" si="1"/>
        <v>330</v>
      </c>
      <c r="S10" s="661">
        <f t="shared" si="1"/>
        <v>21164</v>
      </c>
    </row>
    <row r="11" spans="1:19" x14ac:dyDescent="0.2">
      <c r="A11" s="161">
        <v>1</v>
      </c>
      <c r="B11" s="49" t="s">
        <v>54</v>
      </c>
      <c r="C11" s="50" t="s">
        <v>55</v>
      </c>
      <c r="D11" s="659">
        <f>E11+H11+M11+N11+O11+S11</f>
        <v>17842</v>
      </c>
      <c r="E11" s="662">
        <f>F11+G11</f>
        <v>0</v>
      </c>
      <c r="F11" s="662">
        <v>0</v>
      </c>
      <c r="G11" s="662">
        <v>0</v>
      </c>
      <c r="H11" s="662">
        <f>SUM(I11:L11)</f>
        <v>16378</v>
      </c>
      <c r="I11" s="663">
        <v>0</v>
      </c>
      <c r="J11" s="662">
        <v>1348</v>
      </c>
      <c r="K11" s="662">
        <v>2406</v>
      </c>
      <c r="L11" s="662">
        <v>12624</v>
      </c>
      <c r="M11" s="662">
        <v>1025</v>
      </c>
      <c r="N11" s="662">
        <v>439</v>
      </c>
      <c r="O11" s="659">
        <f>P11+Q11</f>
        <v>0</v>
      </c>
      <c r="P11" s="662">
        <v>0</v>
      </c>
      <c r="Q11" s="662">
        <v>0</v>
      </c>
      <c r="R11" s="662">
        <v>0</v>
      </c>
      <c r="S11" s="662">
        <f>'[19]Раз.пос.(Пр.3-26)     '!S11+'[19]Уточнение для Пр.5-26'!S11</f>
        <v>0</v>
      </c>
    </row>
    <row r="12" spans="1:19" x14ac:dyDescent="0.2">
      <c r="A12" s="161">
        <v>2</v>
      </c>
      <c r="B12" s="52" t="s">
        <v>56</v>
      </c>
      <c r="C12" s="50" t="s">
        <v>57</v>
      </c>
      <c r="D12" s="659">
        <f>E12+H12+M12+N12+O12+S12</f>
        <v>18693</v>
      </c>
      <c r="E12" s="662">
        <f t="shared" ref="E12:E75" si="2">F12+G12</f>
        <v>0</v>
      </c>
      <c r="F12" s="662">
        <v>0</v>
      </c>
      <c r="G12" s="662">
        <v>0</v>
      </c>
      <c r="H12" s="662">
        <f t="shared" ref="H12:H75" si="3">SUM(I12:L12)</f>
        <v>17229</v>
      </c>
      <c r="I12" s="663">
        <v>0</v>
      </c>
      <c r="J12" s="662">
        <v>1515</v>
      </c>
      <c r="K12" s="662">
        <v>2065</v>
      </c>
      <c r="L12" s="662">
        <v>13649</v>
      </c>
      <c r="M12" s="662">
        <v>1025</v>
      </c>
      <c r="N12" s="662">
        <v>439</v>
      </c>
      <c r="O12" s="659">
        <f t="shared" ref="O12:O75" si="4">P12+Q12</f>
        <v>0</v>
      </c>
      <c r="P12" s="662">
        <v>0</v>
      </c>
      <c r="Q12" s="662">
        <v>0</v>
      </c>
      <c r="R12" s="662">
        <v>0</v>
      </c>
      <c r="S12" s="662">
        <f>'[19]Раз.пос.(Пр.3-26)     '!S12+'[19]Уточнение для Пр.5-26'!S12</f>
        <v>0</v>
      </c>
    </row>
    <row r="13" spans="1:19" x14ac:dyDescent="0.2">
      <c r="A13" s="161">
        <v>3</v>
      </c>
      <c r="B13" s="167" t="s">
        <v>16</v>
      </c>
      <c r="C13" s="50" t="s">
        <v>17</v>
      </c>
      <c r="D13" s="659">
        <f t="shared" ref="D13:D76" si="5">E13+H13+M13+N13+O13+S13</f>
        <v>44514</v>
      </c>
      <c r="E13" s="662">
        <f t="shared" si="2"/>
        <v>0</v>
      </c>
      <c r="F13" s="662">
        <v>0</v>
      </c>
      <c r="G13" s="662">
        <v>0</v>
      </c>
      <c r="H13" s="662">
        <f t="shared" si="3"/>
        <v>43050</v>
      </c>
      <c r="I13" s="663">
        <v>0</v>
      </c>
      <c r="J13" s="662">
        <v>2248</v>
      </c>
      <c r="K13" s="662">
        <v>10506</v>
      </c>
      <c r="L13" s="662">
        <v>30296</v>
      </c>
      <c r="M13" s="662">
        <v>1025</v>
      </c>
      <c r="N13" s="662">
        <v>439</v>
      </c>
      <c r="O13" s="659">
        <f t="shared" si="4"/>
        <v>0</v>
      </c>
      <c r="P13" s="662">
        <v>0</v>
      </c>
      <c r="Q13" s="662">
        <v>0</v>
      </c>
      <c r="R13" s="662">
        <v>0</v>
      </c>
      <c r="S13" s="662">
        <f>'[19]Раз.пос.(Пр.3-26)     '!S13+'[19]Уточнение для Пр.5-26'!S13</f>
        <v>0</v>
      </c>
    </row>
    <row r="14" spans="1:19" x14ac:dyDescent="0.2">
      <c r="A14" s="161">
        <v>4</v>
      </c>
      <c r="B14" s="49" t="s">
        <v>58</v>
      </c>
      <c r="C14" s="50" t="s">
        <v>59</v>
      </c>
      <c r="D14" s="659">
        <f t="shared" si="5"/>
        <v>12539</v>
      </c>
      <c r="E14" s="662">
        <f t="shared" si="2"/>
        <v>0</v>
      </c>
      <c r="F14" s="662">
        <v>0</v>
      </c>
      <c r="G14" s="662">
        <v>0</v>
      </c>
      <c r="H14" s="662">
        <f t="shared" si="3"/>
        <v>12539</v>
      </c>
      <c r="I14" s="663">
        <v>0</v>
      </c>
      <c r="J14" s="662">
        <v>1850</v>
      </c>
      <c r="K14" s="662">
        <v>1906</v>
      </c>
      <c r="L14" s="662">
        <v>8783</v>
      </c>
      <c r="M14" s="662">
        <v>0</v>
      </c>
      <c r="N14" s="662">
        <v>0</v>
      </c>
      <c r="O14" s="659">
        <f t="shared" si="4"/>
        <v>0</v>
      </c>
      <c r="P14" s="662">
        <v>0</v>
      </c>
      <c r="Q14" s="662">
        <v>0</v>
      </c>
      <c r="R14" s="662">
        <v>0</v>
      </c>
      <c r="S14" s="662">
        <f>'[19]Раз.пос.(Пр.3-26)     '!S14+'[19]Уточнение для Пр.5-26'!S14</f>
        <v>0</v>
      </c>
    </row>
    <row r="15" spans="1:19" x14ac:dyDescent="0.2">
      <c r="A15" s="161">
        <v>5</v>
      </c>
      <c r="B15" s="49" t="s">
        <v>60</v>
      </c>
      <c r="C15" s="50" t="s">
        <v>61</v>
      </c>
      <c r="D15" s="659">
        <f t="shared" si="5"/>
        <v>14747</v>
      </c>
      <c r="E15" s="662">
        <f t="shared" si="2"/>
        <v>0</v>
      </c>
      <c r="F15" s="662">
        <v>0</v>
      </c>
      <c r="G15" s="662">
        <v>0</v>
      </c>
      <c r="H15" s="662">
        <f t="shared" si="3"/>
        <v>14747</v>
      </c>
      <c r="I15" s="663">
        <v>0</v>
      </c>
      <c r="J15" s="662">
        <v>3050</v>
      </c>
      <c r="K15" s="662">
        <v>2412</v>
      </c>
      <c r="L15" s="662">
        <v>9285</v>
      </c>
      <c r="M15" s="662">
        <v>0</v>
      </c>
      <c r="N15" s="662">
        <v>0</v>
      </c>
      <c r="O15" s="659">
        <f t="shared" si="4"/>
        <v>0</v>
      </c>
      <c r="P15" s="662">
        <v>0</v>
      </c>
      <c r="Q15" s="662">
        <v>0</v>
      </c>
      <c r="R15" s="662">
        <v>0</v>
      </c>
      <c r="S15" s="662">
        <f>'[19]Раз.пос.(Пр.3-26)     '!S15+'[19]Уточнение для Пр.5-26'!S15</f>
        <v>0</v>
      </c>
    </row>
    <row r="16" spans="1:19" x14ac:dyDescent="0.2">
      <c r="A16" s="161">
        <v>6</v>
      </c>
      <c r="B16" s="167" t="s">
        <v>18</v>
      </c>
      <c r="C16" s="50" t="s">
        <v>19</v>
      </c>
      <c r="D16" s="659">
        <f t="shared" si="5"/>
        <v>120641</v>
      </c>
      <c r="E16" s="662">
        <f t="shared" si="2"/>
        <v>0</v>
      </c>
      <c r="F16" s="662">
        <v>0</v>
      </c>
      <c r="G16" s="662">
        <v>0</v>
      </c>
      <c r="H16" s="662">
        <f t="shared" si="3"/>
        <v>119177</v>
      </c>
      <c r="I16" s="663">
        <v>0</v>
      </c>
      <c r="J16" s="662">
        <v>14573</v>
      </c>
      <c r="K16" s="662">
        <v>6607</v>
      </c>
      <c r="L16" s="662">
        <v>97997</v>
      </c>
      <c r="M16" s="662">
        <v>1025</v>
      </c>
      <c r="N16" s="662">
        <v>439</v>
      </c>
      <c r="O16" s="659">
        <f t="shared" si="4"/>
        <v>0</v>
      </c>
      <c r="P16" s="662">
        <v>0</v>
      </c>
      <c r="Q16" s="662">
        <v>0</v>
      </c>
      <c r="R16" s="662">
        <v>0</v>
      </c>
      <c r="S16" s="662">
        <f>'[19]Раз.пос.(Пр.3-26)     '!S16+'[19]Уточнение для Пр.5-26'!S16</f>
        <v>0</v>
      </c>
    </row>
    <row r="17" spans="1:19" x14ac:dyDescent="0.2">
      <c r="A17" s="161">
        <v>7</v>
      </c>
      <c r="B17" s="49" t="s">
        <v>62</v>
      </c>
      <c r="C17" s="50" t="s">
        <v>63</v>
      </c>
      <c r="D17" s="659">
        <f t="shared" si="5"/>
        <v>55682</v>
      </c>
      <c r="E17" s="662">
        <f t="shared" si="2"/>
        <v>0</v>
      </c>
      <c r="F17" s="662">
        <v>0</v>
      </c>
      <c r="G17" s="662">
        <v>0</v>
      </c>
      <c r="H17" s="662">
        <f t="shared" si="3"/>
        <v>54078</v>
      </c>
      <c r="I17" s="663">
        <v>1373</v>
      </c>
      <c r="J17" s="662">
        <v>9140</v>
      </c>
      <c r="K17" s="662">
        <v>6568</v>
      </c>
      <c r="L17" s="662">
        <v>36997</v>
      </c>
      <c r="M17" s="662">
        <v>1025</v>
      </c>
      <c r="N17" s="662">
        <v>439</v>
      </c>
      <c r="O17" s="659">
        <f t="shared" si="4"/>
        <v>140</v>
      </c>
      <c r="P17" s="662">
        <v>0</v>
      </c>
      <c r="Q17" s="662">
        <v>140</v>
      </c>
      <c r="R17" s="662">
        <v>0</v>
      </c>
      <c r="S17" s="662">
        <f>'[19]Раз.пос.(Пр.3-26)     '!S17+'[19]Уточнение для Пр.5-26'!S17</f>
        <v>0</v>
      </c>
    </row>
    <row r="18" spans="1:19" x14ac:dyDescent="0.2">
      <c r="A18" s="161">
        <v>8</v>
      </c>
      <c r="B18" s="167" t="s">
        <v>64</v>
      </c>
      <c r="C18" s="50" t="s">
        <v>65</v>
      </c>
      <c r="D18" s="659">
        <f t="shared" si="5"/>
        <v>15025</v>
      </c>
      <c r="E18" s="662">
        <f t="shared" si="2"/>
        <v>0</v>
      </c>
      <c r="F18" s="662">
        <v>0</v>
      </c>
      <c r="G18" s="662">
        <v>0</v>
      </c>
      <c r="H18" s="662">
        <f t="shared" si="3"/>
        <v>15025</v>
      </c>
      <c r="I18" s="663">
        <v>0</v>
      </c>
      <c r="J18" s="662">
        <v>2631</v>
      </c>
      <c r="K18" s="662">
        <v>2238</v>
      </c>
      <c r="L18" s="662">
        <v>10156</v>
      </c>
      <c r="M18" s="662">
        <v>0</v>
      </c>
      <c r="N18" s="662">
        <v>0</v>
      </c>
      <c r="O18" s="659">
        <f t="shared" si="4"/>
        <v>0</v>
      </c>
      <c r="P18" s="662">
        <v>0</v>
      </c>
      <c r="Q18" s="662">
        <v>0</v>
      </c>
      <c r="R18" s="662">
        <v>0</v>
      </c>
      <c r="S18" s="662">
        <f>'[19]Раз.пос.(Пр.3-26)     '!S18+'[19]Уточнение для Пр.5-26'!S18</f>
        <v>0</v>
      </c>
    </row>
    <row r="19" spans="1:19" x14ac:dyDescent="0.2">
      <c r="A19" s="161">
        <v>9</v>
      </c>
      <c r="B19" s="167" t="s">
        <v>66</v>
      </c>
      <c r="C19" s="50" t="s">
        <v>67</v>
      </c>
      <c r="D19" s="659">
        <f t="shared" si="5"/>
        <v>20139</v>
      </c>
      <c r="E19" s="662">
        <f t="shared" si="2"/>
        <v>0</v>
      </c>
      <c r="F19" s="662">
        <v>0</v>
      </c>
      <c r="G19" s="662">
        <v>0</v>
      </c>
      <c r="H19" s="662">
        <f t="shared" si="3"/>
        <v>18675</v>
      </c>
      <c r="I19" s="663">
        <v>0</v>
      </c>
      <c r="J19" s="662">
        <v>1427</v>
      </c>
      <c r="K19" s="662">
        <v>3738</v>
      </c>
      <c r="L19" s="662">
        <v>13510</v>
      </c>
      <c r="M19" s="662">
        <v>1025</v>
      </c>
      <c r="N19" s="662">
        <v>439</v>
      </c>
      <c r="O19" s="659">
        <f t="shared" si="4"/>
        <v>0</v>
      </c>
      <c r="P19" s="662">
        <v>0</v>
      </c>
      <c r="Q19" s="662">
        <v>0</v>
      </c>
      <c r="R19" s="662">
        <v>0</v>
      </c>
      <c r="S19" s="662">
        <f>'[19]Раз.пос.(Пр.3-26)     '!S19+'[19]Уточнение для Пр.5-26'!S19</f>
        <v>0</v>
      </c>
    </row>
    <row r="20" spans="1:19" x14ac:dyDescent="0.2">
      <c r="A20" s="161">
        <v>10</v>
      </c>
      <c r="B20" s="167" t="s">
        <v>68</v>
      </c>
      <c r="C20" s="50" t="s">
        <v>69</v>
      </c>
      <c r="D20" s="659">
        <f t="shared" si="5"/>
        <v>18963</v>
      </c>
      <c r="E20" s="662">
        <f t="shared" si="2"/>
        <v>0</v>
      </c>
      <c r="F20" s="662">
        <v>0</v>
      </c>
      <c r="G20" s="662">
        <v>0</v>
      </c>
      <c r="H20" s="662">
        <f t="shared" si="3"/>
        <v>18963</v>
      </c>
      <c r="I20" s="663">
        <v>0</v>
      </c>
      <c r="J20" s="662">
        <v>530</v>
      </c>
      <c r="K20" s="662">
        <v>1575</v>
      </c>
      <c r="L20" s="662">
        <v>16858</v>
      </c>
      <c r="M20" s="662">
        <v>0</v>
      </c>
      <c r="N20" s="662">
        <v>0</v>
      </c>
      <c r="O20" s="659">
        <f t="shared" si="4"/>
        <v>0</v>
      </c>
      <c r="P20" s="662">
        <v>0</v>
      </c>
      <c r="Q20" s="662">
        <v>0</v>
      </c>
      <c r="R20" s="662">
        <v>0</v>
      </c>
      <c r="S20" s="662">
        <f>'[19]Раз.пос.(Пр.3-26)     '!S20+'[19]Уточнение для Пр.5-26'!S20</f>
        <v>0</v>
      </c>
    </row>
    <row r="21" spans="1:19" x14ac:dyDescent="0.2">
      <c r="A21" s="161">
        <v>11</v>
      </c>
      <c r="B21" s="167" t="s">
        <v>70</v>
      </c>
      <c r="C21" s="50" t="s">
        <v>71</v>
      </c>
      <c r="D21" s="659">
        <f t="shared" si="5"/>
        <v>12965</v>
      </c>
      <c r="E21" s="662">
        <f t="shared" si="2"/>
        <v>0</v>
      </c>
      <c r="F21" s="662">
        <v>0</v>
      </c>
      <c r="G21" s="662">
        <v>0</v>
      </c>
      <c r="H21" s="662">
        <f t="shared" si="3"/>
        <v>12965</v>
      </c>
      <c r="I21" s="663">
        <v>0</v>
      </c>
      <c r="J21" s="662">
        <v>2886</v>
      </c>
      <c r="K21" s="662">
        <v>1123</v>
      </c>
      <c r="L21" s="662">
        <v>8956</v>
      </c>
      <c r="M21" s="662">
        <v>0</v>
      </c>
      <c r="N21" s="662">
        <v>0</v>
      </c>
      <c r="O21" s="659">
        <f t="shared" si="4"/>
        <v>0</v>
      </c>
      <c r="P21" s="662">
        <v>0</v>
      </c>
      <c r="Q21" s="662">
        <v>0</v>
      </c>
      <c r="R21" s="662">
        <v>0</v>
      </c>
      <c r="S21" s="662">
        <f>'[19]Раз.пос.(Пр.3-26)     '!S21+'[19]Уточнение для Пр.5-26'!S21</f>
        <v>0</v>
      </c>
    </row>
    <row r="22" spans="1:19" x14ac:dyDescent="0.2">
      <c r="A22" s="161">
        <v>12</v>
      </c>
      <c r="B22" s="167" t="s">
        <v>72</v>
      </c>
      <c r="C22" s="50" t="s">
        <v>73</v>
      </c>
      <c r="D22" s="659">
        <f t="shared" si="5"/>
        <v>51025</v>
      </c>
      <c r="E22" s="662">
        <f t="shared" si="2"/>
        <v>0</v>
      </c>
      <c r="F22" s="662">
        <v>0</v>
      </c>
      <c r="G22" s="662">
        <v>0</v>
      </c>
      <c r="H22" s="662">
        <f t="shared" si="3"/>
        <v>49561</v>
      </c>
      <c r="I22" s="663">
        <v>0</v>
      </c>
      <c r="J22" s="662">
        <v>6000</v>
      </c>
      <c r="K22" s="662">
        <v>3766</v>
      </c>
      <c r="L22" s="662">
        <v>39795</v>
      </c>
      <c r="M22" s="662">
        <v>1025</v>
      </c>
      <c r="N22" s="662">
        <v>439</v>
      </c>
      <c r="O22" s="659">
        <f t="shared" si="4"/>
        <v>0</v>
      </c>
      <c r="P22" s="662">
        <v>0</v>
      </c>
      <c r="Q22" s="662">
        <v>0</v>
      </c>
      <c r="R22" s="662">
        <v>0</v>
      </c>
      <c r="S22" s="662">
        <f>'[19]Раз.пос.(Пр.3-26)     '!S22+'[19]Уточнение для Пр.5-26'!S22</f>
        <v>0</v>
      </c>
    </row>
    <row r="23" spans="1:19" x14ac:dyDescent="0.2">
      <c r="A23" s="161">
        <v>13</v>
      </c>
      <c r="B23" s="167" t="s">
        <v>74</v>
      </c>
      <c r="C23" s="50" t="s">
        <v>75</v>
      </c>
      <c r="D23" s="659">
        <f t="shared" si="5"/>
        <v>0</v>
      </c>
      <c r="E23" s="662">
        <f t="shared" si="2"/>
        <v>0</v>
      </c>
      <c r="F23" s="662">
        <v>0</v>
      </c>
      <c r="G23" s="662">
        <v>0</v>
      </c>
      <c r="H23" s="662">
        <f t="shared" si="3"/>
        <v>0</v>
      </c>
      <c r="I23" s="663">
        <v>0</v>
      </c>
      <c r="J23" s="662">
        <v>0</v>
      </c>
      <c r="K23" s="662">
        <v>0</v>
      </c>
      <c r="L23" s="662">
        <v>0</v>
      </c>
      <c r="M23" s="662">
        <v>0</v>
      </c>
      <c r="N23" s="662">
        <v>0</v>
      </c>
      <c r="O23" s="659">
        <f t="shared" si="4"/>
        <v>0</v>
      </c>
      <c r="P23" s="662">
        <v>0</v>
      </c>
      <c r="Q23" s="662">
        <v>0</v>
      </c>
      <c r="R23" s="662">
        <v>0</v>
      </c>
      <c r="S23" s="662">
        <f>'[19]Раз.пос.(Пр.3-26)     '!S23+'[19]Уточнение для Пр.5-26'!S23</f>
        <v>0</v>
      </c>
    </row>
    <row r="24" spans="1:19" x14ac:dyDescent="0.2">
      <c r="A24" s="161">
        <v>14</v>
      </c>
      <c r="B24" s="167" t="s">
        <v>76</v>
      </c>
      <c r="C24" s="50" t="s">
        <v>77</v>
      </c>
      <c r="D24" s="659">
        <f t="shared" si="5"/>
        <v>17819</v>
      </c>
      <c r="E24" s="662">
        <f t="shared" si="2"/>
        <v>0</v>
      </c>
      <c r="F24" s="662">
        <v>0</v>
      </c>
      <c r="G24" s="662">
        <v>0</v>
      </c>
      <c r="H24" s="662">
        <f t="shared" si="3"/>
        <v>17819</v>
      </c>
      <c r="I24" s="663">
        <v>0</v>
      </c>
      <c r="J24" s="662">
        <v>902</v>
      </c>
      <c r="K24" s="662">
        <v>1088</v>
      </c>
      <c r="L24" s="662">
        <v>15829</v>
      </c>
      <c r="M24" s="662">
        <v>0</v>
      </c>
      <c r="N24" s="662">
        <v>0</v>
      </c>
      <c r="O24" s="659">
        <f t="shared" si="4"/>
        <v>0</v>
      </c>
      <c r="P24" s="662">
        <v>0</v>
      </c>
      <c r="Q24" s="662">
        <v>0</v>
      </c>
      <c r="R24" s="662">
        <v>0</v>
      </c>
      <c r="S24" s="662">
        <f>'[19]Раз.пос.(Пр.3-26)     '!S24+'[19]Уточнение для Пр.5-26'!S24</f>
        <v>0</v>
      </c>
    </row>
    <row r="25" spans="1:19" x14ac:dyDescent="0.2">
      <c r="A25" s="161">
        <v>15</v>
      </c>
      <c r="B25" s="167" t="s">
        <v>78</v>
      </c>
      <c r="C25" s="50" t="s">
        <v>79</v>
      </c>
      <c r="D25" s="659">
        <f t="shared" si="5"/>
        <v>37188</v>
      </c>
      <c r="E25" s="662">
        <f t="shared" si="2"/>
        <v>0</v>
      </c>
      <c r="F25" s="662">
        <v>0</v>
      </c>
      <c r="G25" s="662">
        <v>0</v>
      </c>
      <c r="H25" s="662">
        <f t="shared" si="3"/>
        <v>35724</v>
      </c>
      <c r="I25" s="663">
        <v>0</v>
      </c>
      <c r="J25" s="662">
        <v>3905</v>
      </c>
      <c r="K25" s="662">
        <v>7165</v>
      </c>
      <c r="L25" s="662">
        <v>24654</v>
      </c>
      <c r="M25" s="662">
        <v>1025</v>
      </c>
      <c r="N25" s="662">
        <v>439</v>
      </c>
      <c r="O25" s="659">
        <f t="shared" si="4"/>
        <v>0</v>
      </c>
      <c r="P25" s="662">
        <v>0</v>
      </c>
      <c r="Q25" s="662">
        <v>0</v>
      </c>
      <c r="R25" s="662">
        <v>0</v>
      </c>
      <c r="S25" s="662">
        <f>'[19]Раз.пос.(Пр.3-26)     '!S25+'[19]Уточнение для Пр.5-26'!S25</f>
        <v>0</v>
      </c>
    </row>
    <row r="26" spans="1:19" x14ac:dyDescent="0.2">
      <c r="A26" s="161">
        <v>16</v>
      </c>
      <c r="B26" s="167" t="s">
        <v>80</v>
      </c>
      <c r="C26" s="50" t="s">
        <v>81</v>
      </c>
      <c r="D26" s="659">
        <f t="shared" si="5"/>
        <v>51194</v>
      </c>
      <c r="E26" s="662">
        <f t="shared" si="2"/>
        <v>0</v>
      </c>
      <c r="F26" s="662">
        <v>0</v>
      </c>
      <c r="G26" s="662">
        <v>0</v>
      </c>
      <c r="H26" s="662">
        <f t="shared" si="3"/>
        <v>51194</v>
      </c>
      <c r="I26" s="663">
        <v>0</v>
      </c>
      <c r="J26" s="662">
        <v>4200</v>
      </c>
      <c r="K26" s="662">
        <v>5195</v>
      </c>
      <c r="L26" s="662">
        <v>41799</v>
      </c>
      <c r="M26" s="662">
        <v>0</v>
      </c>
      <c r="N26" s="662">
        <v>0</v>
      </c>
      <c r="O26" s="659">
        <f t="shared" si="4"/>
        <v>0</v>
      </c>
      <c r="P26" s="662">
        <v>0</v>
      </c>
      <c r="Q26" s="662">
        <v>0</v>
      </c>
      <c r="R26" s="662">
        <v>0</v>
      </c>
      <c r="S26" s="662">
        <f>'[19]Раз.пос.(Пр.3-26)     '!S26+'[19]Уточнение для Пр.5-26'!S26</f>
        <v>0</v>
      </c>
    </row>
    <row r="27" spans="1:19" x14ac:dyDescent="0.2">
      <c r="A27" s="161">
        <v>17</v>
      </c>
      <c r="B27" s="167" t="s">
        <v>20</v>
      </c>
      <c r="C27" s="50" t="s">
        <v>21</v>
      </c>
      <c r="D27" s="659">
        <f t="shared" si="5"/>
        <v>71220</v>
      </c>
      <c r="E27" s="662">
        <f t="shared" si="2"/>
        <v>0</v>
      </c>
      <c r="F27" s="662">
        <v>0</v>
      </c>
      <c r="G27" s="662">
        <v>0</v>
      </c>
      <c r="H27" s="662">
        <f t="shared" si="3"/>
        <v>69756</v>
      </c>
      <c r="I27" s="663">
        <v>100</v>
      </c>
      <c r="J27" s="662">
        <v>4100</v>
      </c>
      <c r="K27" s="662">
        <v>7431</v>
      </c>
      <c r="L27" s="662">
        <v>58125</v>
      </c>
      <c r="M27" s="662">
        <v>1025</v>
      </c>
      <c r="N27" s="662">
        <v>439</v>
      </c>
      <c r="O27" s="659">
        <f t="shared" si="4"/>
        <v>0</v>
      </c>
      <c r="P27" s="662">
        <v>0</v>
      </c>
      <c r="Q27" s="662">
        <v>0</v>
      </c>
      <c r="R27" s="662">
        <v>0</v>
      </c>
      <c r="S27" s="662">
        <f>'[19]Раз.пос.(Пр.3-26)     '!S27+'[19]Уточнение для Пр.5-26'!S27</f>
        <v>0</v>
      </c>
    </row>
    <row r="28" spans="1:19" x14ac:dyDescent="0.2">
      <c r="A28" s="161">
        <v>18</v>
      </c>
      <c r="B28" s="49" t="s">
        <v>82</v>
      </c>
      <c r="C28" s="50" t="s">
        <v>83</v>
      </c>
      <c r="D28" s="659">
        <f t="shared" si="5"/>
        <v>18099</v>
      </c>
      <c r="E28" s="662">
        <f t="shared" si="2"/>
        <v>0</v>
      </c>
      <c r="F28" s="662">
        <v>0</v>
      </c>
      <c r="G28" s="662">
        <v>0</v>
      </c>
      <c r="H28" s="662">
        <f t="shared" si="3"/>
        <v>18099</v>
      </c>
      <c r="I28" s="663">
        <v>0</v>
      </c>
      <c r="J28" s="662">
        <v>2400</v>
      </c>
      <c r="K28" s="662">
        <v>0</v>
      </c>
      <c r="L28" s="662">
        <v>15699</v>
      </c>
      <c r="M28" s="662">
        <v>0</v>
      </c>
      <c r="N28" s="662">
        <v>0</v>
      </c>
      <c r="O28" s="659">
        <f t="shared" si="4"/>
        <v>0</v>
      </c>
      <c r="P28" s="662">
        <v>0</v>
      </c>
      <c r="Q28" s="662">
        <v>0</v>
      </c>
      <c r="R28" s="662">
        <v>0</v>
      </c>
      <c r="S28" s="662">
        <f>'[19]Раз.пос.(Пр.3-26)     '!S28+'[19]Уточнение для Пр.5-26'!S28</f>
        <v>0</v>
      </c>
    </row>
    <row r="29" spans="1:19" x14ac:dyDescent="0.2">
      <c r="A29" s="161">
        <v>19</v>
      </c>
      <c r="B29" s="49" t="s">
        <v>84</v>
      </c>
      <c r="C29" s="50" t="s">
        <v>85</v>
      </c>
      <c r="D29" s="659">
        <f t="shared" si="5"/>
        <v>9724</v>
      </c>
      <c r="E29" s="662">
        <f t="shared" si="2"/>
        <v>0</v>
      </c>
      <c r="F29" s="662">
        <v>0</v>
      </c>
      <c r="G29" s="662">
        <v>0</v>
      </c>
      <c r="H29" s="662">
        <f t="shared" si="3"/>
        <v>9724</v>
      </c>
      <c r="I29" s="663">
        <v>0</v>
      </c>
      <c r="J29" s="662">
        <v>468</v>
      </c>
      <c r="K29" s="662">
        <v>1143</v>
      </c>
      <c r="L29" s="662">
        <v>8113</v>
      </c>
      <c r="M29" s="662">
        <v>0</v>
      </c>
      <c r="N29" s="662">
        <v>0</v>
      </c>
      <c r="O29" s="659">
        <f t="shared" si="4"/>
        <v>0</v>
      </c>
      <c r="P29" s="662">
        <v>0</v>
      </c>
      <c r="Q29" s="662">
        <v>0</v>
      </c>
      <c r="R29" s="662">
        <v>0</v>
      </c>
      <c r="S29" s="662">
        <f>'[19]Раз.пос.(Пр.3-26)     '!S29+'[19]Уточнение для Пр.5-26'!S29</f>
        <v>0</v>
      </c>
    </row>
    <row r="30" spans="1:19" x14ac:dyDescent="0.2">
      <c r="A30" s="161">
        <v>20</v>
      </c>
      <c r="B30" s="49" t="s">
        <v>86</v>
      </c>
      <c r="C30" s="50" t="s">
        <v>87</v>
      </c>
      <c r="D30" s="659">
        <f t="shared" si="5"/>
        <v>60446</v>
      </c>
      <c r="E30" s="662">
        <f t="shared" si="2"/>
        <v>0</v>
      </c>
      <c r="F30" s="662">
        <v>0</v>
      </c>
      <c r="G30" s="662">
        <v>0</v>
      </c>
      <c r="H30" s="662">
        <f t="shared" si="3"/>
        <v>58982</v>
      </c>
      <c r="I30" s="663">
        <v>900</v>
      </c>
      <c r="J30" s="662">
        <v>4896</v>
      </c>
      <c r="K30" s="662">
        <v>6211</v>
      </c>
      <c r="L30" s="662">
        <v>46975</v>
      </c>
      <c r="M30" s="662">
        <v>1025</v>
      </c>
      <c r="N30" s="662">
        <v>439</v>
      </c>
      <c r="O30" s="659">
        <f t="shared" si="4"/>
        <v>0</v>
      </c>
      <c r="P30" s="662">
        <v>0</v>
      </c>
      <c r="Q30" s="662">
        <v>0</v>
      </c>
      <c r="R30" s="662">
        <v>0</v>
      </c>
      <c r="S30" s="662">
        <f>'[19]Раз.пос.(Пр.3-26)     '!S30+'[19]Уточнение для Пр.5-26'!S30</f>
        <v>0</v>
      </c>
    </row>
    <row r="31" spans="1:19" x14ac:dyDescent="0.2">
      <c r="A31" s="161">
        <v>21</v>
      </c>
      <c r="B31" s="49" t="s">
        <v>22</v>
      </c>
      <c r="C31" s="50" t="s">
        <v>23</v>
      </c>
      <c r="D31" s="659">
        <f t="shared" si="5"/>
        <v>72190</v>
      </c>
      <c r="E31" s="662">
        <f t="shared" si="2"/>
        <v>0</v>
      </c>
      <c r="F31" s="662">
        <v>0</v>
      </c>
      <c r="G31" s="662">
        <v>0</v>
      </c>
      <c r="H31" s="662">
        <f t="shared" si="3"/>
        <v>70148</v>
      </c>
      <c r="I31" s="663">
        <v>0</v>
      </c>
      <c r="J31" s="662">
        <v>5715</v>
      </c>
      <c r="K31" s="662">
        <v>5245</v>
      </c>
      <c r="L31" s="662">
        <v>59188</v>
      </c>
      <c r="M31" s="662">
        <v>1025</v>
      </c>
      <c r="N31" s="662">
        <v>439</v>
      </c>
      <c r="O31" s="659">
        <f t="shared" si="4"/>
        <v>578</v>
      </c>
      <c r="P31" s="662">
        <v>0</v>
      </c>
      <c r="Q31" s="662">
        <v>578</v>
      </c>
      <c r="R31" s="662">
        <v>0</v>
      </c>
      <c r="S31" s="662">
        <f>'[19]Раз.пос.(Пр.3-26)     '!S31+'[19]Уточнение для Пр.5-26'!S31</f>
        <v>0</v>
      </c>
    </row>
    <row r="32" spans="1:19" x14ac:dyDescent="0.2">
      <c r="A32" s="161">
        <v>22</v>
      </c>
      <c r="B32" s="167" t="s">
        <v>24</v>
      </c>
      <c r="C32" s="50" t="s">
        <v>25</v>
      </c>
      <c r="D32" s="659">
        <f t="shared" si="5"/>
        <v>17892</v>
      </c>
      <c r="E32" s="662">
        <f t="shared" si="2"/>
        <v>0</v>
      </c>
      <c r="F32" s="662">
        <v>0</v>
      </c>
      <c r="G32" s="662">
        <v>0</v>
      </c>
      <c r="H32" s="662">
        <f t="shared" si="3"/>
        <v>17892</v>
      </c>
      <c r="I32" s="663">
        <v>0</v>
      </c>
      <c r="J32" s="662">
        <v>2718</v>
      </c>
      <c r="K32" s="662">
        <v>2232</v>
      </c>
      <c r="L32" s="662">
        <v>12942</v>
      </c>
      <c r="M32" s="662">
        <v>0</v>
      </c>
      <c r="N32" s="662">
        <v>0</v>
      </c>
      <c r="O32" s="659">
        <f t="shared" si="4"/>
        <v>0</v>
      </c>
      <c r="P32" s="662">
        <v>0</v>
      </c>
      <c r="Q32" s="662">
        <v>0</v>
      </c>
      <c r="R32" s="662">
        <v>0</v>
      </c>
      <c r="S32" s="662">
        <f>'[19]Раз.пос.(Пр.3-26)     '!S32+'[19]Уточнение для Пр.5-26'!S32</f>
        <v>0</v>
      </c>
    </row>
    <row r="33" spans="1:19" x14ac:dyDescent="0.2">
      <c r="A33" s="161">
        <v>23</v>
      </c>
      <c r="B33" s="167" t="s">
        <v>88</v>
      </c>
      <c r="C33" s="50" t="s">
        <v>89</v>
      </c>
      <c r="D33" s="659">
        <f t="shared" si="5"/>
        <v>0</v>
      </c>
      <c r="E33" s="662">
        <f t="shared" si="2"/>
        <v>0</v>
      </c>
      <c r="F33" s="662">
        <v>0</v>
      </c>
      <c r="G33" s="662">
        <v>0</v>
      </c>
      <c r="H33" s="662">
        <f t="shared" si="3"/>
        <v>0</v>
      </c>
      <c r="I33" s="663">
        <v>0</v>
      </c>
      <c r="J33" s="662">
        <v>0</v>
      </c>
      <c r="K33" s="662">
        <v>0</v>
      </c>
      <c r="L33" s="662">
        <v>0</v>
      </c>
      <c r="M33" s="662">
        <v>0</v>
      </c>
      <c r="N33" s="662">
        <v>0</v>
      </c>
      <c r="O33" s="659">
        <v>0</v>
      </c>
      <c r="P33" s="662">
        <v>0</v>
      </c>
      <c r="Q33" s="662">
        <v>0</v>
      </c>
      <c r="R33" s="662">
        <v>0</v>
      </c>
      <c r="S33" s="662">
        <f>'[19]Раз.пос.(Пр.3-26)     '!S33+'[19]Уточнение для Пр.5-26'!S33</f>
        <v>0</v>
      </c>
    </row>
    <row r="34" spans="1:19" ht="24" x14ac:dyDescent="0.2">
      <c r="A34" s="161">
        <v>24</v>
      </c>
      <c r="B34" s="167" t="s">
        <v>90</v>
      </c>
      <c r="C34" s="50" t="s">
        <v>91</v>
      </c>
      <c r="D34" s="659">
        <f t="shared" si="5"/>
        <v>0</v>
      </c>
      <c r="E34" s="662">
        <f t="shared" si="2"/>
        <v>0</v>
      </c>
      <c r="F34" s="662">
        <v>0</v>
      </c>
      <c r="G34" s="662">
        <v>0</v>
      </c>
      <c r="H34" s="662">
        <f t="shared" si="3"/>
        <v>0</v>
      </c>
      <c r="I34" s="663">
        <v>0</v>
      </c>
      <c r="J34" s="662">
        <v>0</v>
      </c>
      <c r="K34" s="662">
        <v>0</v>
      </c>
      <c r="L34" s="662">
        <v>0</v>
      </c>
      <c r="M34" s="662">
        <v>0</v>
      </c>
      <c r="N34" s="662">
        <v>0</v>
      </c>
      <c r="O34" s="659">
        <v>0</v>
      </c>
      <c r="P34" s="662">
        <v>0</v>
      </c>
      <c r="Q34" s="662">
        <v>0</v>
      </c>
      <c r="R34" s="662">
        <v>0</v>
      </c>
      <c r="S34" s="662">
        <f>'[19]Раз.пос.(Пр.3-26)     '!S34+'[19]Уточнение для Пр.5-26'!S34</f>
        <v>0</v>
      </c>
    </row>
    <row r="35" spans="1:19" ht="24" x14ac:dyDescent="0.2">
      <c r="A35" s="921">
        <v>25</v>
      </c>
      <c r="B35" s="624" t="s">
        <v>92</v>
      </c>
      <c r="C35" s="57" t="s">
        <v>775</v>
      </c>
      <c r="D35" s="659">
        <f>E35+H35+M35+N35+O35+S35</f>
        <v>251587</v>
      </c>
      <c r="E35" s="662">
        <f t="shared" si="2"/>
        <v>0</v>
      </c>
      <c r="F35" s="662">
        <v>0</v>
      </c>
      <c r="G35" s="662">
        <v>0</v>
      </c>
      <c r="H35" s="662">
        <f t="shared" si="3"/>
        <v>234919</v>
      </c>
      <c r="I35" s="663">
        <v>0</v>
      </c>
      <c r="J35" s="662">
        <v>38800</v>
      </c>
      <c r="K35" s="662">
        <v>3209</v>
      </c>
      <c r="L35" s="662">
        <v>192910</v>
      </c>
      <c r="M35" s="662">
        <v>2050</v>
      </c>
      <c r="N35" s="662">
        <v>878</v>
      </c>
      <c r="O35" s="659">
        <f t="shared" si="4"/>
        <v>6968</v>
      </c>
      <c r="P35" s="662">
        <v>0</v>
      </c>
      <c r="Q35" s="662">
        <v>6968</v>
      </c>
      <c r="R35" s="662">
        <v>0</v>
      </c>
      <c r="S35" s="662">
        <f>'[19]Раз.пос.(Пр.3-26)     '!S35+'[19]Уточнение для Пр.5-26'!S35</f>
        <v>6772</v>
      </c>
    </row>
    <row r="36" spans="1:19" x14ac:dyDescent="0.2">
      <c r="A36" s="923"/>
      <c r="B36" s="167" t="s">
        <v>94</v>
      </c>
      <c r="C36" s="50" t="s">
        <v>95</v>
      </c>
      <c r="D36" s="659">
        <f>E36+H36+M36+N36+O36+S36</f>
        <v>16257</v>
      </c>
      <c r="E36" s="662">
        <f t="shared" si="2"/>
        <v>0</v>
      </c>
      <c r="F36" s="662">
        <v>0</v>
      </c>
      <c r="G36" s="662">
        <v>0</v>
      </c>
      <c r="H36" s="662">
        <f t="shared" si="3"/>
        <v>15921</v>
      </c>
      <c r="I36" s="663">
        <v>0</v>
      </c>
      <c r="J36" s="662">
        <v>105</v>
      </c>
      <c r="K36" s="662">
        <v>0</v>
      </c>
      <c r="L36" s="662">
        <v>15816</v>
      </c>
      <c r="M36" s="662">
        <v>0</v>
      </c>
      <c r="N36" s="662">
        <v>0</v>
      </c>
      <c r="O36" s="659">
        <f t="shared" si="4"/>
        <v>336</v>
      </c>
      <c r="P36" s="662">
        <v>0</v>
      </c>
      <c r="Q36" s="662">
        <v>336</v>
      </c>
      <c r="R36" s="662">
        <v>0</v>
      </c>
      <c r="S36" s="662">
        <f>'[19]Раз.пос.(Пр.3-26)     '!S36+'[19]Уточнение для Пр.5-26'!S36</f>
        <v>0</v>
      </c>
    </row>
    <row r="37" spans="1:19" x14ac:dyDescent="0.2">
      <c r="A37" s="161">
        <v>26</v>
      </c>
      <c r="B37" s="52" t="s">
        <v>96</v>
      </c>
      <c r="C37" s="50" t="s">
        <v>97</v>
      </c>
      <c r="D37" s="659">
        <f t="shared" si="5"/>
        <v>36967</v>
      </c>
      <c r="E37" s="662">
        <f t="shared" si="2"/>
        <v>0</v>
      </c>
      <c r="F37" s="662">
        <v>0</v>
      </c>
      <c r="G37" s="662">
        <v>0</v>
      </c>
      <c r="H37" s="662">
        <f t="shared" si="3"/>
        <v>36967</v>
      </c>
      <c r="I37" s="663">
        <v>2690</v>
      </c>
      <c r="J37" s="662">
        <v>0</v>
      </c>
      <c r="K37" s="662">
        <v>34277</v>
      </c>
      <c r="L37" s="662">
        <v>0</v>
      </c>
      <c r="M37" s="662">
        <v>0</v>
      </c>
      <c r="N37" s="662">
        <v>0</v>
      </c>
      <c r="O37" s="659">
        <f t="shared" si="4"/>
        <v>0</v>
      </c>
      <c r="P37" s="662">
        <v>0</v>
      </c>
      <c r="Q37" s="662">
        <v>0</v>
      </c>
      <c r="R37" s="662">
        <v>0</v>
      </c>
      <c r="S37" s="662">
        <f>'[19]Раз.пос.(Пр.3-26)     '!S37+'[19]Уточнение для Пр.5-26'!S37</f>
        <v>0</v>
      </c>
    </row>
    <row r="38" spans="1:19" x14ac:dyDescent="0.2">
      <c r="A38" s="161">
        <v>27</v>
      </c>
      <c r="B38" s="52" t="s">
        <v>26</v>
      </c>
      <c r="C38" s="50" t="s">
        <v>27</v>
      </c>
      <c r="D38" s="659">
        <f t="shared" si="5"/>
        <v>80413</v>
      </c>
      <c r="E38" s="662">
        <f t="shared" si="2"/>
        <v>0</v>
      </c>
      <c r="F38" s="662">
        <v>0</v>
      </c>
      <c r="G38" s="662">
        <v>0</v>
      </c>
      <c r="H38" s="662">
        <f t="shared" si="3"/>
        <v>78949</v>
      </c>
      <c r="I38" s="663">
        <v>600</v>
      </c>
      <c r="J38" s="662">
        <v>4800</v>
      </c>
      <c r="K38" s="662">
        <v>5830</v>
      </c>
      <c r="L38" s="662">
        <v>67719</v>
      </c>
      <c r="M38" s="662">
        <v>1025</v>
      </c>
      <c r="N38" s="662">
        <v>439</v>
      </c>
      <c r="O38" s="659">
        <f t="shared" si="4"/>
        <v>0</v>
      </c>
      <c r="P38" s="662">
        <v>0</v>
      </c>
      <c r="Q38" s="662">
        <v>0</v>
      </c>
      <c r="R38" s="662">
        <v>0</v>
      </c>
      <c r="S38" s="662">
        <f>'[19]Раз.пос.(Пр.3-26)     '!S38+'[19]Уточнение для Пр.5-26'!S38</f>
        <v>0</v>
      </c>
    </row>
    <row r="39" spans="1:19" x14ac:dyDescent="0.2">
      <c r="A39" s="161">
        <v>28</v>
      </c>
      <c r="B39" s="49" t="s">
        <v>98</v>
      </c>
      <c r="C39" s="50" t="s">
        <v>99</v>
      </c>
      <c r="D39" s="659">
        <f t="shared" si="5"/>
        <v>109587</v>
      </c>
      <c r="E39" s="662">
        <f t="shared" si="2"/>
        <v>0</v>
      </c>
      <c r="F39" s="662">
        <v>0</v>
      </c>
      <c r="G39" s="662">
        <v>0</v>
      </c>
      <c r="H39" s="662">
        <f t="shared" si="3"/>
        <v>107845</v>
      </c>
      <c r="I39" s="663">
        <v>500</v>
      </c>
      <c r="J39" s="662">
        <v>12000</v>
      </c>
      <c r="K39" s="662">
        <v>9952</v>
      </c>
      <c r="L39" s="662">
        <v>85393</v>
      </c>
      <c r="M39" s="662">
        <v>1025</v>
      </c>
      <c r="N39" s="662">
        <v>439</v>
      </c>
      <c r="O39" s="659">
        <f t="shared" si="4"/>
        <v>278</v>
      </c>
      <c r="P39" s="662">
        <v>0</v>
      </c>
      <c r="Q39" s="662">
        <v>278</v>
      </c>
      <c r="R39" s="662">
        <v>0</v>
      </c>
      <c r="S39" s="662">
        <f>'[19]Раз.пос.(Пр.3-26)     '!S39+'[19]Уточнение для Пр.5-26'!S39</f>
        <v>0</v>
      </c>
    </row>
    <row r="40" spans="1:19" x14ac:dyDescent="0.2">
      <c r="A40" s="161">
        <v>29</v>
      </c>
      <c r="B40" s="52" t="s">
        <v>100</v>
      </c>
      <c r="C40" s="50" t="s">
        <v>101</v>
      </c>
      <c r="D40" s="659">
        <f t="shared" si="5"/>
        <v>20382</v>
      </c>
      <c r="E40" s="662">
        <f t="shared" si="2"/>
        <v>0</v>
      </c>
      <c r="F40" s="662">
        <v>0</v>
      </c>
      <c r="G40" s="662">
        <v>0</v>
      </c>
      <c r="H40" s="662">
        <f t="shared" si="3"/>
        <v>20382</v>
      </c>
      <c r="I40" s="663">
        <v>0</v>
      </c>
      <c r="J40" s="662">
        <v>3715</v>
      </c>
      <c r="K40" s="662">
        <v>0</v>
      </c>
      <c r="L40" s="662">
        <v>16667</v>
      </c>
      <c r="M40" s="662">
        <v>0</v>
      </c>
      <c r="N40" s="662">
        <v>0</v>
      </c>
      <c r="O40" s="659">
        <f t="shared" si="4"/>
        <v>0</v>
      </c>
      <c r="P40" s="662">
        <v>0</v>
      </c>
      <c r="Q40" s="662">
        <v>0</v>
      </c>
      <c r="R40" s="662">
        <v>0</v>
      </c>
      <c r="S40" s="662">
        <f>'[19]Раз.пос.(Пр.3-26)     '!S40+'[19]Уточнение для Пр.5-26'!S40</f>
        <v>0</v>
      </c>
    </row>
    <row r="41" spans="1:19" x14ac:dyDescent="0.2">
      <c r="A41" s="161">
        <v>30</v>
      </c>
      <c r="B41" s="167" t="s">
        <v>102</v>
      </c>
      <c r="C41" s="50" t="s">
        <v>103</v>
      </c>
      <c r="D41" s="659">
        <f t="shared" si="5"/>
        <v>63163</v>
      </c>
      <c r="E41" s="662">
        <f t="shared" si="2"/>
        <v>0</v>
      </c>
      <c r="F41" s="662">
        <v>0</v>
      </c>
      <c r="G41" s="662">
        <v>0</v>
      </c>
      <c r="H41" s="662">
        <f t="shared" si="3"/>
        <v>61699</v>
      </c>
      <c r="I41" s="663">
        <v>860</v>
      </c>
      <c r="J41" s="662">
        <v>3900</v>
      </c>
      <c r="K41" s="662">
        <v>4238</v>
      </c>
      <c r="L41" s="662">
        <v>52701</v>
      </c>
      <c r="M41" s="662">
        <v>1025</v>
      </c>
      <c r="N41" s="662">
        <v>439</v>
      </c>
      <c r="O41" s="659">
        <f t="shared" si="4"/>
        <v>0</v>
      </c>
      <c r="P41" s="662">
        <v>0</v>
      </c>
      <c r="Q41" s="662">
        <v>0</v>
      </c>
      <c r="R41" s="662">
        <v>0</v>
      </c>
      <c r="S41" s="662">
        <f>'[19]Раз.пос.(Пр.3-26)     '!S41+'[19]Уточнение для Пр.5-26'!S41</f>
        <v>0</v>
      </c>
    </row>
    <row r="42" spans="1:19" x14ac:dyDescent="0.2">
      <c r="A42" s="161">
        <v>31</v>
      </c>
      <c r="B42" s="52" t="s">
        <v>104</v>
      </c>
      <c r="C42" s="50" t="s">
        <v>105</v>
      </c>
      <c r="D42" s="659">
        <f t="shared" si="5"/>
        <v>21746</v>
      </c>
      <c r="E42" s="662">
        <f t="shared" si="2"/>
        <v>0</v>
      </c>
      <c r="F42" s="662">
        <v>0</v>
      </c>
      <c r="G42" s="662">
        <v>0</v>
      </c>
      <c r="H42" s="662">
        <f t="shared" si="3"/>
        <v>21746</v>
      </c>
      <c r="I42" s="663">
        <v>0</v>
      </c>
      <c r="J42" s="662">
        <v>1450</v>
      </c>
      <c r="K42" s="662">
        <v>2454</v>
      </c>
      <c r="L42" s="662">
        <v>17842</v>
      </c>
      <c r="M42" s="662">
        <v>0</v>
      </c>
      <c r="N42" s="662">
        <v>0</v>
      </c>
      <c r="O42" s="659">
        <f t="shared" si="4"/>
        <v>0</v>
      </c>
      <c r="P42" s="662">
        <v>0</v>
      </c>
      <c r="Q42" s="662">
        <v>0</v>
      </c>
      <c r="R42" s="662">
        <v>0</v>
      </c>
      <c r="S42" s="662">
        <f>'[19]Раз.пос.(Пр.3-26)     '!S42+'[19]Уточнение для Пр.5-26'!S42</f>
        <v>0</v>
      </c>
    </row>
    <row r="43" spans="1:19" x14ac:dyDescent="0.2">
      <c r="A43" s="161">
        <v>32</v>
      </c>
      <c r="B43" s="49" t="s">
        <v>106</v>
      </c>
      <c r="C43" s="50" t="s">
        <v>107</v>
      </c>
      <c r="D43" s="659">
        <f t="shared" si="5"/>
        <v>87163</v>
      </c>
      <c r="E43" s="662">
        <f t="shared" si="2"/>
        <v>0</v>
      </c>
      <c r="F43" s="662">
        <v>0</v>
      </c>
      <c r="G43" s="662">
        <v>0</v>
      </c>
      <c r="H43" s="662">
        <f t="shared" si="3"/>
        <v>85699</v>
      </c>
      <c r="I43" s="663">
        <v>0</v>
      </c>
      <c r="J43" s="662">
        <v>5571</v>
      </c>
      <c r="K43" s="662">
        <v>6668</v>
      </c>
      <c r="L43" s="662">
        <v>73460</v>
      </c>
      <c r="M43" s="662">
        <v>1025</v>
      </c>
      <c r="N43" s="662">
        <v>439</v>
      </c>
      <c r="O43" s="659">
        <f t="shared" si="4"/>
        <v>0</v>
      </c>
      <c r="P43" s="662">
        <v>0</v>
      </c>
      <c r="Q43" s="662">
        <v>0</v>
      </c>
      <c r="R43" s="662">
        <v>0</v>
      </c>
      <c r="S43" s="662">
        <f>'[19]Раз.пос.(Пр.3-26)     '!S43+'[19]Уточнение для Пр.5-26'!S43</f>
        <v>0</v>
      </c>
    </row>
    <row r="44" spans="1:19" x14ac:dyDescent="0.2">
      <c r="A44" s="161">
        <v>33</v>
      </c>
      <c r="B44" s="162" t="s">
        <v>108</v>
      </c>
      <c r="C44" s="625" t="s">
        <v>109</v>
      </c>
      <c r="D44" s="659">
        <f t="shared" si="5"/>
        <v>18702</v>
      </c>
      <c r="E44" s="662">
        <f t="shared" si="2"/>
        <v>0</v>
      </c>
      <c r="F44" s="662">
        <v>0</v>
      </c>
      <c r="G44" s="662">
        <v>0</v>
      </c>
      <c r="H44" s="662">
        <f t="shared" si="3"/>
        <v>18702</v>
      </c>
      <c r="I44" s="663">
        <v>0</v>
      </c>
      <c r="J44" s="662">
        <v>2032</v>
      </c>
      <c r="K44" s="662">
        <v>1579</v>
      </c>
      <c r="L44" s="662">
        <v>15091</v>
      </c>
      <c r="M44" s="662">
        <v>0</v>
      </c>
      <c r="N44" s="662">
        <v>0</v>
      </c>
      <c r="O44" s="659">
        <f t="shared" si="4"/>
        <v>0</v>
      </c>
      <c r="P44" s="662">
        <v>0</v>
      </c>
      <c r="Q44" s="662">
        <v>0</v>
      </c>
      <c r="R44" s="662">
        <v>0</v>
      </c>
      <c r="S44" s="662">
        <f>'[19]Раз.пос.(Пр.3-26)     '!S44+'[19]Уточнение для Пр.5-26'!S44</f>
        <v>0</v>
      </c>
    </row>
    <row r="45" spans="1:19" x14ac:dyDescent="0.2">
      <c r="A45" s="161">
        <v>34</v>
      </c>
      <c r="B45" s="49" t="s">
        <v>110</v>
      </c>
      <c r="C45" s="50" t="s">
        <v>111</v>
      </c>
      <c r="D45" s="659">
        <f t="shared" si="5"/>
        <v>15361</v>
      </c>
      <c r="E45" s="662">
        <f t="shared" si="2"/>
        <v>0</v>
      </c>
      <c r="F45" s="662">
        <v>0</v>
      </c>
      <c r="G45" s="662">
        <v>0</v>
      </c>
      <c r="H45" s="662">
        <f t="shared" si="3"/>
        <v>15361</v>
      </c>
      <c r="I45" s="663">
        <v>0</v>
      </c>
      <c r="J45" s="662">
        <v>985</v>
      </c>
      <c r="K45" s="662">
        <v>15</v>
      </c>
      <c r="L45" s="662">
        <v>14361</v>
      </c>
      <c r="M45" s="662">
        <v>0</v>
      </c>
      <c r="N45" s="662">
        <v>0</v>
      </c>
      <c r="O45" s="659">
        <f t="shared" si="4"/>
        <v>0</v>
      </c>
      <c r="P45" s="662">
        <v>0</v>
      </c>
      <c r="Q45" s="662">
        <v>0</v>
      </c>
      <c r="R45" s="662">
        <v>0</v>
      </c>
      <c r="S45" s="662">
        <f>'[19]Раз.пос.(Пр.3-26)     '!S45+'[19]Уточнение для Пр.5-26'!S45</f>
        <v>0</v>
      </c>
    </row>
    <row r="46" spans="1:19" x14ac:dyDescent="0.2">
      <c r="A46" s="161">
        <v>35</v>
      </c>
      <c r="B46" s="49" t="s">
        <v>112</v>
      </c>
      <c r="C46" s="50" t="s">
        <v>113</v>
      </c>
      <c r="D46" s="659">
        <f t="shared" si="5"/>
        <v>21135</v>
      </c>
      <c r="E46" s="662">
        <f t="shared" si="2"/>
        <v>0</v>
      </c>
      <c r="F46" s="662">
        <v>0</v>
      </c>
      <c r="G46" s="662">
        <v>0</v>
      </c>
      <c r="H46" s="662">
        <f t="shared" si="3"/>
        <v>19671</v>
      </c>
      <c r="I46" s="663">
        <v>0</v>
      </c>
      <c r="J46" s="662">
        <v>1405</v>
      </c>
      <c r="K46" s="662">
        <v>3795</v>
      </c>
      <c r="L46" s="662">
        <v>14471</v>
      </c>
      <c r="M46" s="662">
        <v>1025</v>
      </c>
      <c r="N46" s="662">
        <v>439</v>
      </c>
      <c r="O46" s="659">
        <f t="shared" si="4"/>
        <v>0</v>
      </c>
      <c r="P46" s="662">
        <v>0</v>
      </c>
      <c r="Q46" s="662">
        <v>0</v>
      </c>
      <c r="R46" s="662">
        <v>0</v>
      </c>
      <c r="S46" s="662">
        <f>'[19]Раз.пос.(Пр.3-26)     '!S46+'[19]Уточнение для Пр.5-26'!S46</f>
        <v>0</v>
      </c>
    </row>
    <row r="47" spans="1:19" x14ac:dyDescent="0.2">
      <c r="A47" s="161">
        <v>36</v>
      </c>
      <c r="B47" s="167" t="s">
        <v>114</v>
      </c>
      <c r="C47" s="50" t="s">
        <v>115</v>
      </c>
      <c r="D47" s="659">
        <f t="shared" si="5"/>
        <v>8705</v>
      </c>
      <c r="E47" s="662">
        <f t="shared" si="2"/>
        <v>0</v>
      </c>
      <c r="F47" s="662">
        <v>0</v>
      </c>
      <c r="G47" s="662">
        <v>0</v>
      </c>
      <c r="H47" s="662">
        <f t="shared" si="3"/>
        <v>8705</v>
      </c>
      <c r="I47" s="663">
        <v>0</v>
      </c>
      <c r="J47" s="662">
        <v>1292</v>
      </c>
      <c r="K47" s="662">
        <v>505</v>
      </c>
      <c r="L47" s="662">
        <v>6908</v>
      </c>
      <c r="M47" s="662">
        <v>0</v>
      </c>
      <c r="N47" s="662">
        <v>0</v>
      </c>
      <c r="O47" s="659">
        <f t="shared" si="4"/>
        <v>0</v>
      </c>
      <c r="P47" s="662">
        <v>0</v>
      </c>
      <c r="Q47" s="662">
        <v>0</v>
      </c>
      <c r="R47" s="662">
        <v>0</v>
      </c>
      <c r="S47" s="662">
        <f>'[19]Раз.пос.(Пр.3-26)     '!S47+'[19]Уточнение для Пр.5-26'!S47</f>
        <v>0</v>
      </c>
    </row>
    <row r="48" spans="1:19" x14ac:dyDescent="0.2">
      <c r="A48" s="161">
        <v>37</v>
      </c>
      <c r="B48" s="52" t="s">
        <v>116</v>
      </c>
      <c r="C48" s="50" t="s">
        <v>117</v>
      </c>
      <c r="D48" s="659">
        <f t="shared" si="5"/>
        <v>15116</v>
      </c>
      <c r="E48" s="662">
        <f t="shared" si="2"/>
        <v>0</v>
      </c>
      <c r="F48" s="662">
        <v>0</v>
      </c>
      <c r="G48" s="662">
        <v>0</v>
      </c>
      <c r="H48" s="662">
        <f t="shared" si="3"/>
        <v>15116</v>
      </c>
      <c r="I48" s="663">
        <v>0</v>
      </c>
      <c r="J48" s="662">
        <v>388</v>
      </c>
      <c r="K48" s="662">
        <v>98</v>
      </c>
      <c r="L48" s="662">
        <v>14630</v>
      </c>
      <c r="M48" s="662">
        <v>0</v>
      </c>
      <c r="N48" s="662">
        <v>0</v>
      </c>
      <c r="O48" s="659">
        <f t="shared" si="4"/>
        <v>0</v>
      </c>
      <c r="P48" s="662">
        <v>0</v>
      </c>
      <c r="Q48" s="662">
        <v>0</v>
      </c>
      <c r="R48" s="662">
        <v>0</v>
      </c>
      <c r="S48" s="662">
        <f>'[19]Раз.пос.(Пр.3-26)     '!S48+'[19]Уточнение для Пр.5-26'!S48</f>
        <v>0</v>
      </c>
    </row>
    <row r="49" spans="1:19" x14ac:dyDescent="0.2">
      <c r="A49" s="161">
        <v>38</v>
      </c>
      <c r="B49" s="167" t="s">
        <v>28</v>
      </c>
      <c r="C49" s="50" t="s">
        <v>29</v>
      </c>
      <c r="D49" s="659">
        <f t="shared" si="5"/>
        <v>119728</v>
      </c>
      <c r="E49" s="662">
        <f t="shared" si="2"/>
        <v>0</v>
      </c>
      <c r="F49" s="662">
        <v>0</v>
      </c>
      <c r="G49" s="662">
        <v>0</v>
      </c>
      <c r="H49" s="662">
        <f t="shared" si="3"/>
        <v>114925</v>
      </c>
      <c r="I49" s="663">
        <v>0</v>
      </c>
      <c r="J49" s="662">
        <v>10837</v>
      </c>
      <c r="K49" s="662">
        <v>4262</v>
      </c>
      <c r="L49" s="662">
        <v>99826</v>
      </c>
      <c r="M49" s="662">
        <v>2050</v>
      </c>
      <c r="N49" s="662">
        <v>878</v>
      </c>
      <c r="O49" s="659">
        <f t="shared" si="4"/>
        <v>1875</v>
      </c>
      <c r="P49" s="662">
        <v>0</v>
      </c>
      <c r="Q49" s="662">
        <v>1875</v>
      </c>
      <c r="R49" s="662">
        <v>0</v>
      </c>
      <c r="S49" s="662">
        <f>'[19]Раз.пос.(Пр.3-26)     '!S49+'[19]Уточнение для Пр.5-26'!S49</f>
        <v>0</v>
      </c>
    </row>
    <row r="50" spans="1:19" x14ac:dyDescent="0.2">
      <c r="A50" s="161">
        <v>39</v>
      </c>
      <c r="B50" s="49" t="s">
        <v>118</v>
      </c>
      <c r="C50" s="50" t="s">
        <v>119</v>
      </c>
      <c r="D50" s="659">
        <f t="shared" si="5"/>
        <v>18495</v>
      </c>
      <c r="E50" s="662">
        <f t="shared" si="2"/>
        <v>0</v>
      </c>
      <c r="F50" s="662">
        <v>0</v>
      </c>
      <c r="G50" s="662">
        <v>0</v>
      </c>
      <c r="H50" s="662">
        <f t="shared" si="3"/>
        <v>18495</v>
      </c>
      <c r="I50" s="663">
        <v>0</v>
      </c>
      <c r="J50" s="662">
        <v>1656</v>
      </c>
      <c r="K50" s="662">
        <v>3195</v>
      </c>
      <c r="L50" s="662">
        <v>13644</v>
      </c>
      <c r="M50" s="662">
        <v>0</v>
      </c>
      <c r="N50" s="662">
        <v>0</v>
      </c>
      <c r="O50" s="659">
        <f t="shared" si="4"/>
        <v>0</v>
      </c>
      <c r="P50" s="662">
        <v>0</v>
      </c>
      <c r="Q50" s="662">
        <v>0</v>
      </c>
      <c r="R50" s="662">
        <v>0</v>
      </c>
      <c r="S50" s="662">
        <f>'[19]Раз.пос.(Пр.3-26)     '!S50+'[19]Уточнение для Пр.5-26'!S50</f>
        <v>0</v>
      </c>
    </row>
    <row r="51" spans="1:19" x14ac:dyDescent="0.2">
      <c r="A51" s="161">
        <v>40</v>
      </c>
      <c r="B51" s="49" t="s">
        <v>120</v>
      </c>
      <c r="C51" s="50" t="s">
        <v>121</v>
      </c>
      <c r="D51" s="659">
        <f t="shared" si="5"/>
        <v>110914</v>
      </c>
      <c r="E51" s="662">
        <f t="shared" si="2"/>
        <v>0</v>
      </c>
      <c r="F51" s="662">
        <v>0</v>
      </c>
      <c r="G51" s="662">
        <v>0</v>
      </c>
      <c r="H51" s="662">
        <f t="shared" si="3"/>
        <v>109450</v>
      </c>
      <c r="I51" s="663">
        <v>0</v>
      </c>
      <c r="J51" s="662">
        <v>2300</v>
      </c>
      <c r="K51" s="662">
        <v>13381</v>
      </c>
      <c r="L51" s="662">
        <v>93769</v>
      </c>
      <c r="M51" s="662">
        <v>1025</v>
      </c>
      <c r="N51" s="662">
        <v>439</v>
      </c>
      <c r="O51" s="659">
        <f t="shared" si="4"/>
        <v>0</v>
      </c>
      <c r="P51" s="662">
        <v>0</v>
      </c>
      <c r="Q51" s="662">
        <v>0</v>
      </c>
      <c r="R51" s="662">
        <v>0</v>
      </c>
      <c r="S51" s="662">
        <f>'[19]Раз.пос.(Пр.3-26)     '!S51+'[19]Уточнение для Пр.5-26'!S51</f>
        <v>0</v>
      </c>
    </row>
    <row r="52" spans="1:19" x14ac:dyDescent="0.2">
      <c r="A52" s="161">
        <v>41</v>
      </c>
      <c r="B52" s="167" t="s">
        <v>122</v>
      </c>
      <c r="C52" s="50" t="s">
        <v>123</v>
      </c>
      <c r="D52" s="659">
        <f t="shared" si="5"/>
        <v>13460</v>
      </c>
      <c r="E52" s="662">
        <f t="shared" si="2"/>
        <v>0</v>
      </c>
      <c r="F52" s="662">
        <v>0</v>
      </c>
      <c r="G52" s="662">
        <v>0</v>
      </c>
      <c r="H52" s="662">
        <f t="shared" si="3"/>
        <v>13460</v>
      </c>
      <c r="I52" s="663">
        <v>0</v>
      </c>
      <c r="J52" s="662">
        <v>732</v>
      </c>
      <c r="K52" s="662">
        <v>1364</v>
      </c>
      <c r="L52" s="662">
        <v>11364</v>
      </c>
      <c r="M52" s="662">
        <v>0</v>
      </c>
      <c r="N52" s="662">
        <v>0</v>
      </c>
      <c r="O52" s="659">
        <f t="shared" si="4"/>
        <v>0</v>
      </c>
      <c r="P52" s="662">
        <v>0</v>
      </c>
      <c r="Q52" s="662">
        <v>0</v>
      </c>
      <c r="R52" s="662">
        <v>0</v>
      </c>
      <c r="S52" s="662">
        <f>'[19]Раз.пос.(Пр.3-26)     '!S52+'[19]Уточнение для Пр.5-26'!S52</f>
        <v>0</v>
      </c>
    </row>
    <row r="53" spans="1:19" x14ac:dyDescent="0.2">
      <c r="A53" s="161">
        <v>42</v>
      </c>
      <c r="B53" s="52" t="s">
        <v>124</v>
      </c>
      <c r="C53" s="50" t="s">
        <v>125</v>
      </c>
      <c r="D53" s="659">
        <f t="shared" si="5"/>
        <v>28404</v>
      </c>
      <c r="E53" s="662">
        <f t="shared" si="2"/>
        <v>0</v>
      </c>
      <c r="F53" s="662">
        <v>0</v>
      </c>
      <c r="G53" s="662">
        <v>0</v>
      </c>
      <c r="H53" s="662">
        <f t="shared" si="3"/>
        <v>26940</v>
      </c>
      <c r="I53" s="663">
        <v>0</v>
      </c>
      <c r="J53" s="662">
        <v>4658</v>
      </c>
      <c r="K53" s="662">
        <v>1985</v>
      </c>
      <c r="L53" s="662">
        <v>20297</v>
      </c>
      <c r="M53" s="662">
        <v>1025</v>
      </c>
      <c r="N53" s="662">
        <v>439</v>
      </c>
      <c r="O53" s="659">
        <f t="shared" si="4"/>
        <v>0</v>
      </c>
      <c r="P53" s="662">
        <v>0</v>
      </c>
      <c r="Q53" s="662">
        <v>0</v>
      </c>
      <c r="R53" s="662">
        <v>0</v>
      </c>
      <c r="S53" s="662">
        <f>'[19]Раз.пос.(Пр.3-26)     '!S53+'[19]Уточнение для Пр.5-26'!S53</f>
        <v>0</v>
      </c>
    </row>
    <row r="54" spans="1:19" x14ac:dyDescent="0.2">
      <c r="A54" s="161">
        <v>43</v>
      </c>
      <c r="B54" s="167" t="s">
        <v>126</v>
      </c>
      <c r="C54" s="50" t="s">
        <v>127</v>
      </c>
      <c r="D54" s="659">
        <f t="shared" si="5"/>
        <v>27434</v>
      </c>
      <c r="E54" s="662">
        <f t="shared" si="2"/>
        <v>0</v>
      </c>
      <c r="F54" s="662">
        <v>0</v>
      </c>
      <c r="G54" s="662">
        <v>0</v>
      </c>
      <c r="H54" s="662">
        <f t="shared" si="3"/>
        <v>25970</v>
      </c>
      <c r="I54" s="663">
        <v>0</v>
      </c>
      <c r="J54" s="662">
        <v>435</v>
      </c>
      <c r="K54" s="662">
        <v>1236</v>
      </c>
      <c r="L54" s="662">
        <v>24299</v>
      </c>
      <c r="M54" s="662">
        <v>1025</v>
      </c>
      <c r="N54" s="662">
        <v>439</v>
      </c>
      <c r="O54" s="659">
        <f t="shared" si="4"/>
        <v>0</v>
      </c>
      <c r="P54" s="662">
        <v>0</v>
      </c>
      <c r="Q54" s="662">
        <v>0</v>
      </c>
      <c r="R54" s="662">
        <v>0</v>
      </c>
      <c r="S54" s="662">
        <f>'[19]Раз.пос.(Пр.3-26)     '!S54+'[19]Уточнение для Пр.5-26'!S54</f>
        <v>0</v>
      </c>
    </row>
    <row r="55" spans="1:19" x14ac:dyDescent="0.2">
      <c r="A55" s="161">
        <v>44</v>
      </c>
      <c r="B55" s="52" t="s">
        <v>128</v>
      </c>
      <c r="C55" s="50" t="s">
        <v>129</v>
      </c>
      <c r="D55" s="659">
        <f t="shared" si="5"/>
        <v>36351</v>
      </c>
      <c r="E55" s="662">
        <f t="shared" si="2"/>
        <v>0</v>
      </c>
      <c r="F55" s="662">
        <v>0</v>
      </c>
      <c r="G55" s="662">
        <v>0</v>
      </c>
      <c r="H55" s="662">
        <f t="shared" si="3"/>
        <v>34887</v>
      </c>
      <c r="I55" s="663">
        <v>0</v>
      </c>
      <c r="J55" s="662">
        <v>2761</v>
      </c>
      <c r="K55" s="662">
        <v>836</v>
      </c>
      <c r="L55" s="662">
        <v>31290</v>
      </c>
      <c r="M55" s="662">
        <v>1025</v>
      </c>
      <c r="N55" s="662">
        <v>439</v>
      </c>
      <c r="O55" s="659">
        <f t="shared" si="4"/>
        <v>0</v>
      </c>
      <c r="P55" s="662">
        <v>0</v>
      </c>
      <c r="Q55" s="662">
        <v>0</v>
      </c>
      <c r="R55" s="662">
        <v>0</v>
      </c>
      <c r="S55" s="662">
        <f>'[19]Раз.пос.(Пр.3-26)     '!S55+'[19]Уточнение для Пр.5-26'!S55</f>
        <v>0</v>
      </c>
    </row>
    <row r="56" spans="1:19" x14ac:dyDescent="0.2">
      <c r="A56" s="161">
        <v>45</v>
      </c>
      <c r="B56" s="167" t="s">
        <v>130</v>
      </c>
      <c r="C56" s="50" t="s">
        <v>131</v>
      </c>
      <c r="D56" s="659">
        <f t="shared" si="5"/>
        <v>6763</v>
      </c>
      <c r="E56" s="662">
        <f t="shared" si="2"/>
        <v>0</v>
      </c>
      <c r="F56" s="662">
        <v>0</v>
      </c>
      <c r="G56" s="662">
        <v>0</v>
      </c>
      <c r="H56" s="662">
        <f t="shared" si="3"/>
        <v>6763</v>
      </c>
      <c r="I56" s="663">
        <v>0</v>
      </c>
      <c r="J56" s="662">
        <v>422</v>
      </c>
      <c r="K56" s="662">
        <v>2269</v>
      </c>
      <c r="L56" s="662">
        <v>4072</v>
      </c>
      <c r="M56" s="662">
        <v>0</v>
      </c>
      <c r="N56" s="662">
        <v>0</v>
      </c>
      <c r="O56" s="659">
        <f t="shared" si="4"/>
        <v>0</v>
      </c>
      <c r="P56" s="662">
        <v>0</v>
      </c>
      <c r="Q56" s="662">
        <v>0</v>
      </c>
      <c r="R56" s="662">
        <v>0</v>
      </c>
      <c r="S56" s="662">
        <f>'[19]Раз.пос.(Пр.3-26)     '!S56+'[19]Уточнение для Пр.5-26'!S56</f>
        <v>0</v>
      </c>
    </row>
    <row r="57" spans="1:19" x14ac:dyDescent="0.2">
      <c r="A57" s="161">
        <v>46</v>
      </c>
      <c r="B57" s="52" t="s">
        <v>132</v>
      </c>
      <c r="C57" s="50" t="s">
        <v>133</v>
      </c>
      <c r="D57" s="659">
        <f t="shared" si="5"/>
        <v>13761</v>
      </c>
      <c r="E57" s="662">
        <f t="shared" si="2"/>
        <v>0</v>
      </c>
      <c r="F57" s="662">
        <v>0</v>
      </c>
      <c r="G57" s="662">
        <v>0</v>
      </c>
      <c r="H57" s="662">
        <f t="shared" si="3"/>
        <v>12297</v>
      </c>
      <c r="I57" s="663">
        <v>0</v>
      </c>
      <c r="J57" s="662">
        <v>1857</v>
      </c>
      <c r="K57" s="662">
        <v>0</v>
      </c>
      <c r="L57" s="662">
        <v>10440</v>
      </c>
      <c r="M57" s="662">
        <v>1025</v>
      </c>
      <c r="N57" s="662">
        <v>439</v>
      </c>
      <c r="O57" s="659">
        <f t="shared" si="4"/>
        <v>0</v>
      </c>
      <c r="P57" s="662">
        <v>0</v>
      </c>
      <c r="Q57" s="662">
        <v>0</v>
      </c>
      <c r="R57" s="662">
        <v>0</v>
      </c>
      <c r="S57" s="662">
        <f>'[19]Раз.пос.(Пр.3-26)     '!S57+'[19]Уточнение для Пр.5-26'!S57</f>
        <v>0</v>
      </c>
    </row>
    <row r="58" spans="1:19" x14ac:dyDescent="0.2">
      <c r="A58" s="161">
        <v>47</v>
      </c>
      <c r="B58" s="167" t="s">
        <v>134</v>
      </c>
      <c r="C58" s="50" t="s">
        <v>135</v>
      </c>
      <c r="D58" s="659">
        <f t="shared" si="5"/>
        <v>21701</v>
      </c>
      <c r="E58" s="662">
        <f t="shared" si="2"/>
        <v>0</v>
      </c>
      <c r="F58" s="662">
        <v>0</v>
      </c>
      <c r="G58" s="662">
        <v>0</v>
      </c>
      <c r="H58" s="662">
        <f t="shared" si="3"/>
        <v>21701</v>
      </c>
      <c r="I58" s="663">
        <v>0</v>
      </c>
      <c r="J58" s="662">
        <v>300</v>
      </c>
      <c r="K58" s="662">
        <v>2822</v>
      </c>
      <c r="L58" s="662">
        <v>18579</v>
      </c>
      <c r="M58" s="662">
        <v>0</v>
      </c>
      <c r="N58" s="662">
        <v>0</v>
      </c>
      <c r="O58" s="659">
        <f t="shared" si="4"/>
        <v>0</v>
      </c>
      <c r="P58" s="662">
        <v>0</v>
      </c>
      <c r="Q58" s="662">
        <v>0</v>
      </c>
      <c r="R58" s="662">
        <v>0</v>
      </c>
      <c r="S58" s="662">
        <f>'[19]Раз.пос.(Пр.3-26)     '!S58+'[19]Уточнение для Пр.5-26'!S58</f>
        <v>0</v>
      </c>
    </row>
    <row r="59" spans="1:19" x14ac:dyDescent="0.2">
      <c r="A59" s="161">
        <v>48</v>
      </c>
      <c r="B59" s="167" t="s">
        <v>136</v>
      </c>
      <c r="C59" s="50" t="s">
        <v>137</v>
      </c>
      <c r="D59" s="659">
        <f t="shared" si="5"/>
        <v>118031</v>
      </c>
      <c r="E59" s="662">
        <f t="shared" si="2"/>
        <v>0</v>
      </c>
      <c r="F59" s="662">
        <v>0</v>
      </c>
      <c r="G59" s="662">
        <v>0</v>
      </c>
      <c r="H59" s="662">
        <f t="shared" si="3"/>
        <v>115701</v>
      </c>
      <c r="I59" s="663">
        <v>0</v>
      </c>
      <c r="J59" s="662">
        <v>12285</v>
      </c>
      <c r="K59" s="662">
        <v>15091</v>
      </c>
      <c r="L59" s="662">
        <v>88325</v>
      </c>
      <c r="M59" s="662">
        <v>1025</v>
      </c>
      <c r="N59" s="662">
        <v>439</v>
      </c>
      <c r="O59" s="659">
        <f t="shared" si="4"/>
        <v>866</v>
      </c>
      <c r="P59" s="662">
        <v>0</v>
      </c>
      <c r="Q59" s="662">
        <v>866</v>
      </c>
      <c r="R59" s="662">
        <v>0</v>
      </c>
      <c r="S59" s="662">
        <f>'[19]Раз.пос.(Пр.3-26)     '!S59+'[19]Уточнение для Пр.5-26'!S59</f>
        <v>0</v>
      </c>
    </row>
    <row r="60" spans="1:19" x14ac:dyDescent="0.2">
      <c r="A60" s="161">
        <v>49</v>
      </c>
      <c r="B60" s="167" t="s">
        <v>138</v>
      </c>
      <c r="C60" s="50" t="s">
        <v>139</v>
      </c>
      <c r="D60" s="659">
        <f t="shared" si="5"/>
        <v>21604</v>
      </c>
      <c r="E60" s="662">
        <f t="shared" si="2"/>
        <v>0</v>
      </c>
      <c r="F60" s="662">
        <v>0</v>
      </c>
      <c r="G60" s="662">
        <v>0</v>
      </c>
      <c r="H60" s="662">
        <f t="shared" si="3"/>
        <v>21604</v>
      </c>
      <c r="I60" s="663">
        <v>0</v>
      </c>
      <c r="J60" s="662">
        <v>3040</v>
      </c>
      <c r="K60" s="662">
        <v>2264</v>
      </c>
      <c r="L60" s="662">
        <v>16300</v>
      </c>
      <c r="M60" s="662">
        <v>0</v>
      </c>
      <c r="N60" s="662">
        <v>0</v>
      </c>
      <c r="O60" s="659">
        <f t="shared" si="4"/>
        <v>0</v>
      </c>
      <c r="P60" s="662">
        <v>0</v>
      </c>
      <c r="Q60" s="662">
        <v>0</v>
      </c>
      <c r="R60" s="662">
        <v>0</v>
      </c>
      <c r="S60" s="662">
        <f>'[19]Раз.пос.(Пр.3-26)     '!S60+'[19]Уточнение для Пр.5-26'!S60</f>
        <v>0</v>
      </c>
    </row>
    <row r="61" spans="1:19" x14ac:dyDescent="0.2">
      <c r="A61" s="161">
        <v>50</v>
      </c>
      <c r="B61" s="167" t="s">
        <v>140</v>
      </c>
      <c r="C61" s="50" t="s">
        <v>141</v>
      </c>
      <c r="D61" s="659">
        <f t="shared" si="5"/>
        <v>11636</v>
      </c>
      <c r="E61" s="662">
        <f t="shared" si="2"/>
        <v>0</v>
      </c>
      <c r="F61" s="662">
        <v>0</v>
      </c>
      <c r="G61" s="662">
        <v>0</v>
      </c>
      <c r="H61" s="662">
        <f t="shared" si="3"/>
        <v>10172</v>
      </c>
      <c r="I61" s="663">
        <v>0</v>
      </c>
      <c r="J61" s="662">
        <v>468</v>
      </c>
      <c r="K61" s="662">
        <v>1424</v>
      </c>
      <c r="L61" s="662">
        <v>8280</v>
      </c>
      <c r="M61" s="662">
        <v>1025</v>
      </c>
      <c r="N61" s="662">
        <v>439</v>
      </c>
      <c r="O61" s="659">
        <f t="shared" si="4"/>
        <v>0</v>
      </c>
      <c r="P61" s="662">
        <v>0</v>
      </c>
      <c r="Q61" s="662">
        <v>0</v>
      </c>
      <c r="R61" s="662">
        <v>0</v>
      </c>
      <c r="S61" s="662">
        <f>'[19]Раз.пос.(Пр.3-26)     '!S61+'[19]Уточнение для Пр.5-26'!S61</f>
        <v>0</v>
      </c>
    </row>
    <row r="62" spans="1:19" x14ac:dyDescent="0.2">
      <c r="A62" s="161">
        <v>51</v>
      </c>
      <c r="B62" s="52" t="s">
        <v>142</v>
      </c>
      <c r="C62" s="50" t="s">
        <v>143</v>
      </c>
      <c r="D62" s="659">
        <f t="shared" si="5"/>
        <v>20711</v>
      </c>
      <c r="E62" s="662">
        <f t="shared" si="2"/>
        <v>0</v>
      </c>
      <c r="F62" s="662">
        <v>0</v>
      </c>
      <c r="G62" s="662">
        <v>0</v>
      </c>
      <c r="H62" s="662">
        <f t="shared" si="3"/>
        <v>20711</v>
      </c>
      <c r="I62" s="663">
        <v>0</v>
      </c>
      <c r="J62" s="662">
        <v>1500</v>
      </c>
      <c r="K62" s="662">
        <v>1451</v>
      </c>
      <c r="L62" s="662">
        <v>17760</v>
      </c>
      <c r="M62" s="662">
        <v>0</v>
      </c>
      <c r="N62" s="662">
        <v>0</v>
      </c>
      <c r="O62" s="659">
        <f t="shared" si="4"/>
        <v>0</v>
      </c>
      <c r="P62" s="662">
        <v>0</v>
      </c>
      <c r="Q62" s="662">
        <v>0</v>
      </c>
      <c r="R62" s="662">
        <v>0</v>
      </c>
      <c r="S62" s="662">
        <f>'[19]Раз.пос.(Пр.3-26)     '!S62+'[19]Уточнение для Пр.5-26'!S62</f>
        <v>0</v>
      </c>
    </row>
    <row r="63" spans="1:19" x14ac:dyDescent="0.2">
      <c r="A63" s="161">
        <v>52</v>
      </c>
      <c r="B63" s="167" t="s">
        <v>144</v>
      </c>
      <c r="C63" s="50" t="s">
        <v>145</v>
      </c>
      <c r="D63" s="659">
        <f t="shared" si="5"/>
        <v>0</v>
      </c>
      <c r="E63" s="662">
        <f t="shared" si="2"/>
        <v>0</v>
      </c>
      <c r="F63" s="662">
        <v>0</v>
      </c>
      <c r="G63" s="662">
        <v>0</v>
      </c>
      <c r="H63" s="662">
        <f t="shared" si="3"/>
        <v>0</v>
      </c>
      <c r="I63" s="663">
        <v>0</v>
      </c>
      <c r="J63" s="662">
        <v>0</v>
      </c>
      <c r="K63" s="662">
        <v>0</v>
      </c>
      <c r="L63" s="662">
        <v>0</v>
      </c>
      <c r="M63" s="662">
        <v>0</v>
      </c>
      <c r="N63" s="662">
        <v>0</v>
      </c>
      <c r="O63" s="659">
        <v>0</v>
      </c>
      <c r="P63" s="662">
        <v>0</v>
      </c>
      <c r="Q63" s="662">
        <v>0</v>
      </c>
      <c r="R63" s="662">
        <v>0</v>
      </c>
      <c r="S63" s="662">
        <f>'[19]Раз.пос.(Пр.3-26)     '!S63+'[19]Уточнение для Пр.5-26'!S63</f>
        <v>0</v>
      </c>
    </row>
    <row r="64" spans="1:19" x14ac:dyDescent="0.2">
      <c r="A64" s="161">
        <v>53</v>
      </c>
      <c r="B64" s="167" t="s">
        <v>146</v>
      </c>
      <c r="C64" s="50" t="s">
        <v>147</v>
      </c>
      <c r="D64" s="659">
        <f t="shared" si="5"/>
        <v>0</v>
      </c>
      <c r="E64" s="662">
        <f t="shared" si="2"/>
        <v>0</v>
      </c>
      <c r="F64" s="662">
        <v>0</v>
      </c>
      <c r="G64" s="662">
        <v>0</v>
      </c>
      <c r="H64" s="662">
        <f t="shared" si="3"/>
        <v>0</v>
      </c>
      <c r="I64" s="663">
        <v>0</v>
      </c>
      <c r="J64" s="662">
        <v>0</v>
      </c>
      <c r="K64" s="662">
        <v>0</v>
      </c>
      <c r="L64" s="662">
        <v>0</v>
      </c>
      <c r="M64" s="662">
        <v>0</v>
      </c>
      <c r="N64" s="662">
        <v>0</v>
      </c>
      <c r="O64" s="659">
        <v>0</v>
      </c>
      <c r="P64" s="662">
        <v>0</v>
      </c>
      <c r="Q64" s="662">
        <v>0</v>
      </c>
      <c r="R64" s="662">
        <v>0</v>
      </c>
      <c r="S64" s="662">
        <f>'[19]Раз.пос.(Пр.3-26)     '!S64+'[19]Уточнение для Пр.5-26'!S64</f>
        <v>0</v>
      </c>
    </row>
    <row r="65" spans="1:19" x14ac:dyDescent="0.2">
      <c r="A65" s="161">
        <v>54</v>
      </c>
      <c r="B65" s="167" t="s">
        <v>148</v>
      </c>
      <c r="C65" s="50" t="s">
        <v>149</v>
      </c>
      <c r="D65" s="659">
        <f t="shared" si="5"/>
        <v>91341</v>
      </c>
      <c r="E65" s="662">
        <f t="shared" si="2"/>
        <v>0</v>
      </c>
      <c r="F65" s="662">
        <v>0</v>
      </c>
      <c r="G65" s="662">
        <v>0</v>
      </c>
      <c r="H65" s="662">
        <f t="shared" si="3"/>
        <v>91341</v>
      </c>
      <c r="I65" s="663">
        <v>0</v>
      </c>
      <c r="J65" s="662">
        <v>500</v>
      </c>
      <c r="K65" s="662">
        <v>0</v>
      </c>
      <c r="L65" s="662">
        <v>90841</v>
      </c>
      <c r="M65" s="662">
        <v>0</v>
      </c>
      <c r="N65" s="662">
        <v>0</v>
      </c>
      <c r="O65" s="659">
        <f t="shared" si="4"/>
        <v>0</v>
      </c>
      <c r="P65" s="662">
        <v>0</v>
      </c>
      <c r="Q65" s="662">
        <v>0</v>
      </c>
      <c r="R65" s="662">
        <v>0</v>
      </c>
      <c r="S65" s="662">
        <f>'[19]Раз.пос.(Пр.3-26)     '!S65+'[19]Уточнение для Пр.5-26'!S65</f>
        <v>0</v>
      </c>
    </row>
    <row r="66" spans="1:19" x14ac:dyDescent="0.2">
      <c r="A66" s="161">
        <v>55</v>
      </c>
      <c r="B66" s="52" t="s">
        <v>150</v>
      </c>
      <c r="C66" s="50" t="s">
        <v>151</v>
      </c>
      <c r="D66" s="659">
        <f t="shared" si="5"/>
        <v>64988</v>
      </c>
      <c r="E66" s="662">
        <f t="shared" si="2"/>
        <v>0</v>
      </c>
      <c r="F66" s="662">
        <v>0</v>
      </c>
      <c r="G66" s="662">
        <v>0</v>
      </c>
      <c r="H66" s="662">
        <f t="shared" si="3"/>
        <v>64988</v>
      </c>
      <c r="I66" s="663">
        <v>0</v>
      </c>
      <c r="J66" s="662">
        <v>400</v>
      </c>
      <c r="K66" s="662">
        <v>0</v>
      </c>
      <c r="L66" s="662">
        <v>64588</v>
      </c>
      <c r="M66" s="662">
        <v>0</v>
      </c>
      <c r="N66" s="662">
        <v>0</v>
      </c>
      <c r="O66" s="659">
        <f t="shared" si="4"/>
        <v>0</v>
      </c>
      <c r="P66" s="662">
        <v>0</v>
      </c>
      <c r="Q66" s="662">
        <v>0</v>
      </c>
      <c r="R66" s="662">
        <v>0</v>
      </c>
      <c r="S66" s="662">
        <f>'[19]Раз.пос.(Пр.3-26)     '!S66+'[19]Уточнение для Пр.5-26'!S66</f>
        <v>0</v>
      </c>
    </row>
    <row r="67" spans="1:19" x14ac:dyDescent="0.2">
      <c r="A67" s="161">
        <v>56</v>
      </c>
      <c r="B67" s="52" t="s">
        <v>154</v>
      </c>
      <c r="C67" s="50" t="s">
        <v>155</v>
      </c>
      <c r="D67" s="659">
        <f t="shared" si="5"/>
        <v>133735</v>
      </c>
      <c r="E67" s="662">
        <f t="shared" si="2"/>
        <v>0</v>
      </c>
      <c r="F67" s="662">
        <v>0</v>
      </c>
      <c r="G67" s="662">
        <v>0</v>
      </c>
      <c r="H67" s="662">
        <f t="shared" si="3"/>
        <v>133735</v>
      </c>
      <c r="I67" s="663">
        <v>0</v>
      </c>
      <c r="J67" s="662">
        <v>1397</v>
      </c>
      <c r="K67" s="662">
        <v>0</v>
      </c>
      <c r="L67" s="662">
        <v>132338</v>
      </c>
      <c r="M67" s="662">
        <v>0</v>
      </c>
      <c r="N67" s="662">
        <v>0</v>
      </c>
      <c r="O67" s="659">
        <f t="shared" si="4"/>
        <v>0</v>
      </c>
      <c r="P67" s="662">
        <v>0</v>
      </c>
      <c r="Q67" s="662">
        <v>0</v>
      </c>
      <c r="R67" s="662">
        <v>0</v>
      </c>
      <c r="S67" s="662">
        <f>'[19]Раз.пос.(Пр.3-26)     '!S68+'[19]Уточнение для Пр.5-26'!S68</f>
        <v>0</v>
      </c>
    </row>
    <row r="68" spans="1:19" ht="24" x14ac:dyDescent="0.2">
      <c r="A68" s="161">
        <v>57</v>
      </c>
      <c r="B68" s="49" t="s">
        <v>158</v>
      </c>
      <c r="C68" s="50" t="s">
        <v>159</v>
      </c>
      <c r="D68" s="659">
        <f t="shared" si="5"/>
        <v>30354</v>
      </c>
      <c r="E68" s="662">
        <f t="shared" si="2"/>
        <v>0</v>
      </c>
      <c r="F68" s="662">
        <v>0</v>
      </c>
      <c r="G68" s="662">
        <v>0</v>
      </c>
      <c r="H68" s="662">
        <f t="shared" si="3"/>
        <v>30354</v>
      </c>
      <c r="I68" s="663">
        <v>12000</v>
      </c>
      <c r="J68" s="662">
        <v>0</v>
      </c>
      <c r="K68" s="662">
        <v>18354</v>
      </c>
      <c r="L68" s="662">
        <v>0</v>
      </c>
      <c r="M68" s="662">
        <v>0</v>
      </c>
      <c r="N68" s="662">
        <v>0</v>
      </c>
      <c r="O68" s="659">
        <f t="shared" si="4"/>
        <v>0</v>
      </c>
      <c r="P68" s="662">
        <v>0</v>
      </c>
      <c r="Q68" s="662">
        <v>0</v>
      </c>
      <c r="R68" s="662">
        <v>0</v>
      </c>
      <c r="S68" s="662">
        <f>'[19]Раз.пос.(Пр.3-26)     '!S70+'[19]Уточнение для Пр.5-26'!S70</f>
        <v>0</v>
      </c>
    </row>
    <row r="69" spans="1:19" ht="24" x14ac:dyDescent="0.2">
      <c r="A69" s="161">
        <v>58</v>
      </c>
      <c r="B69" s="49" t="s">
        <v>160</v>
      </c>
      <c r="C69" s="50" t="s">
        <v>161</v>
      </c>
      <c r="D69" s="659">
        <f t="shared" si="5"/>
        <v>23397</v>
      </c>
      <c r="E69" s="662">
        <f t="shared" si="2"/>
        <v>0</v>
      </c>
      <c r="F69" s="662">
        <v>0</v>
      </c>
      <c r="G69" s="662">
        <v>0</v>
      </c>
      <c r="H69" s="662">
        <f t="shared" si="3"/>
        <v>23397</v>
      </c>
      <c r="I69" s="663">
        <v>12000</v>
      </c>
      <c r="J69" s="662">
        <v>0</v>
      </c>
      <c r="K69" s="662">
        <v>11397</v>
      </c>
      <c r="L69" s="662">
        <v>0</v>
      </c>
      <c r="M69" s="662">
        <v>0</v>
      </c>
      <c r="N69" s="662">
        <v>0</v>
      </c>
      <c r="O69" s="659">
        <f t="shared" si="4"/>
        <v>0</v>
      </c>
      <c r="P69" s="662">
        <v>0</v>
      </c>
      <c r="Q69" s="662">
        <v>0</v>
      </c>
      <c r="R69" s="662">
        <v>0</v>
      </c>
      <c r="S69" s="662">
        <f>'[19]Раз.пос.(Пр.3-26)     '!S71+'[19]Уточнение для Пр.5-26'!S71</f>
        <v>0</v>
      </c>
    </row>
    <row r="70" spans="1:19" x14ac:dyDescent="0.2">
      <c r="A70" s="161">
        <v>59</v>
      </c>
      <c r="B70" s="52" t="s">
        <v>162</v>
      </c>
      <c r="C70" s="50" t="s">
        <v>163</v>
      </c>
      <c r="D70" s="659">
        <f t="shared" si="5"/>
        <v>77469</v>
      </c>
      <c r="E70" s="662">
        <f t="shared" si="2"/>
        <v>0</v>
      </c>
      <c r="F70" s="662">
        <v>0</v>
      </c>
      <c r="G70" s="662">
        <v>0</v>
      </c>
      <c r="H70" s="662">
        <f t="shared" si="3"/>
        <v>76005</v>
      </c>
      <c r="I70" s="663">
        <v>0</v>
      </c>
      <c r="J70" s="662">
        <v>14100</v>
      </c>
      <c r="K70" s="662">
        <v>0</v>
      </c>
      <c r="L70" s="662">
        <v>61905</v>
      </c>
      <c r="M70" s="662">
        <v>1025</v>
      </c>
      <c r="N70" s="662">
        <v>439</v>
      </c>
      <c r="O70" s="659">
        <f t="shared" si="4"/>
        <v>0</v>
      </c>
      <c r="P70" s="662">
        <v>0</v>
      </c>
      <c r="Q70" s="662">
        <v>0</v>
      </c>
      <c r="R70" s="662">
        <v>0</v>
      </c>
      <c r="S70" s="662">
        <f>'[19]Раз.пос.(Пр.3-26)     '!S72+'[19]Уточнение для Пр.5-26'!S72</f>
        <v>0</v>
      </c>
    </row>
    <row r="71" spans="1:19" x14ac:dyDescent="0.2">
      <c r="A71" s="161">
        <v>60</v>
      </c>
      <c r="B71" s="52" t="s">
        <v>164</v>
      </c>
      <c r="C71" s="50" t="s">
        <v>165</v>
      </c>
      <c r="D71" s="659">
        <f t="shared" si="5"/>
        <v>18947</v>
      </c>
      <c r="E71" s="662">
        <f t="shared" si="2"/>
        <v>0</v>
      </c>
      <c r="F71" s="662">
        <v>0</v>
      </c>
      <c r="G71" s="662">
        <v>0</v>
      </c>
      <c r="H71" s="662">
        <f t="shared" si="3"/>
        <v>17483</v>
      </c>
      <c r="I71" s="663">
        <v>0</v>
      </c>
      <c r="J71" s="662">
        <v>300</v>
      </c>
      <c r="K71" s="662">
        <v>0</v>
      </c>
      <c r="L71" s="662">
        <v>17183</v>
      </c>
      <c r="M71" s="662">
        <v>1025</v>
      </c>
      <c r="N71" s="662">
        <v>439</v>
      </c>
      <c r="O71" s="659">
        <f t="shared" si="4"/>
        <v>0</v>
      </c>
      <c r="P71" s="662">
        <v>0</v>
      </c>
      <c r="Q71" s="662">
        <v>0</v>
      </c>
      <c r="R71" s="662">
        <v>0</v>
      </c>
      <c r="S71" s="662">
        <f>'[19]Раз.пос.(Пр.3-26)     '!S73+'[19]Уточнение для Пр.5-26'!S73</f>
        <v>0</v>
      </c>
    </row>
    <row r="72" spans="1:19" x14ac:dyDescent="0.2">
      <c r="A72" s="161">
        <v>61</v>
      </c>
      <c r="B72" s="52" t="s">
        <v>166</v>
      </c>
      <c r="C72" s="50" t="s">
        <v>167</v>
      </c>
      <c r="D72" s="659">
        <f t="shared" si="5"/>
        <v>79160</v>
      </c>
      <c r="E72" s="662">
        <f t="shared" si="2"/>
        <v>1200</v>
      </c>
      <c r="F72" s="662">
        <v>1200</v>
      </c>
      <c r="G72" s="662">
        <v>0</v>
      </c>
      <c r="H72" s="662">
        <f t="shared" si="3"/>
        <v>76496</v>
      </c>
      <c r="I72" s="663">
        <v>0</v>
      </c>
      <c r="J72" s="662">
        <v>15000</v>
      </c>
      <c r="K72" s="662">
        <v>0</v>
      </c>
      <c r="L72" s="662">
        <v>61496</v>
      </c>
      <c r="M72" s="662">
        <v>1025</v>
      </c>
      <c r="N72" s="662">
        <v>439</v>
      </c>
      <c r="O72" s="659">
        <f t="shared" si="4"/>
        <v>0</v>
      </c>
      <c r="P72" s="662">
        <v>0</v>
      </c>
      <c r="Q72" s="662">
        <v>0</v>
      </c>
      <c r="R72" s="662">
        <v>0</v>
      </c>
      <c r="S72" s="662">
        <f>'[19]Раз.пос.(Пр.3-26)     '!S74+'[19]Уточнение для Пр.5-26'!S74</f>
        <v>0</v>
      </c>
    </row>
    <row r="73" spans="1:19" ht="36" x14ac:dyDescent="0.2">
      <c r="A73" s="901">
        <v>62</v>
      </c>
      <c r="B73" s="49" t="s">
        <v>170</v>
      </c>
      <c r="C73" s="57" t="s">
        <v>774</v>
      </c>
      <c r="D73" s="659">
        <f t="shared" si="5"/>
        <v>41185</v>
      </c>
      <c r="E73" s="662">
        <f t="shared" si="2"/>
        <v>0</v>
      </c>
      <c r="F73" s="662">
        <v>0</v>
      </c>
      <c r="G73" s="662">
        <v>0</v>
      </c>
      <c r="H73" s="662">
        <f t="shared" si="3"/>
        <v>41185</v>
      </c>
      <c r="I73" s="663">
        <v>0</v>
      </c>
      <c r="J73" s="662">
        <v>0</v>
      </c>
      <c r="K73" s="662">
        <v>41185</v>
      </c>
      <c r="L73" s="662">
        <v>0</v>
      </c>
      <c r="M73" s="662">
        <v>0</v>
      </c>
      <c r="N73" s="662">
        <v>0</v>
      </c>
      <c r="O73" s="659">
        <f t="shared" si="4"/>
        <v>0</v>
      </c>
      <c r="P73" s="662">
        <v>0</v>
      </c>
      <c r="Q73" s="662">
        <v>0</v>
      </c>
      <c r="R73" s="662">
        <v>0</v>
      </c>
      <c r="S73" s="662">
        <f>'[19]Раз.пос.(Пр.3-26)     '!S76+'[19]Уточнение для Пр.5-26'!S76</f>
        <v>0</v>
      </c>
    </row>
    <row r="74" spans="1:19" ht="24" x14ac:dyDescent="0.2">
      <c r="A74" s="902"/>
      <c r="B74" s="52" t="s">
        <v>168</v>
      </c>
      <c r="C74" s="50" t="s">
        <v>169</v>
      </c>
      <c r="D74" s="659">
        <f t="shared" si="5"/>
        <v>4526</v>
      </c>
      <c r="E74" s="662">
        <f t="shared" si="2"/>
        <v>0</v>
      </c>
      <c r="F74" s="662">
        <v>0</v>
      </c>
      <c r="G74" s="662">
        <v>0</v>
      </c>
      <c r="H74" s="662">
        <f t="shared" si="3"/>
        <v>4526</v>
      </c>
      <c r="I74" s="663">
        <v>0</v>
      </c>
      <c r="J74" s="662">
        <v>0</v>
      </c>
      <c r="K74" s="662">
        <v>4526</v>
      </c>
      <c r="L74" s="662">
        <v>0</v>
      </c>
      <c r="M74" s="662">
        <v>0</v>
      </c>
      <c r="N74" s="662">
        <v>0</v>
      </c>
      <c r="O74" s="659">
        <v>0</v>
      </c>
      <c r="P74" s="662">
        <v>0</v>
      </c>
      <c r="Q74" s="662">
        <v>0</v>
      </c>
      <c r="R74" s="662">
        <v>0</v>
      </c>
      <c r="S74" s="662">
        <v>0</v>
      </c>
    </row>
    <row r="75" spans="1:19" ht="24" x14ac:dyDescent="0.2">
      <c r="A75" s="903"/>
      <c r="B75" s="52" t="s">
        <v>174</v>
      </c>
      <c r="C75" s="50" t="s">
        <v>175</v>
      </c>
      <c r="D75" s="659">
        <f t="shared" si="5"/>
        <v>4851</v>
      </c>
      <c r="E75" s="662">
        <f t="shared" si="2"/>
        <v>0</v>
      </c>
      <c r="F75" s="662">
        <v>0</v>
      </c>
      <c r="G75" s="662">
        <v>0</v>
      </c>
      <c r="H75" s="662">
        <f t="shared" si="3"/>
        <v>4851</v>
      </c>
      <c r="I75" s="663">
        <v>0</v>
      </c>
      <c r="J75" s="662">
        <v>0</v>
      </c>
      <c r="K75" s="662">
        <v>4851</v>
      </c>
      <c r="L75" s="662">
        <v>0</v>
      </c>
      <c r="M75" s="662">
        <v>0</v>
      </c>
      <c r="N75" s="662">
        <v>0</v>
      </c>
      <c r="O75" s="659">
        <f t="shared" si="4"/>
        <v>0</v>
      </c>
      <c r="P75" s="662">
        <v>0</v>
      </c>
      <c r="Q75" s="662">
        <v>0</v>
      </c>
      <c r="R75" s="662">
        <v>0</v>
      </c>
      <c r="S75" s="662">
        <f>'[19]Раз.пос.(Пр.3-26)     '!S77+'[19]Уточнение для Пр.5-26'!S77</f>
        <v>0</v>
      </c>
    </row>
    <row r="76" spans="1:19" ht="36" x14ac:dyDescent="0.2">
      <c r="A76" s="901">
        <v>63</v>
      </c>
      <c r="B76" s="624" t="s">
        <v>176</v>
      </c>
      <c r="C76" s="57" t="s">
        <v>777</v>
      </c>
      <c r="D76" s="659">
        <f t="shared" si="5"/>
        <v>62574</v>
      </c>
      <c r="E76" s="662">
        <f t="shared" ref="E76:E141" si="6">F76+G76</f>
        <v>0</v>
      </c>
      <c r="F76" s="662">
        <v>0</v>
      </c>
      <c r="G76" s="662">
        <v>0</v>
      </c>
      <c r="H76" s="662">
        <f t="shared" ref="H76:H141" si="7">SUM(I76:L76)</f>
        <v>62574</v>
      </c>
      <c r="I76" s="663">
        <v>4274</v>
      </c>
      <c r="J76" s="662">
        <v>0</v>
      </c>
      <c r="K76" s="662">
        <v>58300</v>
      </c>
      <c r="L76" s="662">
        <v>0</v>
      </c>
      <c r="M76" s="662">
        <v>0</v>
      </c>
      <c r="N76" s="662">
        <v>0</v>
      </c>
      <c r="O76" s="659">
        <f t="shared" ref="O76:O140" si="8">P76+Q76</f>
        <v>0</v>
      </c>
      <c r="P76" s="662">
        <v>0</v>
      </c>
      <c r="Q76" s="662">
        <v>0</v>
      </c>
      <c r="R76" s="662">
        <v>0</v>
      </c>
      <c r="S76" s="662">
        <f>'[19]Раз.пос.(Пр.3-26)     '!S79+'[19]Уточнение для Пр.5-26'!S79</f>
        <v>0</v>
      </c>
    </row>
    <row r="77" spans="1:19" ht="24" x14ac:dyDescent="0.2">
      <c r="A77" s="902"/>
      <c r="B77" s="52" t="s">
        <v>172</v>
      </c>
      <c r="C77" s="50" t="s">
        <v>173</v>
      </c>
      <c r="D77" s="659">
        <f t="shared" ref="D77:D139" si="9">E77+H77+M77+N77+O77+S77</f>
        <v>5391</v>
      </c>
      <c r="E77" s="662">
        <f t="shared" si="6"/>
        <v>0</v>
      </c>
      <c r="F77" s="662">
        <v>0</v>
      </c>
      <c r="G77" s="662">
        <v>0</v>
      </c>
      <c r="H77" s="662">
        <f t="shared" si="7"/>
        <v>5391</v>
      </c>
      <c r="I77" s="663">
        <v>0</v>
      </c>
      <c r="J77" s="662">
        <v>0</v>
      </c>
      <c r="K77" s="662">
        <v>5391</v>
      </c>
      <c r="L77" s="662">
        <v>0</v>
      </c>
      <c r="M77" s="662">
        <v>0</v>
      </c>
      <c r="N77" s="662">
        <v>0</v>
      </c>
      <c r="O77" s="659">
        <f t="shared" si="8"/>
        <v>0</v>
      </c>
      <c r="P77" s="662">
        <v>0</v>
      </c>
      <c r="Q77" s="662">
        <v>0</v>
      </c>
      <c r="R77" s="662">
        <v>0</v>
      </c>
      <c r="S77" s="662">
        <f>'[19]Раз.пос.(Пр.3-26)     '!S80+'[19]Уточнение для Пр.5-26'!S80</f>
        <v>0</v>
      </c>
    </row>
    <row r="78" spans="1:19" ht="24" x14ac:dyDescent="0.2">
      <c r="A78" s="902"/>
      <c r="B78" s="49" t="s">
        <v>178</v>
      </c>
      <c r="C78" s="50" t="s">
        <v>179</v>
      </c>
      <c r="D78" s="659">
        <f t="shared" si="9"/>
        <v>4595</v>
      </c>
      <c r="E78" s="662">
        <f t="shared" si="6"/>
        <v>0</v>
      </c>
      <c r="F78" s="662">
        <v>0</v>
      </c>
      <c r="G78" s="662">
        <v>0</v>
      </c>
      <c r="H78" s="662">
        <f t="shared" si="7"/>
        <v>4595</v>
      </c>
      <c r="I78" s="663">
        <v>0</v>
      </c>
      <c r="J78" s="662">
        <v>0</v>
      </c>
      <c r="K78" s="662">
        <v>4595</v>
      </c>
      <c r="L78" s="662">
        <v>0</v>
      </c>
      <c r="M78" s="662">
        <v>0</v>
      </c>
      <c r="N78" s="662">
        <v>0</v>
      </c>
      <c r="O78" s="659">
        <f t="shared" si="8"/>
        <v>0</v>
      </c>
      <c r="P78" s="662">
        <v>0</v>
      </c>
      <c r="Q78" s="662">
        <v>0</v>
      </c>
      <c r="R78" s="662">
        <v>0</v>
      </c>
      <c r="S78" s="662">
        <f>'[19]Раз.пос.(Пр.3-26)     '!S80+'[19]Уточнение для Пр.5-26'!S80</f>
        <v>0</v>
      </c>
    </row>
    <row r="79" spans="1:19" ht="24" x14ac:dyDescent="0.2">
      <c r="A79" s="903"/>
      <c r="B79" s="49" t="s">
        <v>180</v>
      </c>
      <c r="C79" s="50" t="s">
        <v>181</v>
      </c>
      <c r="D79" s="659">
        <f t="shared" si="9"/>
        <v>3591</v>
      </c>
      <c r="E79" s="662">
        <f t="shared" si="6"/>
        <v>0</v>
      </c>
      <c r="F79" s="662">
        <v>0</v>
      </c>
      <c r="G79" s="662">
        <v>0</v>
      </c>
      <c r="H79" s="662">
        <f t="shared" si="7"/>
        <v>3591</v>
      </c>
      <c r="I79" s="663">
        <v>0</v>
      </c>
      <c r="J79" s="662">
        <v>0</v>
      </c>
      <c r="K79" s="662">
        <v>3591</v>
      </c>
      <c r="L79" s="662">
        <v>0</v>
      </c>
      <c r="M79" s="662">
        <v>0</v>
      </c>
      <c r="N79" s="662">
        <v>0</v>
      </c>
      <c r="O79" s="659">
        <f t="shared" si="8"/>
        <v>0</v>
      </c>
      <c r="P79" s="662">
        <v>0</v>
      </c>
      <c r="Q79" s="662">
        <v>0</v>
      </c>
      <c r="R79" s="662">
        <v>0</v>
      </c>
      <c r="S79" s="662">
        <f>'[19]Раз.пос.(Пр.3-26)     '!S81+'[19]Уточнение для Пр.5-26'!S81</f>
        <v>0</v>
      </c>
    </row>
    <row r="80" spans="1:19" x14ac:dyDescent="0.2">
      <c r="A80" s="161">
        <v>64</v>
      </c>
      <c r="B80" s="167" t="s">
        <v>182</v>
      </c>
      <c r="C80" s="50" t="s">
        <v>183</v>
      </c>
      <c r="D80" s="659">
        <f t="shared" si="9"/>
        <v>105131</v>
      </c>
      <c r="E80" s="662">
        <f t="shared" si="6"/>
        <v>0</v>
      </c>
      <c r="F80" s="662">
        <v>0</v>
      </c>
      <c r="G80" s="662">
        <v>0</v>
      </c>
      <c r="H80" s="662">
        <f t="shared" si="7"/>
        <v>103667</v>
      </c>
      <c r="I80" s="663">
        <v>0</v>
      </c>
      <c r="J80" s="662">
        <v>6200</v>
      </c>
      <c r="K80" s="662">
        <v>6867</v>
      </c>
      <c r="L80" s="662">
        <v>90600</v>
      </c>
      <c r="M80" s="662">
        <v>1025</v>
      </c>
      <c r="N80" s="662">
        <v>439</v>
      </c>
      <c r="O80" s="659">
        <f t="shared" si="8"/>
        <v>0</v>
      </c>
      <c r="P80" s="662">
        <v>0</v>
      </c>
      <c r="Q80" s="662">
        <v>0</v>
      </c>
      <c r="R80" s="662">
        <v>0</v>
      </c>
      <c r="S80" s="662">
        <f>'[19]Раз.пос.(Пр.3-26)     '!S82+'[19]Уточнение для Пр.5-26'!S82</f>
        <v>0</v>
      </c>
    </row>
    <row r="81" spans="1:19" x14ac:dyDescent="0.2">
      <c r="A81" s="161">
        <v>65</v>
      </c>
      <c r="B81" s="49" t="s">
        <v>184</v>
      </c>
      <c r="C81" s="50" t="s">
        <v>185</v>
      </c>
      <c r="D81" s="659">
        <f t="shared" si="9"/>
        <v>120765</v>
      </c>
      <c r="E81" s="662">
        <f t="shared" si="6"/>
        <v>0</v>
      </c>
      <c r="F81" s="662">
        <v>0</v>
      </c>
      <c r="G81" s="662">
        <v>0</v>
      </c>
      <c r="H81" s="662">
        <f t="shared" si="7"/>
        <v>113817</v>
      </c>
      <c r="I81" s="663">
        <v>0</v>
      </c>
      <c r="J81" s="662">
        <v>33480</v>
      </c>
      <c r="K81" s="662">
        <v>0</v>
      </c>
      <c r="L81" s="662">
        <v>80337</v>
      </c>
      <c r="M81" s="662">
        <v>3075</v>
      </c>
      <c r="N81" s="662">
        <v>1317</v>
      </c>
      <c r="O81" s="659">
        <f t="shared" si="8"/>
        <v>2556</v>
      </c>
      <c r="P81" s="662">
        <v>0</v>
      </c>
      <c r="Q81" s="662">
        <v>2556</v>
      </c>
      <c r="R81" s="662">
        <v>0</v>
      </c>
      <c r="S81" s="662">
        <f>'[19]Раз.пос.(Пр.3-26)     '!S83+'[19]Уточнение для Пр.5-26'!S83</f>
        <v>0</v>
      </c>
    </row>
    <row r="82" spans="1:19" x14ac:dyDescent="0.2">
      <c r="A82" s="161">
        <v>66</v>
      </c>
      <c r="B82" s="167" t="s">
        <v>186</v>
      </c>
      <c r="C82" s="50" t="s">
        <v>187</v>
      </c>
      <c r="D82" s="659">
        <f t="shared" si="9"/>
        <v>18384</v>
      </c>
      <c r="E82" s="662">
        <f t="shared" si="6"/>
        <v>0</v>
      </c>
      <c r="F82" s="662">
        <v>0</v>
      </c>
      <c r="G82" s="662">
        <v>0</v>
      </c>
      <c r="H82" s="662">
        <f t="shared" si="7"/>
        <v>16920</v>
      </c>
      <c r="I82" s="663">
        <v>0</v>
      </c>
      <c r="J82" s="662">
        <v>1000</v>
      </c>
      <c r="K82" s="662">
        <v>4341</v>
      </c>
      <c r="L82" s="662">
        <v>11579</v>
      </c>
      <c r="M82" s="662">
        <v>1025</v>
      </c>
      <c r="N82" s="662">
        <v>439</v>
      </c>
      <c r="O82" s="659">
        <f t="shared" si="8"/>
        <v>0</v>
      </c>
      <c r="P82" s="662">
        <v>0</v>
      </c>
      <c r="Q82" s="662">
        <v>0</v>
      </c>
      <c r="R82" s="662">
        <v>0</v>
      </c>
      <c r="S82" s="662">
        <f>'[19]Раз.пос.(Пр.3-26)     '!S84+'[19]Уточнение для Пр.5-26'!S84</f>
        <v>0</v>
      </c>
    </row>
    <row r="83" spans="1:19" ht="24" x14ac:dyDescent="0.2">
      <c r="A83" s="901">
        <v>67</v>
      </c>
      <c r="B83" s="624" t="s">
        <v>188</v>
      </c>
      <c r="C83" s="57" t="s">
        <v>785</v>
      </c>
      <c r="D83" s="659">
        <f t="shared" si="9"/>
        <v>137939</v>
      </c>
      <c r="E83" s="662">
        <f t="shared" si="6"/>
        <v>0</v>
      </c>
      <c r="F83" s="662">
        <v>0</v>
      </c>
      <c r="G83" s="662">
        <v>0</v>
      </c>
      <c r="H83" s="662">
        <f t="shared" si="7"/>
        <v>136475</v>
      </c>
      <c r="I83" s="663">
        <v>0</v>
      </c>
      <c r="J83" s="662">
        <v>6126</v>
      </c>
      <c r="K83" s="662">
        <v>9202</v>
      </c>
      <c r="L83" s="662">
        <v>121147</v>
      </c>
      <c r="M83" s="662">
        <v>1025</v>
      </c>
      <c r="N83" s="662">
        <v>439</v>
      </c>
      <c r="O83" s="659">
        <f t="shared" si="8"/>
        <v>0</v>
      </c>
      <c r="P83" s="662">
        <v>0</v>
      </c>
      <c r="Q83" s="662">
        <v>0</v>
      </c>
      <c r="R83" s="662">
        <v>0</v>
      </c>
      <c r="S83" s="662">
        <f>'[19]Раз.пос.(Пр.3-26)     '!S85+'[19]Уточнение для Пр.5-26'!S85</f>
        <v>0</v>
      </c>
    </row>
    <row r="84" spans="1:19" x14ac:dyDescent="0.2">
      <c r="A84" s="903"/>
      <c r="B84" s="167" t="s">
        <v>156</v>
      </c>
      <c r="C84" s="50" t="s">
        <v>157</v>
      </c>
      <c r="D84" s="659">
        <f t="shared" si="9"/>
        <v>29950</v>
      </c>
      <c r="E84" s="662">
        <f t="shared" ref="E84" si="10">F84+G84</f>
        <v>0</v>
      </c>
      <c r="F84" s="662">
        <v>0</v>
      </c>
      <c r="G84" s="662">
        <v>0</v>
      </c>
      <c r="H84" s="662">
        <f t="shared" si="7"/>
        <v>29950</v>
      </c>
      <c r="I84" s="663"/>
      <c r="J84" s="662">
        <v>447</v>
      </c>
      <c r="K84" s="662">
        <v>1331</v>
      </c>
      <c r="L84" s="662">
        <v>28172</v>
      </c>
      <c r="M84" s="662">
        <v>0</v>
      </c>
      <c r="N84" s="662">
        <v>0</v>
      </c>
      <c r="O84" s="659">
        <f t="shared" si="8"/>
        <v>0</v>
      </c>
      <c r="P84" s="662">
        <v>0</v>
      </c>
      <c r="Q84" s="662">
        <v>0</v>
      </c>
      <c r="R84" s="662">
        <v>0</v>
      </c>
      <c r="S84" s="662">
        <v>0</v>
      </c>
    </row>
    <row r="85" spans="1:19" x14ac:dyDescent="0.2">
      <c r="A85" s="161">
        <v>68</v>
      </c>
      <c r="B85" s="49" t="s">
        <v>190</v>
      </c>
      <c r="C85" s="50" t="s">
        <v>191</v>
      </c>
      <c r="D85" s="659">
        <f t="shared" si="9"/>
        <v>149022</v>
      </c>
      <c r="E85" s="662">
        <f t="shared" si="6"/>
        <v>0</v>
      </c>
      <c r="F85" s="662">
        <v>0</v>
      </c>
      <c r="G85" s="662">
        <v>0</v>
      </c>
      <c r="H85" s="662">
        <f t="shared" si="7"/>
        <v>131770</v>
      </c>
      <c r="I85" s="663">
        <v>0</v>
      </c>
      <c r="J85" s="662">
        <v>29500</v>
      </c>
      <c r="K85" s="662">
        <v>12367</v>
      </c>
      <c r="L85" s="662">
        <v>89903</v>
      </c>
      <c r="M85" s="662">
        <v>2050</v>
      </c>
      <c r="N85" s="662">
        <v>878</v>
      </c>
      <c r="O85" s="659">
        <f t="shared" si="8"/>
        <v>9932</v>
      </c>
      <c r="P85" s="662">
        <v>0</v>
      </c>
      <c r="Q85" s="662">
        <v>9932</v>
      </c>
      <c r="R85" s="662">
        <v>0</v>
      </c>
      <c r="S85" s="662">
        <f>'[19]Раз.пос.(Пр.3-26)     '!S86+'[19]Уточнение для Пр.5-26'!S86</f>
        <v>4392</v>
      </c>
    </row>
    <row r="86" spans="1:19" ht="24" x14ac:dyDescent="0.2">
      <c r="A86" s="901">
        <v>69</v>
      </c>
      <c r="B86" s="624" t="s">
        <v>192</v>
      </c>
      <c r="C86" s="57" t="s">
        <v>776</v>
      </c>
      <c r="D86" s="659">
        <f t="shared" si="9"/>
        <v>180176</v>
      </c>
      <c r="E86" s="662">
        <f t="shared" si="6"/>
        <v>0</v>
      </c>
      <c r="F86" s="662">
        <v>0</v>
      </c>
      <c r="G86" s="662">
        <v>0</v>
      </c>
      <c r="H86" s="662">
        <f t="shared" si="7"/>
        <v>180176</v>
      </c>
      <c r="I86" s="663">
        <v>720</v>
      </c>
      <c r="J86" s="662">
        <v>3320</v>
      </c>
      <c r="K86" s="662">
        <v>6344</v>
      </c>
      <c r="L86" s="662">
        <v>169792</v>
      </c>
      <c r="M86" s="662">
        <v>0</v>
      </c>
      <c r="N86" s="662">
        <v>0</v>
      </c>
      <c r="O86" s="659">
        <f t="shared" si="8"/>
        <v>0</v>
      </c>
      <c r="P86" s="662">
        <v>0</v>
      </c>
      <c r="Q86" s="662">
        <v>0</v>
      </c>
      <c r="R86" s="662">
        <v>0</v>
      </c>
      <c r="S86" s="662">
        <f>'[19]Раз.пос.(Пр.3-26)     '!S87+'[19]Уточнение для Пр.5-26'!S87</f>
        <v>0</v>
      </c>
    </row>
    <row r="87" spans="1:19" x14ac:dyDescent="0.2">
      <c r="A87" s="903"/>
      <c r="B87" s="49" t="s">
        <v>152</v>
      </c>
      <c r="C87" s="50" t="s">
        <v>153</v>
      </c>
      <c r="D87" s="659">
        <f t="shared" si="9"/>
        <v>35123</v>
      </c>
      <c r="E87" s="662">
        <v>0</v>
      </c>
      <c r="F87" s="662">
        <v>0</v>
      </c>
      <c r="G87" s="662">
        <v>0</v>
      </c>
      <c r="H87" s="662">
        <f t="shared" si="7"/>
        <v>35123</v>
      </c>
      <c r="I87" s="663">
        <v>240</v>
      </c>
      <c r="J87" s="662">
        <v>467</v>
      </c>
      <c r="K87" s="662">
        <v>2115</v>
      </c>
      <c r="L87" s="662">
        <v>32301</v>
      </c>
      <c r="M87" s="662">
        <v>0</v>
      </c>
      <c r="N87" s="662">
        <v>0</v>
      </c>
      <c r="O87" s="659">
        <v>0</v>
      </c>
      <c r="P87" s="662">
        <v>0</v>
      </c>
      <c r="Q87" s="662">
        <v>0</v>
      </c>
      <c r="R87" s="662">
        <v>0</v>
      </c>
      <c r="S87" s="662">
        <v>0</v>
      </c>
    </row>
    <row r="88" spans="1:19" x14ac:dyDescent="0.2">
      <c r="A88" s="161">
        <v>70</v>
      </c>
      <c r="B88" s="49" t="s">
        <v>194</v>
      </c>
      <c r="C88" s="50" t="s">
        <v>195</v>
      </c>
      <c r="D88" s="659">
        <f t="shared" si="9"/>
        <v>52869</v>
      </c>
      <c r="E88" s="662">
        <f t="shared" si="6"/>
        <v>0</v>
      </c>
      <c r="F88" s="662">
        <v>0</v>
      </c>
      <c r="G88" s="662">
        <v>0</v>
      </c>
      <c r="H88" s="662">
        <f t="shared" si="7"/>
        <v>48405</v>
      </c>
      <c r="I88" s="663">
        <v>0</v>
      </c>
      <c r="J88" s="662">
        <v>17500</v>
      </c>
      <c r="K88" s="662">
        <v>2212</v>
      </c>
      <c r="L88" s="662">
        <v>28693</v>
      </c>
      <c r="M88" s="662">
        <v>1025</v>
      </c>
      <c r="N88" s="662">
        <v>439</v>
      </c>
      <c r="O88" s="659">
        <f t="shared" si="8"/>
        <v>3000</v>
      </c>
      <c r="P88" s="662">
        <v>0</v>
      </c>
      <c r="Q88" s="662">
        <v>3000</v>
      </c>
      <c r="R88" s="662">
        <v>0</v>
      </c>
      <c r="S88" s="662">
        <f>'[19]Раз.пос.(Пр.3-26)     '!S88+'[19]Уточнение для Пр.5-26'!S88</f>
        <v>0</v>
      </c>
    </row>
    <row r="89" spans="1:19" x14ac:dyDescent="0.2">
      <c r="A89" s="161">
        <v>71</v>
      </c>
      <c r="B89" s="49" t="s">
        <v>196</v>
      </c>
      <c r="C89" s="50" t="s">
        <v>197</v>
      </c>
      <c r="D89" s="659">
        <f t="shared" si="9"/>
        <v>27321</v>
      </c>
      <c r="E89" s="662">
        <f t="shared" si="6"/>
        <v>27321</v>
      </c>
      <c r="F89" s="662">
        <v>0</v>
      </c>
      <c r="G89" s="662">
        <v>27321</v>
      </c>
      <c r="H89" s="662">
        <f t="shared" si="7"/>
        <v>0</v>
      </c>
      <c r="I89" s="663">
        <v>0</v>
      </c>
      <c r="J89" s="662">
        <v>0</v>
      </c>
      <c r="K89" s="662">
        <v>0</v>
      </c>
      <c r="L89" s="662">
        <v>0</v>
      </c>
      <c r="M89" s="662">
        <v>0</v>
      </c>
      <c r="N89" s="662">
        <v>0</v>
      </c>
      <c r="O89" s="659">
        <f t="shared" si="8"/>
        <v>0</v>
      </c>
      <c r="P89" s="662">
        <v>0</v>
      </c>
      <c r="Q89" s="662">
        <v>0</v>
      </c>
      <c r="R89" s="662">
        <v>0</v>
      </c>
      <c r="S89" s="662">
        <f>'[19]Раз.пос.(Пр.3-26)     '!S89+'[19]Уточнение для Пр.5-26'!S89</f>
        <v>0</v>
      </c>
    </row>
    <row r="90" spans="1:19" x14ac:dyDescent="0.2">
      <c r="A90" s="161">
        <v>72</v>
      </c>
      <c r="B90" s="52" t="s">
        <v>30</v>
      </c>
      <c r="C90" s="50" t="s">
        <v>198</v>
      </c>
      <c r="D90" s="659">
        <f t="shared" si="9"/>
        <v>0</v>
      </c>
      <c r="E90" s="662">
        <f t="shared" si="6"/>
        <v>0</v>
      </c>
      <c r="F90" s="662">
        <v>0</v>
      </c>
      <c r="G90" s="662">
        <v>0</v>
      </c>
      <c r="H90" s="662">
        <f t="shared" si="7"/>
        <v>0</v>
      </c>
      <c r="I90" s="663">
        <v>0</v>
      </c>
      <c r="J90" s="662">
        <v>0</v>
      </c>
      <c r="K90" s="662">
        <v>0</v>
      </c>
      <c r="L90" s="662">
        <v>0</v>
      </c>
      <c r="M90" s="662">
        <v>0</v>
      </c>
      <c r="N90" s="662">
        <v>0</v>
      </c>
      <c r="O90" s="659">
        <v>0</v>
      </c>
      <c r="P90" s="662">
        <v>0</v>
      </c>
      <c r="Q90" s="662">
        <v>0</v>
      </c>
      <c r="R90" s="662">
        <v>0</v>
      </c>
      <c r="S90" s="662">
        <f>'[19]Раз.пос.(Пр.3-26)     '!S90+'[19]Уточнение для Пр.5-26'!S90</f>
        <v>0</v>
      </c>
    </row>
    <row r="91" spans="1:19" ht="24" x14ac:dyDescent="0.2">
      <c r="A91" s="921">
        <v>73</v>
      </c>
      <c r="B91" s="904" t="s">
        <v>199</v>
      </c>
      <c r="C91" s="57" t="s">
        <v>200</v>
      </c>
      <c r="D91" s="659">
        <f t="shared" si="9"/>
        <v>27136</v>
      </c>
      <c r="E91" s="662">
        <f t="shared" si="6"/>
        <v>5490</v>
      </c>
      <c r="F91" s="662">
        <v>5490</v>
      </c>
      <c r="G91" s="662">
        <v>0</v>
      </c>
      <c r="H91" s="662">
        <f t="shared" si="7"/>
        <v>3228</v>
      </c>
      <c r="I91" s="663">
        <v>0</v>
      </c>
      <c r="J91" s="662">
        <v>620</v>
      </c>
      <c r="K91" s="662">
        <v>0</v>
      </c>
      <c r="L91" s="662">
        <v>2608</v>
      </c>
      <c r="M91" s="662">
        <v>0</v>
      </c>
      <c r="N91" s="662">
        <v>0</v>
      </c>
      <c r="O91" s="659">
        <f t="shared" si="8"/>
        <v>18418</v>
      </c>
      <c r="P91" s="662">
        <v>0</v>
      </c>
      <c r="Q91" s="662">
        <v>18418</v>
      </c>
      <c r="R91" s="662">
        <v>0</v>
      </c>
      <c r="S91" s="662">
        <f>'[19]Раз.пос.(Пр.3-26)     '!S91+'[19]Уточнение для Пр.5-26'!S91</f>
        <v>0</v>
      </c>
    </row>
    <row r="92" spans="1:19" ht="36" x14ac:dyDescent="0.2">
      <c r="A92" s="922"/>
      <c r="B92" s="905"/>
      <c r="C92" s="50" t="s">
        <v>201</v>
      </c>
      <c r="D92" s="659">
        <f t="shared" si="9"/>
        <v>11709</v>
      </c>
      <c r="E92" s="662">
        <f t="shared" si="6"/>
        <v>0</v>
      </c>
      <c r="F92" s="662">
        <v>0</v>
      </c>
      <c r="G92" s="662">
        <v>0</v>
      </c>
      <c r="H92" s="662">
        <f t="shared" si="7"/>
        <v>3228</v>
      </c>
      <c r="I92" s="663">
        <v>0</v>
      </c>
      <c r="J92" s="662">
        <v>620</v>
      </c>
      <c r="K92" s="662">
        <v>0</v>
      </c>
      <c r="L92" s="662">
        <v>2608</v>
      </c>
      <c r="M92" s="662">
        <v>0</v>
      </c>
      <c r="N92" s="662">
        <v>0</v>
      </c>
      <c r="O92" s="659">
        <f t="shared" si="8"/>
        <v>8481</v>
      </c>
      <c r="P92" s="662">
        <v>0</v>
      </c>
      <c r="Q92" s="662">
        <v>8481</v>
      </c>
      <c r="R92" s="662">
        <v>0</v>
      </c>
      <c r="S92" s="662">
        <f>'[19]Раз.пос.(Пр.3-26)     '!S92+'[19]Уточнение для Пр.5-26'!S92</f>
        <v>0</v>
      </c>
    </row>
    <row r="93" spans="1:19" ht="24" x14ac:dyDescent="0.2">
      <c r="A93" s="922"/>
      <c r="B93" s="905"/>
      <c r="C93" s="50" t="s">
        <v>202</v>
      </c>
      <c r="D93" s="659">
        <f t="shared" si="9"/>
        <v>5490</v>
      </c>
      <c r="E93" s="662">
        <f t="shared" si="6"/>
        <v>5490</v>
      </c>
      <c r="F93" s="662">
        <v>5490</v>
      </c>
      <c r="G93" s="662">
        <v>0</v>
      </c>
      <c r="H93" s="662">
        <f t="shared" si="7"/>
        <v>0</v>
      </c>
      <c r="I93" s="663">
        <v>0</v>
      </c>
      <c r="J93" s="662">
        <v>0</v>
      </c>
      <c r="K93" s="662">
        <v>0</v>
      </c>
      <c r="L93" s="662">
        <v>0</v>
      </c>
      <c r="M93" s="662">
        <v>0</v>
      </c>
      <c r="N93" s="662">
        <v>0</v>
      </c>
      <c r="O93" s="659">
        <f t="shared" si="8"/>
        <v>0</v>
      </c>
      <c r="P93" s="662">
        <v>0</v>
      </c>
      <c r="Q93" s="662">
        <v>0</v>
      </c>
      <c r="R93" s="662">
        <v>0</v>
      </c>
      <c r="S93" s="662">
        <f>'[19]Раз.пос.(Пр.3-26)     '!S93+'[19]Уточнение для Пр.5-26'!S93</f>
        <v>0</v>
      </c>
    </row>
    <row r="94" spans="1:19" ht="36" x14ac:dyDescent="0.2">
      <c r="A94" s="923"/>
      <c r="B94" s="906"/>
      <c r="C94" s="58" t="s">
        <v>203</v>
      </c>
      <c r="D94" s="659">
        <f t="shared" si="9"/>
        <v>9937</v>
      </c>
      <c r="E94" s="662">
        <f t="shared" si="6"/>
        <v>0</v>
      </c>
      <c r="F94" s="662">
        <v>0</v>
      </c>
      <c r="G94" s="662">
        <v>0</v>
      </c>
      <c r="H94" s="662">
        <f t="shared" si="7"/>
        <v>0</v>
      </c>
      <c r="I94" s="663">
        <v>0</v>
      </c>
      <c r="J94" s="662">
        <v>0</v>
      </c>
      <c r="K94" s="662">
        <v>0</v>
      </c>
      <c r="L94" s="662">
        <v>0</v>
      </c>
      <c r="M94" s="662">
        <v>0</v>
      </c>
      <c r="N94" s="662">
        <v>0</v>
      </c>
      <c r="O94" s="659">
        <f t="shared" si="8"/>
        <v>9937</v>
      </c>
      <c r="P94" s="662">
        <v>0</v>
      </c>
      <c r="Q94" s="662">
        <v>9937</v>
      </c>
      <c r="R94" s="662">
        <v>0</v>
      </c>
      <c r="S94" s="662">
        <f>'[19]Раз.пос.(Пр.3-26)     '!S94+'[19]Уточнение для Пр.5-26'!S94</f>
        <v>0</v>
      </c>
    </row>
    <row r="95" spans="1:19" ht="24" x14ac:dyDescent="0.2">
      <c r="A95" s="161">
        <v>74</v>
      </c>
      <c r="B95" s="52" t="s">
        <v>204</v>
      </c>
      <c r="C95" s="50" t="s">
        <v>205</v>
      </c>
      <c r="D95" s="659">
        <f t="shared" si="9"/>
        <v>10547</v>
      </c>
      <c r="E95" s="662">
        <f t="shared" si="6"/>
        <v>10547</v>
      </c>
      <c r="F95" s="662">
        <v>1000</v>
      </c>
      <c r="G95" s="662">
        <v>9547</v>
      </c>
      <c r="H95" s="662">
        <f t="shared" si="7"/>
        <v>0</v>
      </c>
      <c r="I95" s="663">
        <v>0</v>
      </c>
      <c r="J95" s="662">
        <v>0</v>
      </c>
      <c r="K95" s="662">
        <v>0</v>
      </c>
      <c r="L95" s="662">
        <v>0</v>
      </c>
      <c r="M95" s="662">
        <v>0</v>
      </c>
      <c r="N95" s="662">
        <v>0</v>
      </c>
      <c r="O95" s="659">
        <f t="shared" si="8"/>
        <v>0</v>
      </c>
      <c r="P95" s="662">
        <v>0</v>
      </c>
      <c r="Q95" s="662">
        <v>0</v>
      </c>
      <c r="R95" s="662">
        <v>0</v>
      </c>
      <c r="S95" s="662">
        <f>'[19]Раз.пос.(Пр.3-26)     '!S95+'[19]Уточнение для Пр.5-26'!S95</f>
        <v>0</v>
      </c>
    </row>
    <row r="96" spans="1:19" x14ac:dyDescent="0.2">
      <c r="A96" s="161">
        <v>75</v>
      </c>
      <c r="B96" s="52" t="s">
        <v>206</v>
      </c>
      <c r="C96" s="50" t="s">
        <v>207</v>
      </c>
      <c r="D96" s="659">
        <f t="shared" si="9"/>
        <v>3388</v>
      </c>
      <c r="E96" s="662">
        <f t="shared" si="6"/>
        <v>0</v>
      </c>
      <c r="F96" s="662">
        <v>0</v>
      </c>
      <c r="G96" s="662">
        <v>0</v>
      </c>
      <c r="H96" s="662">
        <f t="shared" si="7"/>
        <v>3388</v>
      </c>
      <c r="I96" s="663">
        <v>0</v>
      </c>
      <c r="J96" s="662">
        <v>400</v>
      </c>
      <c r="K96" s="662">
        <v>207</v>
      </c>
      <c r="L96" s="662">
        <v>2781</v>
      </c>
      <c r="M96" s="662">
        <v>0</v>
      </c>
      <c r="N96" s="662">
        <v>0</v>
      </c>
      <c r="O96" s="659">
        <f t="shared" si="8"/>
        <v>0</v>
      </c>
      <c r="P96" s="662">
        <v>0</v>
      </c>
      <c r="Q96" s="662">
        <v>0</v>
      </c>
      <c r="R96" s="662">
        <v>0</v>
      </c>
      <c r="S96" s="662">
        <f>'[19]Раз.пос.(Пр.3-26)     '!S96+'[19]Уточнение для Пр.5-26'!S96</f>
        <v>0</v>
      </c>
    </row>
    <row r="97" spans="1:19" x14ac:dyDescent="0.2">
      <c r="A97" s="161">
        <v>76</v>
      </c>
      <c r="B97" s="167" t="s">
        <v>208</v>
      </c>
      <c r="C97" s="50" t="s">
        <v>209</v>
      </c>
      <c r="D97" s="659">
        <f t="shared" si="9"/>
        <v>36354</v>
      </c>
      <c r="E97" s="662">
        <f t="shared" si="6"/>
        <v>0</v>
      </c>
      <c r="F97" s="662">
        <v>0</v>
      </c>
      <c r="G97" s="662">
        <v>0</v>
      </c>
      <c r="H97" s="662">
        <f t="shared" si="7"/>
        <v>34890</v>
      </c>
      <c r="I97" s="663">
        <v>0</v>
      </c>
      <c r="J97" s="662">
        <v>8294</v>
      </c>
      <c r="K97" s="662">
        <v>2422</v>
      </c>
      <c r="L97" s="662">
        <v>24174</v>
      </c>
      <c r="M97" s="662">
        <v>1025</v>
      </c>
      <c r="N97" s="662">
        <v>439</v>
      </c>
      <c r="O97" s="659">
        <f t="shared" si="8"/>
        <v>0</v>
      </c>
      <c r="P97" s="662">
        <v>0</v>
      </c>
      <c r="Q97" s="662">
        <v>0</v>
      </c>
      <c r="R97" s="662">
        <v>0</v>
      </c>
      <c r="S97" s="662">
        <f>'[19]Раз.пос.(Пр.3-26)     '!S97+'[19]Уточнение для Пр.5-26'!S97</f>
        <v>0</v>
      </c>
    </row>
    <row r="98" spans="1:19" x14ac:dyDescent="0.2">
      <c r="A98" s="161">
        <v>77</v>
      </c>
      <c r="B98" s="52" t="s">
        <v>210</v>
      </c>
      <c r="C98" s="50" t="s">
        <v>211</v>
      </c>
      <c r="D98" s="659">
        <f t="shared" si="9"/>
        <v>19225</v>
      </c>
      <c r="E98" s="662">
        <f t="shared" si="6"/>
        <v>0</v>
      </c>
      <c r="F98" s="662">
        <v>0</v>
      </c>
      <c r="G98" s="662">
        <v>0</v>
      </c>
      <c r="H98" s="662">
        <f t="shared" si="7"/>
        <v>19225</v>
      </c>
      <c r="I98" s="663">
        <v>0</v>
      </c>
      <c r="J98" s="662">
        <v>800</v>
      </c>
      <c r="K98" s="662">
        <v>985</v>
      </c>
      <c r="L98" s="662">
        <v>17440</v>
      </c>
      <c r="M98" s="662">
        <v>0</v>
      </c>
      <c r="N98" s="662">
        <v>0</v>
      </c>
      <c r="O98" s="659">
        <f t="shared" si="8"/>
        <v>0</v>
      </c>
      <c r="P98" s="662">
        <v>0</v>
      </c>
      <c r="Q98" s="662">
        <v>0</v>
      </c>
      <c r="R98" s="662">
        <v>0</v>
      </c>
      <c r="S98" s="662">
        <f>'[19]Раз.пос.(Пр.3-26)     '!S98+'[19]Уточнение для Пр.5-26'!S98</f>
        <v>0</v>
      </c>
    </row>
    <row r="99" spans="1:19" x14ac:dyDescent="0.2">
      <c r="A99" s="161">
        <v>78</v>
      </c>
      <c r="B99" s="167" t="s">
        <v>212</v>
      </c>
      <c r="C99" s="50" t="s">
        <v>213</v>
      </c>
      <c r="D99" s="659">
        <f t="shared" si="9"/>
        <v>17862</v>
      </c>
      <c r="E99" s="662">
        <f t="shared" si="6"/>
        <v>0</v>
      </c>
      <c r="F99" s="662">
        <v>0</v>
      </c>
      <c r="G99" s="662">
        <v>0</v>
      </c>
      <c r="H99" s="662">
        <f t="shared" si="7"/>
        <v>17862</v>
      </c>
      <c r="I99" s="663">
        <v>0</v>
      </c>
      <c r="J99" s="662">
        <v>1000</v>
      </c>
      <c r="K99" s="662">
        <f>1730+993</f>
        <v>2723</v>
      </c>
      <c r="L99" s="662">
        <v>14139</v>
      </c>
      <c r="M99" s="662">
        <v>0</v>
      </c>
      <c r="N99" s="662">
        <v>0</v>
      </c>
      <c r="O99" s="659">
        <f t="shared" si="8"/>
        <v>0</v>
      </c>
      <c r="P99" s="662">
        <v>0</v>
      </c>
      <c r="Q99" s="662">
        <v>0</v>
      </c>
      <c r="R99" s="662">
        <v>0</v>
      </c>
      <c r="S99" s="662">
        <f>'[19]Раз.пос.(Пр.3-26)     '!S99+'[19]Уточнение для Пр.5-26'!S99</f>
        <v>0</v>
      </c>
    </row>
    <row r="100" spans="1:19" x14ac:dyDescent="0.2">
      <c r="A100" s="161">
        <v>79</v>
      </c>
      <c r="B100" s="167" t="s">
        <v>214</v>
      </c>
      <c r="C100" s="50" t="s">
        <v>215</v>
      </c>
      <c r="D100" s="659">
        <f t="shared" si="9"/>
        <v>43210</v>
      </c>
      <c r="E100" s="662">
        <f t="shared" si="6"/>
        <v>0</v>
      </c>
      <c r="F100" s="662">
        <v>0</v>
      </c>
      <c r="G100" s="662">
        <v>0</v>
      </c>
      <c r="H100" s="662">
        <f t="shared" si="7"/>
        <v>43210</v>
      </c>
      <c r="I100" s="663">
        <v>0</v>
      </c>
      <c r="J100" s="662">
        <v>3097</v>
      </c>
      <c r="K100" s="662">
        <v>5244</v>
      </c>
      <c r="L100" s="662">
        <v>34869</v>
      </c>
      <c r="M100" s="662">
        <v>0</v>
      </c>
      <c r="N100" s="662">
        <v>0</v>
      </c>
      <c r="O100" s="659">
        <f t="shared" si="8"/>
        <v>0</v>
      </c>
      <c r="P100" s="662">
        <v>0</v>
      </c>
      <c r="Q100" s="662">
        <v>0</v>
      </c>
      <c r="R100" s="662">
        <v>0</v>
      </c>
      <c r="S100" s="662">
        <f>'[19]Раз.пос.(Пр.3-26)     '!S100+'[19]Уточнение для Пр.5-26'!S100</f>
        <v>0</v>
      </c>
    </row>
    <row r="101" spans="1:19" x14ac:dyDescent="0.2">
      <c r="A101" s="161">
        <v>80</v>
      </c>
      <c r="B101" s="52" t="s">
        <v>216</v>
      </c>
      <c r="C101" s="50" t="s">
        <v>217</v>
      </c>
      <c r="D101" s="659">
        <f t="shared" si="9"/>
        <v>16566</v>
      </c>
      <c r="E101" s="662">
        <f t="shared" si="6"/>
        <v>0</v>
      </c>
      <c r="F101" s="662">
        <v>0</v>
      </c>
      <c r="G101" s="662">
        <v>0</v>
      </c>
      <c r="H101" s="662">
        <f t="shared" si="7"/>
        <v>15102</v>
      </c>
      <c r="I101" s="663">
        <v>0</v>
      </c>
      <c r="J101" s="662">
        <v>1793</v>
      </c>
      <c r="K101" s="662">
        <v>2308</v>
      </c>
      <c r="L101" s="662">
        <v>11001</v>
      </c>
      <c r="M101" s="662">
        <v>1025</v>
      </c>
      <c r="N101" s="662">
        <v>439</v>
      </c>
      <c r="O101" s="659">
        <f t="shared" si="8"/>
        <v>0</v>
      </c>
      <c r="P101" s="662">
        <v>0</v>
      </c>
      <c r="Q101" s="662">
        <v>0</v>
      </c>
      <c r="R101" s="662">
        <v>0</v>
      </c>
      <c r="S101" s="662">
        <f>'[19]Раз.пос.(Пр.3-26)     '!S101+'[19]Уточнение для Пр.5-26'!S101</f>
        <v>0</v>
      </c>
    </row>
    <row r="102" spans="1:19" x14ac:dyDescent="0.2">
      <c r="A102" s="161">
        <v>81</v>
      </c>
      <c r="B102" s="49" t="s">
        <v>218</v>
      </c>
      <c r="C102" s="50" t="s">
        <v>219</v>
      </c>
      <c r="D102" s="659">
        <f t="shared" si="9"/>
        <v>46914</v>
      </c>
      <c r="E102" s="662">
        <f t="shared" si="6"/>
        <v>0</v>
      </c>
      <c r="F102" s="662">
        <v>0</v>
      </c>
      <c r="G102" s="662">
        <v>0</v>
      </c>
      <c r="H102" s="662">
        <f t="shared" si="7"/>
        <v>46914</v>
      </c>
      <c r="I102" s="663">
        <v>220</v>
      </c>
      <c r="J102" s="662">
        <v>6023</v>
      </c>
      <c r="K102" s="662">
        <v>3228</v>
      </c>
      <c r="L102" s="662">
        <v>37443</v>
      </c>
      <c r="M102" s="662">
        <v>0</v>
      </c>
      <c r="N102" s="662">
        <v>0</v>
      </c>
      <c r="O102" s="659">
        <f t="shared" si="8"/>
        <v>0</v>
      </c>
      <c r="P102" s="662">
        <v>0</v>
      </c>
      <c r="Q102" s="662">
        <v>0</v>
      </c>
      <c r="R102" s="662">
        <v>0</v>
      </c>
      <c r="S102" s="662">
        <f>'[19]Раз.пос.(Пр.3-26)     '!S102+'[19]Уточнение для Пр.5-26'!S102</f>
        <v>0</v>
      </c>
    </row>
    <row r="103" spans="1:19" x14ac:dyDescent="0.2">
      <c r="A103" s="161">
        <v>82</v>
      </c>
      <c r="B103" s="49" t="s">
        <v>220</v>
      </c>
      <c r="C103" s="50" t="s">
        <v>221</v>
      </c>
      <c r="D103" s="659">
        <f t="shared" si="9"/>
        <v>46931</v>
      </c>
      <c r="E103" s="662">
        <f t="shared" si="6"/>
        <v>0</v>
      </c>
      <c r="F103" s="662">
        <v>0</v>
      </c>
      <c r="G103" s="662">
        <v>0</v>
      </c>
      <c r="H103" s="662">
        <f t="shared" si="7"/>
        <v>45467</v>
      </c>
      <c r="I103" s="663">
        <v>231</v>
      </c>
      <c r="J103" s="662">
        <v>3561</v>
      </c>
      <c r="K103" s="662">
        <v>2486</v>
      </c>
      <c r="L103" s="662">
        <v>39189</v>
      </c>
      <c r="M103" s="662">
        <v>1025</v>
      </c>
      <c r="N103" s="662">
        <v>439</v>
      </c>
      <c r="O103" s="659">
        <f t="shared" si="8"/>
        <v>0</v>
      </c>
      <c r="P103" s="662">
        <v>0</v>
      </c>
      <c r="Q103" s="662">
        <v>0</v>
      </c>
      <c r="R103" s="662">
        <v>0</v>
      </c>
      <c r="S103" s="662">
        <f>'[19]Раз.пос.(Пр.3-26)     '!S103+'[19]Уточнение для Пр.5-26'!S103</f>
        <v>0</v>
      </c>
    </row>
    <row r="104" spans="1:19" x14ac:dyDescent="0.2">
      <c r="A104" s="161">
        <v>83</v>
      </c>
      <c r="B104" s="167" t="s">
        <v>222</v>
      </c>
      <c r="C104" s="50" t="s">
        <v>223</v>
      </c>
      <c r="D104" s="659">
        <f t="shared" si="9"/>
        <v>15980</v>
      </c>
      <c r="E104" s="662">
        <f t="shared" si="6"/>
        <v>0</v>
      </c>
      <c r="F104" s="662">
        <v>0</v>
      </c>
      <c r="G104" s="662">
        <v>0</v>
      </c>
      <c r="H104" s="662">
        <f t="shared" si="7"/>
        <v>15980</v>
      </c>
      <c r="I104" s="663">
        <v>0</v>
      </c>
      <c r="J104" s="662">
        <v>754</v>
      </c>
      <c r="K104" s="662">
        <v>386</v>
      </c>
      <c r="L104" s="662">
        <v>14840</v>
      </c>
      <c r="M104" s="662">
        <v>0</v>
      </c>
      <c r="N104" s="662">
        <v>0</v>
      </c>
      <c r="O104" s="659">
        <f t="shared" si="8"/>
        <v>0</v>
      </c>
      <c r="P104" s="662">
        <v>0</v>
      </c>
      <c r="Q104" s="662">
        <v>0</v>
      </c>
      <c r="R104" s="662">
        <v>0</v>
      </c>
      <c r="S104" s="662">
        <f>'[19]Раз.пос.(Пр.3-26)     '!S104+'[19]Уточнение для Пр.5-26'!S104</f>
        <v>0</v>
      </c>
    </row>
    <row r="105" spans="1:19" x14ac:dyDescent="0.2">
      <c r="A105" s="161">
        <v>84</v>
      </c>
      <c r="B105" s="49" t="s">
        <v>224</v>
      </c>
      <c r="C105" s="50" t="s">
        <v>225</v>
      </c>
      <c r="D105" s="659">
        <f t="shared" si="9"/>
        <v>16383</v>
      </c>
      <c r="E105" s="662">
        <f t="shared" si="6"/>
        <v>0</v>
      </c>
      <c r="F105" s="662">
        <v>0</v>
      </c>
      <c r="G105" s="662">
        <v>0</v>
      </c>
      <c r="H105" s="662">
        <f t="shared" si="7"/>
        <v>16383</v>
      </c>
      <c r="I105" s="663">
        <v>0</v>
      </c>
      <c r="J105" s="662">
        <v>2510</v>
      </c>
      <c r="K105" s="662">
        <v>3449</v>
      </c>
      <c r="L105" s="662">
        <v>10424</v>
      </c>
      <c r="M105" s="662">
        <v>0</v>
      </c>
      <c r="N105" s="662">
        <v>0</v>
      </c>
      <c r="O105" s="659">
        <f t="shared" si="8"/>
        <v>0</v>
      </c>
      <c r="P105" s="662">
        <v>0</v>
      </c>
      <c r="Q105" s="662">
        <v>0</v>
      </c>
      <c r="R105" s="662">
        <v>0</v>
      </c>
      <c r="S105" s="662">
        <f>'[19]Раз.пос.(Пр.3-26)     '!S105+'[19]Уточнение для Пр.5-26'!S105</f>
        <v>0</v>
      </c>
    </row>
    <row r="106" spans="1:19" x14ac:dyDescent="0.2">
      <c r="A106" s="161">
        <v>85</v>
      </c>
      <c r="B106" s="49" t="s">
        <v>226</v>
      </c>
      <c r="C106" s="50" t="s">
        <v>227</v>
      </c>
      <c r="D106" s="659">
        <f t="shared" si="9"/>
        <v>19980</v>
      </c>
      <c r="E106" s="662">
        <f t="shared" si="6"/>
        <v>0</v>
      </c>
      <c r="F106" s="662">
        <v>0</v>
      </c>
      <c r="G106" s="662">
        <v>0</v>
      </c>
      <c r="H106" s="662">
        <f t="shared" si="7"/>
        <v>19980</v>
      </c>
      <c r="I106" s="663">
        <v>0</v>
      </c>
      <c r="J106" s="662">
        <v>2144</v>
      </c>
      <c r="K106" s="662">
        <v>2291</v>
      </c>
      <c r="L106" s="662">
        <v>15545</v>
      </c>
      <c r="M106" s="662">
        <v>0</v>
      </c>
      <c r="N106" s="662">
        <v>0</v>
      </c>
      <c r="O106" s="659">
        <f t="shared" si="8"/>
        <v>0</v>
      </c>
      <c r="P106" s="662">
        <v>0</v>
      </c>
      <c r="Q106" s="662">
        <v>0</v>
      </c>
      <c r="R106" s="662">
        <v>0</v>
      </c>
      <c r="S106" s="662">
        <f>'[19]Раз.пос.(Пр.3-26)     '!S106+'[19]Уточнение для Пр.5-26'!S106</f>
        <v>0</v>
      </c>
    </row>
    <row r="107" spans="1:19" x14ac:dyDescent="0.2">
      <c r="A107" s="161">
        <v>86</v>
      </c>
      <c r="B107" s="52" t="s">
        <v>32</v>
      </c>
      <c r="C107" s="50" t="s">
        <v>33</v>
      </c>
      <c r="D107" s="659">
        <f t="shared" si="9"/>
        <v>26998</v>
      </c>
      <c r="E107" s="662">
        <f t="shared" si="6"/>
        <v>0</v>
      </c>
      <c r="F107" s="662">
        <v>0</v>
      </c>
      <c r="G107" s="662">
        <v>0</v>
      </c>
      <c r="H107" s="662">
        <f t="shared" si="7"/>
        <v>25060</v>
      </c>
      <c r="I107" s="663">
        <v>0</v>
      </c>
      <c r="J107" s="662">
        <v>3700</v>
      </c>
      <c r="K107" s="662">
        <v>2292</v>
      </c>
      <c r="L107" s="662">
        <v>19068</v>
      </c>
      <c r="M107" s="662">
        <v>1025</v>
      </c>
      <c r="N107" s="662">
        <v>439</v>
      </c>
      <c r="O107" s="659">
        <f t="shared" si="8"/>
        <v>474</v>
      </c>
      <c r="P107" s="662">
        <v>0</v>
      </c>
      <c r="Q107" s="662">
        <v>474</v>
      </c>
      <c r="R107" s="662">
        <v>0</v>
      </c>
      <c r="S107" s="662">
        <f>'[19]Раз.пос.(Пр.3-26)     '!S107+'[19]Уточнение для Пр.5-26'!S107</f>
        <v>0</v>
      </c>
    </row>
    <row r="108" spans="1:19" x14ac:dyDescent="0.2">
      <c r="A108" s="161">
        <v>87</v>
      </c>
      <c r="B108" s="167" t="s">
        <v>228</v>
      </c>
      <c r="C108" s="50" t="s">
        <v>229</v>
      </c>
      <c r="D108" s="659">
        <f t="shared" si="9"/>
        <v>13355</v>
      </c>
      <c r="E108" s="662">
        <f t="shared" si="6"/>
        <v>0</v>
      </c>
      <c r="F108" s="662">
        <v>0</v>
      </c>
      <c r="G108" s="662">
        <v>0</v>
      </c>
      <c r="H108" s="662">
        <f t="shared" si="7"/>
        <v>13355</v>
      </c>
      <c r="I108" s="663">
        <v>0</v>
      </c>
      <c r="J108" s="662">
        <v>2220</v>
      </c>
      <c r="K108" s="662">
        <v>1638</v>
      </c>
      <c r="L108" s="662">
        <v>9497</v>
      </c>
      <c r="M108" s="662">
        <v>0</v>
      </c>
      <c r="N108" s="662">
        <v>0</v>
      </c>
      <c r="O108" s="659">
        <f t="shared" si="8"/>
        <v>0</v>
      </c>
      <c r="P108" s="662">
        <v>0</v>
      </c>
      <c r="Q108" s="662">
        <v>0</v>
      </c>
      <c r="R108" s="662">
        <v>0</v>
      </c>
      <c r="S108" s="662">
        <f>'[19]Раз.пос.(Пр.3-26)     '!S108+'[19]Уточнение для Пр.5-26'!S108</f>
        <v>0</v>
      </c>
    </row>
    <row r="109" spans="1:19" x14ac:dyDescent="0.2">
      <c r="A109" s="161">
        <v>88</v>
      </c>
      <c r="B109" s="49" t="s">
        <v>230</v>
      </c>
      <c r="C109" s="50" t="s">
        <v>231</v>
      </c>
      <c r="D109" s="659">
        <f t="shared" si="9"/>
        <v>38696</v>
      </c>
      <c r="E109" s="662">
        <f t="shared" si="6"/>
        <v>0</v>
      </c>
      <c r="F109" s="662">
        <v>0</v>
      </c>
      <c r="G109" s="662">
        <v>0</v>
      </c>
      <c r="H109" s="662">
        <f t="shared" si="7"/>
        <v>38696</v>
      </c>
      <c r="I109" s="663">
        <v>0</v>
      </c>
      <c r="J109" s="662">
        <v>3350</v>
      </c>
      <c r="K109" s="662">
        <v>4498</v>
      </c>
      <c r="L109" s="662">
        <v>30848</v>
      </c>
      <c r="M109" s="662">
        <v>0</v>
      </c>
      <c r="N109" s="662">
        <v>0</v>
      </c>
      <c r="O109" s="659">
        <f t="shared" si="8"/>
        <v>0</v>
      </c>
      <c r="P109" s="662">
        <v>0</v>
      </c>
      <c r="Q109" s="662">
        <v>0</v>
      </c>
      <c r="R109" s="662">
        <v>0</v>
      </c>
      <c r="S109" s="662">
        <f>'[19]Раз.пос.(Пр.3-26)     '!S109+'[19]Уточнение для Пр.5-26'!S109</f>
        <v>0</v>
      </c>
    </row>
    <row r="110" spans="1:19" x14ac:dyDescent="0.2">
      <c r="A110" s="161">
        <v>89</v>
      </c>
      <c r="B110" s="49" t="s">
        <v>232</v>
      </c>
      <c r="C110" s="50" t="s">
        <v>233</v>
      </c>
      <c r="D110" s="659">
        <f t="shared" si="9"/>
        <v>8388</v>
      </c>
      <c r="E110" s="662">
        <f t="shared" si="6"/>
        <v>8388</v>
      </c>
      <c r="F110" s="662">
        <v>0</v>
      </c>
      <c r="G110" s="662">
        <v>8388</v>
      </c>
      <c r="H110" s="662">
        <f t="shared" si="7"/>
        <v>0</v>
      </c>
      <c r="I110" s="663">
        <v>0</v>
      </c>
      <c r="J110" s="662">
        <v>0</v>
      </c>
      <c r="K110" s="662">
        <v>0</v>
      </c>
      <c r="L110" s="662">
        <v>0</v>
      </c>
      <c r="M110" s="662">
        <v>0</v>
      </c>
      <c r="N110" s="662">
        <v>0</v>
      </c>
      <c r="O110" s="659">
        <f t="shared" si="8"/>
        <v>0</v>
      </c>
      <c r="P110" s="662">
        <v>0</v>
      </c>
      <c r="Q110" s="662">
        <v>0</v>
      </c>
      <c r="R110" s="662">
        <v>0</v>
      </c>
      <c r="S110" s="662">
        <f>'[19]Раз.пос.(Пр.3-26)     '!S110+'[19]Уточнение для Пр.5-26'!S110</f>
        <v>0</v>
      </c>
    </row>
    <row r="111" spans="1:19" x14ac:dyDescent="0.2">
      <c r="A111" s="161">
        <v>90</v>
      </c>
      <c r="B111" s="49" t="s">
        <v>234</v>
      </c>
      <c r="C111" s="50" t="s">
        <v>235</v>
      </c>
      <c r="D111" s="659">
        <f t="shared" si="9"/>
        <v>0</v>
      </c>
      <c r="E111" s="662">
        <f t="shared" si="6"/>
        <v>0</v>
      </c>
      <c r="F111" s="662">
        <v>0</v>
      </c>
      <c r="G111" s="662">
        <v>0</v>
      </c>
      <c r="H111" s="662">
        <f t="shared" si="7"/>
        <v>0</v>
      </c>
      <c r="I111" s="663">
        <v>0</v>
      </c>
      <c r="J111" s="662">
        <v>0</v>
      </c>
      <c r="K111" s="662">
        <v>0</v>
      </c>
      <c r="L111" s="662">
        <v>0</v>
      </c>
      <c r="M111" s="662">
        <v>0</v>
      </c>
      <c r="N111" s="662">
        <v>0</v>
      </c>
      <c r="O111" s="659">
        <f t="shared" si="8"/>
        <v>0</v>
      </c>
      <c r="P111" s="662">
        <v>0</v>
      </c>
      <c r="Q111" s="662">
        <v>0</v>
      </c>
      <c r="R111" s="662">
        <v>0</v>
      </c>
      <c r="S111" s="662">
        <f>'[19]Раз.пос.(Пр.3-26)     '!S111+'[19]Уточнение для Пр.5-26'!S111</f>
        <v>0</v>
      </c>
    </row>
    <row r="112" spans="1:19" x14ac:dyDescent="0.2">
      <c r="A112" s="161">
        <v>91</v>
      </c>
      <c r="B112" s="167" t="s">
        <v>236</v>
      </c>
      <c r="C112" s="50" t="s">
        <v>237</v>
      </c>
      <c r="D112" s="659">
        <f t="shared" si="9"/>
        <v>0</v>
      </c>
      <c r="E112" s="662">
        <f t="shared" si="6"/>
        <v>0</v>
      </c>
      <c r="F112" s="662">
        <v>0</v>
      </c>
      <c r="G112" s="662">
        <v>0</v>
      </c>
      <c r="H112" s="662">
        <f t="shared" si="7"/>
        <v>0</v>
      </c>
      <c r="I112" s="663">
        <v>0</v>
      </c>
      <c r="J112" s="662">
        <v>0</v>
      </c>
      <c r="K112" s="662">
        <v>0</v>
      </c>
      <c r="L112" s="662">
        <v>0</v>
      </c>
      <c r="M112" s="662">
        <v>0</v>
      </c>
      <c r="N112" s="662">
        <v>0</v>
      </c>
      <c r="O112" s="659">
        <f t="shared" si="8"/>
        <v>0</v>
      </c>
      <c r="P112" s="662">
        <v>0</v>
      </c>
      <c r="Q112" s="662">
        <v>0</v>
      </c>
      <c r="R112" s="662">
        <v>0</v>
      </c>
      <c r="S112" s="662">
        <f>'[19]Раз.пос.(Пр.3-26)     '!S112+'[19]Уточнение для Пр.5-26'!S112</f>
        <v>0</v>
      </c>
    </row>
    <row r="113" spans="1:19" x14ac:dyDescent="0.2">
      <c r="A113" s="161">
        <v>92</v>
      </c>
      <c r="B113" s="167" t="s">
        <v>238</v>
      </c>
      <c r="C113" s="50" t="s">
        <v>239</v>
      </c>
      <c r="D113" s="659">
        <f t="shared" si="9"/>
        <v>0</v>
      </c>
      <c r="E113" s="662">
        <f t="shared" si="6"/>
        <v>0</v>
      </c>
      <c r="F113" s="662">
        <v>0</v>
      </c>
      <c r="G113" s="662">
        <v>0</v>
      </c>
      <c r="H113" s="662">
        <f t="shared" si="7"/>
        <v>0</v>
      </c>
      <c r="I113" s="663">
        <v>0</v>
      </c>
      <c r="J113" s="662">
        <v>0</v>
      </c>
      <c r="K113" s="662">
        <v>0</v>
      </c>
      <c r="L113" s="662">
        <v>0</v>
      </c>
      <c r="M113" s="662">
        <v>0</v>
      </c>
      <c r="N113" s="662">
        <v>0</v>
      </c>
      <c r="O113" s="659">
        <f t="shared" si="8"/>
        <v>0</v>
      </c>
      <c r="P113" s="662">
        <v>0</v>
      </c>
      <c r="Q113" s="662">
        <v>0</v>
      </c>
      <c r="R113" s="662">
        <v>0</v>
      </c>
      <c r="S113" s="662">
        <f>'[19]Раз.пос.(Пр.3-26)     '!S113+'[19]Уточнение для Пр.5-26'!S113</f>
        <v>0</v>
      </c>
    </row>
    <row r="114" spans="1:19" x14ac:dyDescent="0.2">
      <c r="A114" s="161">
        <v>93</v>
      </c>
      <c r="B114" s="167" t="s">
        <v>240</v>
      </c>
      <c r="C114" s="50" t="s">
        <v>241</v>
      </c>
      <c r="D114" s="659">
        <f t="shared" si="9"/>
        <v>0</v>
      </c>
      <c r="E114" s="662">
        <f t="shared" si="6"/>
        <v>0</v>
      </c>
      <c r="F114" s="662">
        <v>0</v>
      </c>
      <c r="G114" s="662">
        <v>0</v>
      </c>
      <c r="H114" s="662">
        <f t="shared" si="7"/>
        <v>0</v>
      </c>
      <c r="I114" s="663">
        <v>0</v>
      </c>
      <c r="J114" s="662">
        <v>0</v>
      </c>
      <c r="K114" s="662">
        <v>0</v>
      </c>
      <c r="L114" s="662">
        <v>0</v>
      </c>
      <c r="M114" s="662">
        <v>0</v>
      </c>
      <c r="N114" s="662">
        <v>0</v>
      </c>
      <c r="O114" s="659">
        <f t="shared" si="8"/>
        <v>0</v>
      </c>
      <c r="P114" s="662">
        <v>0</v>
      </c>
      <c r="Q114" s="662">
        <v>0</v>
      </c>
      <c r="R114" s="662">
        <v>0</v>
      </c>
      <c r="S114" s="662">
        <f>'[19]Раз.пос.(Пр.3-26)     '!S114+'[19]Уточнение для Пр.5-26'!S114</f>
        <v>0</v>
      </c>
    </row>
    <row r="115" spans="1:19" x14ac:dyDescent="0.2">
      <c r="A115" s="161">
        <v>94</v>
      </c>
      <c r="B115" s="167" t="s">
        <v>242</v>
      </c>
      <c r="C115" s="50" t="s">
        <v>243</v>
      </c>
      <c r="D115" s="659">
        <f t="shared" si="9"/>
        <v>0</v>
      </c>
      <c r="E115" s="662">
        <f t="shared" si="6"/>
        <v>0</v>
      </c>
      <c r="F115" s="662">
        <v>0</v>
      </c>
      <c r="G115" s="662">
        <v>0</v>
      </c>
      <c r="H115" s="662">
        <f t="shared" si="7"/>
        <v>0</v>
      </c>
      <c r="I115" s="663">
        <v>0</v>
      </c>
      <c r="J115" s="662">
        <v>0</v>
      </c>
      <c r="K115" s="662">
        <v>0</v>
      </c>
      <c r="L115" s="662">
        <v>0</v>
      </c>
      <c r="M115" s="662">
        <v>0</v>
      </c>
      <c r="N115" s="662">
        <v>0</v>
      </c>
      <c r="O115" s="659">
        <f t="shared" si="8"/>
        <v>0</v>
      </c>
      <c r="P115" s="662">
        <v>0</v>
      </c>
      <c r="Q115" s="662">
        <v>0</v>
      </c>
      <c r="R115" s="662">
        <v>0</v>
      </c>
      <c r="S115" s="662">
        <f>'[19]Раз.пос.(Пр.3-26)     '!S115+'[19]Уточнение для Пр.5-26'!S115</f>
        <v>0</v>
      </c>
    </row>
    <row r="116" spans="1:19" x14ac:dyDescent="0.2">
      <c r="A116" s="161">
        <v>95</v>
      </c>
      <c r="B116" s="167" t="s">
        <v>244</v>
      </c>
      <c r="C116" s="50" t="s">
        <v>245</v>
      </c>
      <c r="D116" s="659">
        <f t="shared" si="9"/>
        <v>35460</v>
      </c>
      <c r="E116" s="662">
        <f t="shared" si="6"/>
        <v>35460</v>
      </c>
      <c r="F116" s="662">
        <v>0</v>
      </c>
      <c r="G116" s="662">
        <v>35460</v>
      </c>
      <c r="H116" s="662">
        <f t="shared" si="7"/>
        <v>0</v>
      </c>
      <c r="I116" s="663">
        <v>0</v>
      </c>
      <c r="J116" s="662">
        <v>0</v>
      </c>
      <c r="K116" s="662">
        <v>0</v>
      </c>
      <c r="L116" s="662">
        <v>0</v>
      </c>
      <c r="M116" s="662">
        <v>0</v>
      </c>
      <c r="N116" s="662">
        <v>0</v>
      </c>
      <c r="O116" s="659">
        <f t="shared" si="8"/>
        <v>0</v>
      </c>
      <c r="P116" s="662">
        <v>0</v>
      </c>
      <c r="Q116" s="662">
        <v>0</v>
      </c>
      <c r="R116" s="662">
        <v>0</v>
      </c>
      <c r="S116" s="662">
        <f>'[19]Раз.пос.(Пр.3-26)     '!S116+'[19]Уточнение для Пр.5-26'!S116</f>
        <v>0</v>
      </c>
    </row>
    <row r="117" spans="1:19" x14ac:dyDescent="0.2">
      <c r="A117" s="161">
        <v>96</v>
      </c>
      <c r="B117" s="163" t="s">
        <v>246</v>
      </c>
      <c r="C117" s="625" t="s">
        <v>247</v>
      </c>
      <c r="D117" s="659">
        <f t="shared" si="9"/>
        <v>0</v>
      </c>
      <c r="E117" s="662">
        <f t="shared" si="6"/>
        <v>0</v>
      </c>
      <c r="F117" s="662">
        <v>0</v>
      </c>
      <c r="G117" s="662">
        <v>0</v>
      </c>
      <c r="H117" s="662">
        <f t="shared" si="7"/>
        <v>0</v>
      </c>
      <c r="I117" s="663">
        <v>0</v>
      </c>
      <c r="J117" s="662">
        <v>0</v>
      </c>
      <c r="K117" s="662">
        <v>0</v>
      </c>
      <c r="L117" s="662">
        <v>0</v>
      </c>
      <c r="M117" s="662">
        <v>0</v>
      </c>
      <c r="N117" s="662">
        <v>0</v>
      </c>
      <c r="O117" s="659">
        <f t="shared" si="8"/>
        <v>0</v>
      </c>
      <c r="P117" s="662">
        <v>0</v>
      </c>
      <c r="Q117" s="662">
        <v>0</v>
      </c>
      <c r="R117" s="662">
        <v>0</v>
      </c>
      <c r="S117" s="662">
        <f>'[19]Раз.пос.(Пр.3-26)     '!S117+'[19]Уточнение для Пр.5-26'!S117</f>
        <v>0</v>
      </c>
    </row>
    <row r="118" spans="1:19" x14ac:dyDescent="0.2">
      <c r="A118" s="161">
        <v>97</v>
      </c>
      <c r="B118" s="52" t="s">
        <v>248</v>
      </c>
      <c r="C118" s="50" t="s">
        <v>249</v>
      </c>
      <c r="D118" s="659">
        <f t="shared" si="9"/>
        <v>0</v>
      </c>
      <c r="E118" s="662">
        <f t="shared" si="6"/>
        <v>0</v>
      </c>
      <c r="F118" s="662">
        <v>0</v>
      </c>
      <c r="G118" s="662">
        <v>0</v>
      </c>
      <c r="H118" s="662">
        <f t="shared" si="7"/>
        <v>0</v>
      </c>
      <c r="I118" s="663">
        <v>0</v>
      </c>
      <c r="J118" s="662">
        <v>0</v>
      </c>
      <c r="K118" s="662">
        <v>0</v>
      </c>
      <c r="L118" s="662">
        <v>0</v>
      </c>
      <c r="M118" s="662">
        <v>0</v>
      </c>
      <c r="N118" s="662">
        <v>0</v>
      </c>
      <c r="O118" s="659">
        <f t="shared" si="8"/>
        <v>0</v>
      </c>
      <c r="P118" s="662">
        <v>0</v>
      </c>
      <c r="Q118" s="662">
        <v>0</v>
      </c>
      <c r="R118" s="662">
        <v>0</v>
      </c>
      <c r="S118" s="662">
        <f>'[19]Раз.пос.(Пр.3-26)     '!S118+'[19]Уточнение для Пр.5-26'!S118</f>
        <v>0</v>
      </c>
    </row>
    <row r="119" spans="1:19" x14ac:dyDescent="0.2">
      <c r="A119" s="161">
        <v>98</v>
      </c>
      <c r="B119" s="167" t="s">
        <v>250</v>
      </c>
      <c r="C119" s="50" t="s">
        <v>251</v>
      </c>
      <c r="D119" s="659">
        <f t="shared" si="9"/>
        <v>0</v>
      </c>
      <c r="E119" s="662">
        <f t="shared" si="6"/>
        <v>0</v>
      </c>
      <c r="F119" s="662">
        <v>0</v>
      </c>
      <c r="G119" s="662">
        <v>0</v>
      </c>
      <c r="H119" s="662">
        <f t="shared" si="7"/>
        <v>0</v>
      </c>
      <c r="I119" s="663">
        <v>0</v>
      </c>
      <c r="J119" s="662">
        <v>0</v>
      </c>
      <c r="K119" s="662">
        <v>0</v>
      </c>
      <c r="L119" s="662">
        <v>0</v>
      </c>
      <c r="M119" s="662">
        <v>0</v>
      </c>
      <c r="N119" s="662">
        <v>0</v>
      </c>
      <c r="O119" s="659">
        <f t="shared" si="8"/>
        <v>0</v>
      </c>
      <c r="P119" s="662">
        <v>0</v>
      </c>
      <c r="Q119" s="662">
        <v>0</v>
      </c>
      <c r="R119" s="662">
        <v>0</v>
      </c>
      <c r="S119" s="662">
        <f>'[19]Раз.пос.(Пр.3-26)     '!S119+'[19]Уточнение для Пр.5-26'!S119</f>
        <v>0</v>
      </c>
    </row>
    <row r="120" spans="1:19" x14ac:dyDescent="0.2">
      <c r="A120" s="161">
        <v>99</v>
      </c>
      <c r="B120" s="49" t="s">
        <v>252</v>
      </c>
      <c r="C120" s="60" t="s">
        <v>253</v>
      </c>
      <c r="D120" s="659">
        <f t="shared" si="9"/>
        <v>0</v>
      </c>
      <c r="E120" s="662">
        <f t="shared" si="6"/>
        <v>0</v>
      </c>
      <c r="F120" s="662">
        <v>0</v>
      </c>
      <c r="G120" s="662">
        <v>0</v>
      </c>
      <c r="H120" s="662">
        <f t="shared" si="7"/>
        <v>0</v>
      </c>
      <c r="I120" s="663">
        <v>0</v>
      </c>
      <c r="J120" s="662">
        <v>0</v>
      </c>
      <c r="K120" s="662">
        <v>0</v>
      </c>
      <c r="L120" s="662">
        <v>0</v>
      </c>
      <c r="M120" s="662">
        <v>0</v>
      </c>
      <c r="N120" s="662">
        <v>0</v>
      </c>
      <c r="O120" s="659">
        <f t="shared" si="8"/>
        <v>0</v>
      </c>
      <c r="P120" s="662">
        <v>0</v>
      </c>
      <c r="Q120" s="662">
        <v>0</v>
      </c>
      <c r="R120" s="662">
        <v>0</v>
      </c>
      <c r="S120" s="662">
        <f>'[19]Раз.пос.(Пр.3-26)     '!S120+'[19]Уточнение для Пр.5-26'!S120</f>
        <v>0</v>
      </c>
    </row>
    <row r="121" spans="1:19" x14ac:dyDescent="0.2">
      <c r="A121" s="161">
        <v>100</v>
      </c>
      <c r="B121" s="167" t="s">
        <v>254</v>
      </c>
      <c r="C121" s="50" t="s">
        <v>255</v>
      </c>
      <c r="D121" s="659">
        <f t="shared" si="9"/>
        <v>0</v>
      </c>
      <c r="E121" s="662">
        <f t="shared" si="6"/>
        <v>0</v>
      </c>
      <c r="F121" s="662">
        <v>0</v>
      </c>
      <c r="G121" s="662">
        <v>0</v>
      </c>
      <c r="H121" s="662">
        <f t="shared" si="7"/>
        <v>0</v>
      </c>
      <c r="I121" s="663">
        <v>0</v>
      </c>
      <c r="J121" s="662">
        <v>0</v>
      </c>
      <c r="K121" s="662">
        <v>0</v>
      </c>
      <c r="L121" s="662">
        <v>0</v>
      </c>
      <c r="M121" s="662">
        <v>0</v>
      </c>
      <c r="N121" s="662">
        <v>0</v>
      </c>
      <c r="O121" s="659">
        <f t="shared" si="8"/>
        <v>0</v>
      </c>
      <c r="P121" s="662">
        <v>0</v>
      </c>
      <c r="Q121" s="662">
        <v>0</v>
      </c>
      <c r="R121" s="662">
        <v>0</v>
      </c>
      <c r="S121" s="662">
        <f>'[19]Раз.пос.(Пр.3-26)     '!S121+'[19]Уточнение для Пр.5-26'!S121</f>
        <v>0</v>
      </c>
    </row>
    <row r="122" spans="1:19" x14ac:dyDescent="0.2">
      <c r="A122" s="161">
        <v>101</v>
      </c>
      <c r="B122" s="52" t="s">
        <v>256</v>
      </c>
      <c r="C122" s="50" t="s">
        <v>257</v>
      </c>
      <c r="D122" s="659">
        <f t="shared" si="9"/>
        <v>0</v>
      </c>
      <c r="E122" s="662">
        <f t="shared" si="6"/>
        <v>0</v>
      </c>
      <c r="F122" s="662">
        <v>0</v>
      </c>
      <c r="G122" s="662">
        <v>0</v>
      </c>
      <c r="H122" s="662">
        <f t="shared" si="7"/>
        <v>0</v>
      </c>
      <c r="I122" s="663">
        <v>0</v>
      </c>
      <c r="J122" s="662">
        <v>0</v>
      </c>
      <c r="K122" s="662">
        <v>0</v>
      </c>
      <c r="L122" s="662">
        <v>0</v>
      </c>
      <c r="M122" s="662">
        <v>0</v>
      </c>
      <c r="N122" s="662">
        <v>0</v>
      </c>
      <c r="O122" s="659">
        <f t="shared" si="8"/>
        <v>0</v>
      </c>
      <c r="P122" s="662">
        <v>0</v>
      </c>
      <c r="Q122" s="662">
        <v>0</v>
      </c>
      <c r="R122" s="662">
        <v>0</v>
      </c>
      <c r="S122" s="662">
        <f>'[19]Раз.пос.(Пр.3-26)     '!S122+'[19]Уточнение для Пр.5-26'!S122</f>
        <v>0</v>
      </c>
    </row>
    <row r="123" spans="1:19" x14ac:dyDescent="0.2">
      <c r="A123" s="161">
        <v>102</v>
      </c>
      <c r="B123" s="49" t="s">
        <v>258</v>
      </c>
      <c r="C123" s="50" t="s">
        <v>259</v>
      </c>
      <c r="D123" s="659">
        <f t="shared" si="9"/>
        <v>0</v>
      </c>
      <c r="E123" s="662">
        <f t="shared" si="6"/>
        <v>0</v>
      </c>
      <c r="F123" s="662">
        <v>0</v>
      </c>
      <c r="G123" s="662">
        <v>0</v>
      </c>
      <c r="H123" s="662">
        <f t="shared" si="7"/>
        <v>0</v>
      </c>
      <c r="I123" s="663">
        <v>0</v>
      </c>
      <c r="J123" s="662">
        <v>0</v>
      </c>
      <c r="K123" s="662">
        <v>0</v>
      </c>
      <c r="L123" s="662">
        <v>0</v>
      </c>
      <c r="M123" s="662">
        <v>0</v>
      </c>
      <c r="N123" s="662">
        <v>0</v>
      </c>
      <c r="O123" s="659">
        <f t="shared" si="8"/>
        <v>0</v>
      </c>
      <c r="P123" s="662">
        <v>0</v>
      </c>
      <c r="Q123" s="662">
        <v>0</v>
      </c>
      <c r="R123" s="662">
        <v>0</v>
      </c>
      <c r="S123" s="662">
        <f>'[19]Раз.пос.(Пр.3-26)     '!S123+'[19]Уточнение для Пр.5-26'!S123</f>
        <v>0</v>
      </c>
    </row>
    <row r="124" spans="1:19" x14ac:dyDescent="0.2">
      <c r="A124" s="161">
        <v>103</v>
      </c>
      <c r="B124" s="165" t="s">
        <v>543</v>
      </c>
      <c r="C124" s="164" t="s">
        <v>544</v>
      </c>
      <c r="D124" s="659">
        <f t="shared" si="9"/>
        <v>0</v>
      </c>
      <c r="E124" s="662">
        <f t="shared" si="6"/>
        <v>0</v>
      </c>
      <c r="F124" s="662">
        <v>0</v>
      </c>
      <c r="G124" s="662">
        <v>0</v>
      </c>
      <c r="H124" s="662">
        <f t="shared" si="7"/>
        <v>0</v>
      </c>
      <c r="I124" s="663">
        <v>0</v>
      </c>
      <c r="J124" s="662">
        <v>0</v>
      </c>
      <c r="K124" s="662">
        <v>0</v>
      </c>
      <c r="L124" s="662">
        <v>0</v>
      </c>
      <c r="M124" s="662">
        <v>0</v>
      </c>
      <c r="N124" s="662">
        <v>0</v>
      </c>
      <c r="O124" s="659">
        <f t="shared" si="8"/>
        <v>0</v>
      </c>
      <c r="P124" s="662">
        <v>0</v>
      </c>
      <c r="Q124" s="662">
        <v>0</v>
      </c>
      <c r="R124" s="662">
        <v>0</v>
      </c>
      <c r="S124" s="662">
        <f>'[19]Раз.пос.(Пр.3-26)     '!S124+'[19]Уточнение для Пр.5-26'!S124</f>
        <v>0</v>
      </c>
    </row>
    <row r="125" spans="1:19" x14ac:dyDescent="0.2">
      <c r="A125" s="161">
        <v>104</v>
      </c>
      <c r="B125" s="52" t="s">
        <v>260</v>
      </c>
      <c r="C125" s="50" t="s">
        <v>261</v>
      </c>
      <c r="D125" s="659">
        <f t="shared" si="9"/>
        <v>0</v>
      </c>
      <c r="E125" s="662">
        <f t="shared" si="6"/>
        <v>0</v>
      </c>
      <c r="F125" s="662">
        <v>0</v>
      </c>
      <c r="G125" s="662">
        <v>0</v>
      </c>
      <c r="H125" s="662">
        <f t="shared" si="7"/>
        <v>0</v>
      </c>
      <c r="I125" s="663">
        <v>0</v>
      </c>
      <c r="J125" s="662">
        <v>0</v>
      </c>
      <c r="K125" s="662">
        <v>0</v>
      </c>
      <c r="L125" s="662">
        <v>0</v>
      </c>
      <c r="M125" s="664">
        <v>0</v>
      </c>
      <c r="N125" s="664">
        <v>0</v>
      </c>
      <c r="O125" s="659">
        <f t="shared" si="8"/>
        <v>0</v>
      </c>
      <c r="P125" s="662">
        <v>0</v>
      </c>
      <c r="Q125" s="662">
        <v>0</v>
      </c>
      <c r="R125" s="662">
        <v>0</v>
      </c>
      <c r="S125" s="662">
        <f>'[19]Раз.пос.(Пр.3-26)     '!S125+'[19]Уточнение для Пр.5-26'!S125</f>
        <v>0</v>
      </c>
    </row>
    <row r="126" spans="1:19" x14ac:dyDescent="0.2">
      <c r="A126" s="161">
        <v>105</v>
      </c>
      <c r="B126" s="167" t="s">
        <v>262</v>
      </c>
      <c r="C126" s="50" t="s">
        <v>263</v>
      </c>
      <c r="D126" s="659">
        <f t="shared" si="9"/>
        <v>9720</v>
      </c>
      <c r="E126" s="662">
        <f t="shared" si="6"/>
        <v>9720</v>
      </c>
      <c r="F126" s="662">
        <v>0</v>
      </c>
      <c r="G126" s="662">
        <v>9720</v>
      </c>
      <c r="H126" s="662">
        <f t="shared" si="7"/>
        <v>0</v>
      </c>
      <c r="I126" s="663">
        <v>0</v>
      </c>
      <c r="J126" s="662">
        <v>0</v>
      </c>
      <c r="K126" s="662">
        <v>0</v>
      </c>
      <c r="L126" s="662">
        <v>0</v>
      </c>
      <c r="M126" s="664">
        <v>0</v>
      </c>
      <c r="N126" s="664">
        <v>0</v>
      </c>
      <c r="O126" s="659">
        <f t="shared" si="8"/>
        <v>0</v>
      </c>
      <c r="P126" s="662">
        <v>0</v>
      </c>
      <c r="Q126" s="662">
        <v>0</v>
      </c>
      <c r="R126" s="662">
        <v>0</v>
      </c>
      <c r="S126" s="662">
        <f>'[19]Раз.пос.(Пр.3-26)     '!S126+'[19]Уточнение для Пр.5-26'!S126</f>
        <v>0</v>
      </c>
    </row>
    <row r="127" spans="1:19" ht="24" x14ac:dyDescent="0.2">
      <c r="A127" s="161">
        <v>106</v>
      </c>
      <c r="B127" s="167" t="s">
        <v>264</v>
      </c>
      <c r="C127" s="54" t="s">
        <v>265</v>
      </c>
      <c r="D127" s="659">
        <f t="shared" si="9"/>
        <v>0</v>
      </c>
      <c r="E127" s="662">
        <f t="shared" si="6"/>
        <v>0</v>
      </c>
      <c r="F127" s="662">
        <v>0</v>
      </c>
      <c r="G127" s="662">
        <v>0</v>
      </c>
      <c r="H127" s="662">
        <f t="shared" si="7"/>
        <v>0</v>
      </c>
      <c r="I127" s="663">
        <v>0</v>
      </c>
      <c r="J127" s="662">
        <v>0</v>
      </c>
      <c r="K127" s="662">
        <v>0</v>
      </c>
      <c r="L127" s="662">
        <v>0</v>
      </c>
      <c r="M127" s="664">
        <v>0</v>
      </c>
      <c r="N127" s="664">
        <v>0</v>
      </c>
      <c r="O127" s="659">
        <v>0</v>
      </c>
      <c r="P127" s="662">
        <v>0</v>
      </c>
      <c r="Q127" s="662">
        <v>0</v>
      </c>
      <c r="R127" s="662">
        <v>0</v>
      </c>
      <c r="S127" s="662">
        <f>'[19]Раз.пос.(Пр.3-26)     '!S127+'[19]Уточнение для Пр.5-26'!S127</f>
        <v>0</v>
      </c>
    </row>
    <row r="128" spans="1:19" x14ac:dyDescent="0.2">
      <c r="A128" s="161">
        <v>107</v>
      </c>
      <c r="B128" s="167" t="s">
        <v>266</v>
      </c>
      <c r="C128" s="50" t="s">
        <v>267</v>
      </c>
      <c r="D128" s="659">
        <f t="shared" si="9"/>
        <v>236713</v>
      </c>
      <c r="E128" s="662">
        <f t="shared" si="6"/>
        <v>0</v>
      </c>
      <c r="F128" s="662">
        <v>0</v>
      </c>
      <c r="G128" s="662">
        <v>0</v>
      </c>
      <c r="H128" s="662">
        <f t="shared" si="7"/>
        <v>0</v>
      </c>
      <c r="I128" s="663">
        <v>0</v>
      </c>
      <c r="J128" s="662">
        <v>0</v>
      </c>
      <c r="K128" s="662">
        <v>0</v>
      </c>
      <c r="L128" s="662">
        <v>0</v>
      </c>
      <c r="M128" s="664">
        <v>0</v>
      </c>
      <c r="N128" s="664">
        <v>0</v>
      </c>
      <c r="O128" s="659">
        <f t="shared" si="8"/>
        <v>226713</v>
      </c>
      <c r="P128" s="662">
        <v>0</v>
      </c>
      <c r="Q128" s="662">
        <v>226713</v>
      </c>
      <c r="R128" s="662">
        <v>0</v>
      </c>
      <c r="S128" s="662">
        <f>'[19]Раз.пос.(Пр.3-26)     '!S128+'[19]Уточнение для Пр.5-26'!S128</f>
        <v>10000</v>
      </c>
    </row>
    <row r="129" spans="1:19" x14ac:dyDescent="0.2">
      <c r="A129" s="161">
        <v>108</v>
      </c>
      <c r="B129" s="167" t="s">
        <v>268</v>
      </c>
      <c r="C129" s="50" t="s">
        <v>269</v>
      </c>
      <c r="D129" s="659">
        <f t="shared" si="9"/>
        <v>151340</v>
      </c>
      <c r="E129" s="662">
        <f t="shared" si="6"/>
        <v>0</v>
      </c>
      <c r="F129" s="662">
        <v>0</v>
      </c>
      <c r="G129" s="662">
        <v>0</v>
      </c>
      <c r="H129" s="662">
        <f t="shared" si="7"/>
        <v>0</v>
      </c>
      <c r="I129" s="663">
        <v>0</v>
      </c>
      <c r="J129" s="662">
        <v>0</v>
      </c>
      <c r="K129" s="662">
        <v>0</v>
      </c>
      <c r="L129" s="662">
        <v>0</v>
      </c>
      <c r="M129" s="664">
        <v>0</v>
      </c>
      <c r="N129" s="664">
        <v>0</v>
      </c>
      <c r="O129" s="659">
        <f t="shared" si="8"/>
        <v>151340</v>
      </c>
      <c r="P129" s="662">
        <v>0</v>
      </c>
      <c r="Q129" s="662">
        <v>151340</v>
      </c>
      <c r="R129" s="662">
        <v>0</v>
      </c>
      <c r="S129" s="662">
        <f>'[19]Раз.пос.(Пр.3-26)     '!S129+'[19]Уточнение для Пр.5-26'!S129</f>
        <v>0</v>
      </c>
    </row>
    <row r="130" spans="1:19" x14ac:dyDescent="0.2">
      <c r="A130" s="161">
        <v>109</v>
      </c>
      <c r="B130" s="167" t="s">
        <v>270</v>
      </c>
      <c r="C130" s="50" t="s">
        <v>271</v>
      </c>
      <c r="D130" s="659">
        <f t="shared" si="9"/>
        <v>116425</v>
      </c>
      <c r="E130" s="662">
        <f t="shared" si="6"/>
        <v>0</v>
      </c>
      <c r="F130" s="662">
        <v>0</v>
      </c>
      <c r="G130" s="662">
        <v>0</v>
      </c>
      <c r="H130" s="662">
        <f t="shared" si="7"/>
        <v>0</v>
      </c>
      <c r="I130" s="663">
        <v>0</v>
      </c>
      <c r="J130" s="662">
        <v>0</v>
      </c>
      <c r="K130" s="662">
        <v>0</v>
      </c>
      <c r="L130" s="662">
        <v>0</v>
      </c>
      <c r="M130" s="664">
        <v>0</v>
      </c>
      <c r="N130" s="664">
        <v>0</v>
      </c>
      <c r="O130" s="659">
        <f t="shared" si="8"/>
        <v>116425</v>
      </c>
      <c r="P130" s="662">
        <v>0</v>
      </c>
      <c r="Q130" s="662">
        <f>116095+330</f>
        <v>116425</v>
      </c>
      <c r="R130" s="662">
        <v>330</v>
      </c>
      <c r="S130" s="662">
        <f>'[19]Раз.пос.(Пр.3-26)     '!S130+'[19]Уточнение для Пр.5-26'!S130</f>
        <v>0</v>
      </c>
    </row>
    <row r="131" spans="1:19" x14ac:dyDescent="0.2">
      <c r="A131" s="161">
        <v>110</v>
      </c>
      <c r="B131" s="49" t="s">
        <v>272</v>
      </c>
      <c r="C131" s="50" t="s">
        <v>273</v>
      </c>
      <c r="D131" s="659">
        <f t="shared" si="9"/>
        <v>124548</v>
      </c>
      <c r="E131" s="662">
        <f t="shared" si="6"/>
        <v>0</v>
      </c>
      <c r="F131" s="662">
        <v>0</v>
      </c>
      <c r="G131" s="662">
        <v>0</v>
      </c>
      <c r="H131" s="662">
        <f t="shared" si="7"/>
        <v>0</v>
      </c>
      <c r="I131" s="663">
        <v>0</v>
      </c>
      <c r="J131" s="659">
        <v>0</v>
      </c>
      <c r="K131" s="662">
        <v>0</v>
      </c>
      <c r="L131" s="662">
        <v>0</v>
      </c>
      <c r="M131" s="664">
        <v>0</v>
      </c>
      <c r="N131" s="664">
        <v>0</v>
      </c>
      <c r="O131" s="659">
        <f t="shared" si="8"/>
        <v>124548</v>
      </c>
      <c r="P131" s="662">
        <v>2319</v>
      </c>
      <c r="Q131" s="662">
        <v>122229</v>
      </c>
      <c r="R131" s="662">
        <v>0</v>
      </c>
      <c r="S131" s="662">
        <f>'[19]Раз.пос.(Пр.3-26)     '!S131+'[19]Уточнение для Пр.5-26'!S131</f>
        <v>0</v>
      </c>
    </row>
    <row r="132" spans="1:19" x14ac:dyDescent="0.2">
      <c r="A132" s="161">
        <v>111</v>
      </c>
      <c r="B132" s="49" t="s">
        <v>274</v>
      </c>
      <c r="C132" s="50" t="s">
        <v>275</v>
      </c>
      <c r="D132" s="659">
        <f t="shared" si="9"/>
        <v>97492</v>
      </c>
      <c r="E132" s="662">
        <f t="shared" si="6"/>
        <v>10366</v>
      </c>
      <c r="F132" s="662">
        <v>0</v>
      </c>
      <c r="G132" s="662">
        <v>10366</v>
      </c>
      <c r="H132" s="662">
        <f t="shared" si="7"/>
        <v>0</v>
      </c>
      <c r="I132" s="663">
        <v>0</v>
      </c>
      <c r="J132" s="662">
        <v>0</v>
      </c>
      <c r="K132" s="662">
        <v>0</v>
      </c>
      <c r="L132" s="662">
        <v>0</v>
      </c>
      <c r="M132" s="664">
        <v>0</v>
      </c>
      <c r="N132" s="664">
        <v>0</v>
      </c>
      <c r="O132" s="659">
        <f t="shared" si="8"/>
        <v>87126</v>
      </c>
      <c r="P132" s="662">
        <v>0</v>
      </c>
      <c r="Q132" s="662">
        <v>87126</v>
      </c>
      <c r="R132" s="662">
        <v>0</v>
      </c>
      <c r="S132" s="662">
        <f>'[19]Раз.пос.(Пр.3-26)     '!S132+'[19]Уточнение для Пр.5-26'!S132</f>
        <v>0</v>
      </c>
    </row>
    <row r="133" spans="1:19" x14ac:dyDescent="0.2">
      <c r="A133" s="161">
        <v>112</v>
      </c>
      <c r="B133" s="49" t="s">
        <v>276</v>
      </c>
      <c r="C133" s="50" t="s">
        <v>277</v>
      </c>
      <c r="D133" s="659">
        <f t="shared" si="9"/>
        <v>55180</v>
      </c>
      <c r="E133" s="662">
        <f t="shared" si="6"/>
        <v>43180</v>
      </c>
      <c r="F133" s="662">
        <v>0</v>
      </c>
      <c r="G133" s="662">
        <v>43180</v>
      </c>
      <c r="H133" s="662">
        <f t="shared" si="7"/>
        <v>0</v>
      </c>
      <c r="I133" s="663">
        <v>0</v>
      </c>
      <c r="J133" s="662">
        <v>0</v>
      </c>
      <c r="K133" s="662">
        <v>0</v>
      </c>
      <c r="L133" s="662">
        <v>0</v>
      </c>
      <c r="M133" s="664">
        <v>0</v>
      </c>
      <c r="N133" s="664">
        <v>0</v>
      </c>
      <c r="O133" s="659">
        <f t="shared" si="8"/>
        <v>12000</v>
      </c>
      <c r="P133" s="662">
        <v>0</v>
      </c>
      <c r="Q133" s="662">
        <v>12000</v>
      </c>
      <c r="R133" s="662">
        <v>0</v>
      </c>
      <c r="S133" s="662">
        <f>'[19]Раз.пос.(Пр.3-26)     '!S133+'[19]Уточнение для Пр.5-26'!S133</f>
        <v>0</v>
      </c>
    </row>
    <row r="134" spans="1:19" x14ac:dyDescent="0.2">
      <c r="A134" s="161">
        <v>113</v>
      </c>
      <c r="B134" s="167" t="s">
        <v>278</v>
      </c>
      <c r="C134" s="50" t="s">
        <v>279</v>
      </c>
      <c r="D134" s="659">
        <f t="shared" si="9"/>
        <v>90176</v>
      </c>
      <c r="E134" s="662">
        <f t="shared" si="6"/>
        <v>0</v>
      </c>
      <c r="F134" s="662">
        <v>0</v>
      </c>
      <c r="G134" s="662">
        <v>0</v>
      </c>
      <c r="H134" s="662">
        <f t="shared" si="7"/>
        <v>0</v>
      </c>
      <c r="I134" s="663">
        <v>0</v>
      </c>
      <c r="J134" s="662">
        <v>0</v>
      </c>
      <c r="K134" s="662">
        <v>0</v>
      </c>
      <c r="L134" s="662">
        <v>0</v>
      </c>
      <c r="M134" s="664">
        <v>0</v>
      </c>
      <c r="N134" s="664">
        <v>0</v>
      </c>
      <c r="O134" s="659">
        <f t="shared" si="8"/>
        <v>90176</v>
      </c>
      <c r="P134" s="662">
        <v>0</v>
      </c>
      <c r="Q134" s="662">
        <v>90176</v>
      </c>
      <c r="R134" s="662">
        <v>0</v>
      </c>
      <c r="S134" s="662">
        <f>'[19]Раз.пос.(Пр.3-26)     '!S134+'[19]Уточнение для Пр.5-26'!S134</f>
        <v>0</v>
      </c>
    </row>
    <row r="135" spans="1:19" x14ac:dyDescent="0.2">
      <c r="A135" s="161">
        <v>114</v>
      </c>
      <c r="B135" s="167" t="s">
        <v>280</v>
      </c>
      <c r="C135" s="50" t="s">
        <v>281</v>
      </c>
      <c r="D135" s="659">
        <f t="shared" si="9"/>
        <v>0</v>
      </c>
      <c r="E135" s="662">
        <f t="shared" si="6"/>
        <v>0</v>
      </c>
      <c r="F135" s="662">
        <v>0</v>
      </c>
      <c r="G135" s="662">
        <v>0</v>
      </c>
      <c r="H135" s="662">
        <f t="shared" si="7"/>
        <v>0</v>
      </c>
      <c r="I135" s="663">
        <v>0</v>
      </c>
      <c r="J135" s="662">
        <v>0</v>
      </c>
      <c r="K135" s="662">
        <v>0</v>
      </c>
      <c r="L135" s="662">
        <v>0</v>
      </c>
      <c r="M135" s="664">
        <v>0</v>
      </c>
      <c r="N135" s="664">
        <v>0</v>
      </c>
      <c r="O135" s="659">
        <f t="shared" si="8"/>
        <v>0</v>
      </c>
      <c r="P135" s="662">
        <v>0</v>
      </c>
      <c r="Q135" s="662">
        <v>0</v>
      </c>
      <c r="R135" s="662">
        <v>0</v>
      </c>
      <c r="S135" s="662">
        <f>'[19]Раз.пос.(Пр.3-26)     '!S135+'[19]Уточнение для Пр.5-26'!S135</f>
        <v>0</v>
      </c>
    </row>
    <row r="136" spans="1:19" x14ac:dyDescent="0.2">
      <c r="A136" s="161">
        <v>115</v>
      </c>
      <c r="B136" s="167" t="s">
        <v>282</v>
      </c>
      <c r="C136" s="50" t="s">
        <v>772</v>
      </c>
      <c r="D136" s="659">
        <f t="shared" si="9"/>
        <v>60218</v>
      </c>
      <c r="E136" s="662">
        <f t="shared" si="6"/>
        <v>0</v>
      </c>
      <c r="F136" s="662">
        <v>0</v>
      </c>
      <c r="G136" s="662">
        <v>0</v>
      </c>
      <c r="H136" s="662">
        <f t="shared" si="7"/>
        <v>0</v>
      </c>
      <c r="I136" s="663">
        <v>0</v>
      </c>
      <c r="J136" s="662">
        <v>0</v>
      </c>
      <c r="K136" s="662">
        <v>0</v>
      </c>
      <c r="L136" s="662">
        <v>0</v>
      </c>
      <c r="M136" s="664">
        <v>3075</v>
      </c>
      <c r="N136" s="664">
        <v>1317</v>
      </c>
      <c r="O136" s="659">
        <f t="shared" si="8"/>
        <v>55826</v>
      </c>
      <c r="P136" s="662">
        <v>0</v>
      </c>
      <c r="Q136" s="662">
        <v>55826</v>
      </c>
      <c r="R136" s="662">
        <v>0</v>
      </c>
      <c r="S136" s="662">
        <f>'[19]Раз.пос.(Пр.3-26)     '!S136+'[19]Уточнение для Пр.5-26'!S136</f>
        <v>0</v>
      </c>
    </row>
    <row r="137" spans="1:19" x14ac:dyDescent="0.2">
      <c r="A137" s="161">
        <v>116</v>
      </c>
      <c r="B137" s="49" t="s">
        <v>283</v>
      </c>
      <c r="C137" s="50" t="s">
        <v>284</v>
      </c>
      <c r="D137" s="659">
        <f t="shared" si="9"/>
        <v>23033</v>
      </c>
      <c r="E137" s="662">
        <f t="shared" si="6"/>
        <v>0</v>
      </c>
      <c r="F137" s="662">
        <v>0</v>
      </c>
      <c r="G137" s="662">
        <v>0</v>
      </c>
      <c r="H137" s="662">
        <f t="shared" si="7"/>
        <v>20152</v>
      </c>
      <c r="I137" s="663">
        <v>0</v>
      </c>
      <c r="J137" s="662">
        <v>2270</v>
      </c>
      <c r="K137" s="662">
        <v>0</v>
      </c>
      <c r="L137" s="662">
        <v>17882</v>
      </c>
      <c r="M137" s="664">
        <v>1025</v>
      </c>
      <c r="N137" s="664">
        <v>439</v>
      </c>
      <c r="O137" s="659">
        <f t="shared" si="8"/>
        <v>1417</v>
      </c>
      <c r="P137" s="662">
        <v>0</v>
      </c>
      <c r="Q137" s="662">
        <v>1417</v>
      </c>
      <c r="R137" s="662">
        <v>0</v>
      </c>
      <c r="S137" s="662">
        <f>'[19]Раз.пос.(Пр.3-26)     '!S137+'[19]Уточнение для Пр.5-26'!S137</f>
        <v>0</v>
      </c>
    </row>
    <row r="138" spans="1:19" ht="24" x14ac:dyDescent="0.2">
      <c r="A138" s="161">
        <v>117</v>
      </c>
      <c r="B138" s="52" t="s">
        <v>285</v>
      </c>
      <c r="C138" s="50" t="s">
        <v>728</v>
      </c>
      <c r="D138" s="659">
        <f t="shared" si="9"/>
        <v>103471</v>
      </c>
      <c r="E138" s="662">
        <f t="shared" si="6"/>
        <v>0</v>
      </c>
      <c r="F138" s="662">
        <v>0</v>
      </c>
      <c r="G138" s="662">
        <v>0</v>
      </c>
      <c r="H138" s="662">
        <f t="shared" si="7"/>
        <v>95511</v>
      </c>
      <c r="I138" s="663">
        <v>0</v>
      </c>
      <c r="J138" s="662">
        <v>7989</v>
      </c>
      <c r="K138" s="662">
        <v>2141</v>
      </c>
      <c r="L138" s="662">
        <v>85381</v>
      </c>
      <c r="M138" s="664">
        <v>1025</v>
      </c>
      <c r="N138" s="664">
        <v>439</v>
      </c>
      <c r="O138" s="659">
        <f t="shared" si="8"/>
        <v>6496</v>
      </c>
      <c r="P138" s="662">
        <v>0</v>
      </c>
      <c r="Q138" s="662">
        <v>6496</v>
      </c>
      <c r="R138" s="662">
        <v>0</v>
      </c>
      <c r="S138" s="662">
        <f>'[19]Раз.пос.(Пр.3-26)     '!S138+'[19]Уточнение для Пр.5-26'!S138</f>
        <v>0</v>
      </c>
    </row>
    <row r="139" spans="1:19" x14ac:dyDescent="0.2">
      <c r="A139" s="161">
        <v>118</v>
      </c>
      <c r="B139" s="167" t="s">
        <v>286</v>
      </c>
      <c r="C139" s="50" t="s">
        <v>287</v>
      </c>
      <c r="D139" s="659">
        <f t="shared" si="9"/>
        <v>5638</v>
      </c>
      <c r="E139" s="662">
        <f t="shared" si="6"/>
        <v>0</v>
      </c>
      <c r="F139" s="662">
        <v>0</v>
      </c>
      <c r="G139" s="662">
        <v>0</v>
      </c>
      <c r="H139" s="662">
        <f t="shared" si="7"/>
        <v>0</v>
      </c>
      <c r="I139" s="663">
        <v>0</v>
      </c>
      <c r="J139" s="662">
        <v>0</v>
      </c>
      <c r="K139" s="662">
        <v>0</v>
      </c>
      <c r="L139" s="662">
        <v>0</v>
      </c>
      <c r="M139" s="664">
        <v>0</v>
      </c>
      <c r="N139" s="664">
        <v>0</v>
      </c>
      <c r="O139" s="659">
        <f t="shared" si="8"/>
        <v>5638</v>
      </c>
      <c r="P139" s="662">
        <v>0</v>
      </c>
      <c r="Q139" s="662">
        <v>5638</v>
      </c>
      <c r="R139" s="662">
        <v>0</v>
      </c>
      <c r="S139" s="662">
        <f>'[19]Раз.пос.(Пр.3-26)     '!S139+'[19]Уточнение для Пр.5-26'!S139</f>
        <v>0</v>
      </c>
    </row>
    <row r="140" spans="1:19" x14ac:dyDescent="0.2">
      <c r="A140" s="161">
        <v>119</v>
      </c>
      <c r="B140" s="49" t="s">
        <v>288</v>
      </c>
      <c r="C140" s="50" t="s">
        <v>289</v>
      </c>
      <c r="D140" s="659">
        <f>E140+H140+M140+N140+O140+S140</f>
        <v>26015</v>
      </c>
      <c r="E140" s="662">
        <f t="shared" si="6"/>
        <v>0</v>
      </c>
      <c r="F140" s="662">
        <v>0</v>
      </c>
      <c r="G140" s="662">
        <v>0</v>
      </c>
      <c r="H140" s="662">
        <f t="shared" si="7"/>
        <v>0</v>
      </c>
      <c r="I140" s="663">
        <v>0</v>
      </c>
      <c r="J140" s="662">
        <v>0</v>
      </c>
      <c r="K140" s="662">
        <v>0</v>
      </c>
      <c r="L140" s="662">
        <v>0</v>
      </c>
      <c r="M140" s="664">
        <v>0</v>
      </c>
      <c r="N140" s="664">
        <v>0</v>
      </c>
      <c r="O140" s="659">
        <f t="shared" si="8"/>
        <v>26015</v>
      </c>
      <c r="P140" s="662">
        <v>4646</v>
      </c>
      <c r="Q140" s="662">
        <v>21369</v>
      </c>
      <c r="R140" s="662">
        <v>0</v>
      </c>
      <c r="S140" s="662">
        <f>'[19]Раз.пос.(Пр.3-26)     '!S140+'[19]Уточнение для Пр.5-26'!S140</f>
        <v>0</v>
      </c>
    </row>
    <row r="141" spans="1:19" ht="12.75" x14ac:dyDescent="0.2">
      <c r="A141" s="161">
        <v>120</v>
      </c>
      <c r="B141" s="341" t="s">
        <v>290</v>
      </c>
      <c r="C141" s="665" t="s">
        <v>291</v>
      </c>
      <c r="D141" s="659">
        <f t="shared" ref="D141:D148" si="11">E141+H141+M141+N141+O141+S141</f>
        <v>0</v>
      </c>
      <c r="E141" s="662">
        <f t="shared" si="6"/>
        <v>0</v>
      </c>
      <c r="F141" s="662">
        <v>0</v>
      </c>
      <c r="G141" s="662">
        <v>0</v>
      </c>
      <c r="H141" s="662">
        <f t="shared" si="7"/>
        <v>0</v>
      </c>
      <c r="I141" s="663">
        <v>0</v>
      </c>
      <c r="J141" s="662">
        <v>0</v>
      </c>
      <c r="K141" s="662">
        <v>0</v>
      </c>
      <c r="L141" s="662">
        <v>0</v>
      </c>
      <c r="M141" s="664">
        <v>0</v>
      </c>
      <c r="N141" s="664">
        <v>0</v>
      </c>
      <c r="O141" s="659">
        <v>0</v>
      </c>
      <c r="P141" s="662">
        <v>0</v>
      </c>
      <c r="Q141" s="662">
        <v>0</v>
      </c>
      <c r="R141" s="662">
        <v>0</v>
      </c>
      <c r="S141" s="662">
        <f>'[19]Раз.пос.(Пр.3-26)     '!S141+'[19]Уточнение для Пр.5-26'!S141</f>
        <v>0</v>
      </c>
    </row>
    <row r="142" spans="1:19" ht="12.75" x14ac:dyDescent="0.2">
      <c r="A142" s="161">
        <v>121</v>
      </c>
      <c r="B142" s="666" t="s">
        <v>292</v>
      </c>
      <c r="C142" s="667" t="s">
        <v>293</v>
      </c>
      <c r="D142" s="659">
        <f t="shared" si="11"/>
        <v>0</v>
      </c>
      <c r="E142" s="662">
        <f t="shared" ref="E142:E148" si="12">F142+G142</f>
        <v>0</v>
      </c>
      <c r="F142" s="662">
        <v>0</v>
      </c>
      <c r="G142" s="662">
        <v>0</v>
      </c>
      <c r="H142" s="662">
        <f t="shared" ref="H142:H148" si="13">SUM(I142:L142)</f>
        <v>0</v>
      </c>
      <c r="I142" s="663">
        <v>0</v>
      </c>
      <c r="J142" s="662">
        <v>0</v>
      </c>
      <c r="K142" s="662">
        <v>0</v>
      </c>
      <c r="L142" s="662">
        <v>0</v>
      </c>
      <c r="M142" s="664">
        <v>0</v>
      </c>
      <c r="N142" s="664">
        <v>0</v>
      </c>
      <c r="O142" s="659">
        <v>0</v>
      </c>
      <c r="P142" s="662">
        <v>0</v>
      </c>
      <c r="Q142" s="662">
        <v>0</v>
      </c>
      <c r="R142" s="662">
        <v>0</v>
      </c>
      <c r="S142" s="662">
        <f>'[19]Раз.пос.(Пр.3-26)     '!S142+'[19]Уточнение для Пр.5-26'!S142</f>
        <v>0</v>
      </c>
    </row>
    <row r="143" spans="1:19" ht="12.75" x14ac:dyDescent="0.2">
      <c r="A143" s="161">
        <v>122</v>
      </c>
      <c r="B143" s="668" t="s">
        <v>294</v>
      </c>
      <c r="C143" s="669" t="s">
        <v>295</v>
      </c>
      <c r="D143" s="659">
        <f t="shared" si="11"/>
        <v>0</v>
      </c>
      <c r="E143" s="662">
        <f t="shared" si="12"/>
        <v>0</v>
      </c>
      <c r="F143" s="662">
        <v>0</v>
      </c>
      <c r="G143" s="662">
        <v>0</v>
      </c>
      <c r="H143" s="662">
        <f t="shared" si="13"/>
        <v>0</v>
      </c>
      <c r="I143" s="663">
        <v>0</v>
      </c>
      <c r="J143" s="662">
        <v>0</v>
      </c>
      <c r="K143" s="662">
        <v>0</v>
      </c>
      <c r="L143" s="662">
        <v>0</v>
      </c>
      <c r="M143" s="670">
        <v>0</v>
      </c>
      <c r="N143" s="670">
        <v>0</v>
      </c>
      <c r="O143" s="659">
        <v>0</v>
      </c>
      <c r="P143" s="670">
        <v>0</v>
      </c>
      <c r="Q143" s="670">
        <v>0</v>
      </c>
      <c r="R143" s="670">
        <v>0</v>
      </c>
      <c r="S143" s="670">
        <f>'[19]Раз.пос.(Пр.3-26)     '!S143+'[19]Уточнение для Пр.5-26'!S143</f>
        <v>0</v>
      </c>
    </row>
    <row r="144" spans="1:19" ht="12.75" x14ac:dyDescent="0.2">
      <c r="A144" s="161">
        <v>123</v>
      </c>
      <c r="B144" s="671" t="s">
        <v>296</v>
      </c>
      <c r="C144" s="646" t="s">
        <v>461</v>
      </c>
      <c r="D144" s="659">
        <f t="shared" si="11"/>
        <v>0</v>
      </c>
      <c r="E144" s="662">
        <f t="shared" si="12"/>
        <v>0</v>
      </c>
      <c r="F144" s="662">
        <v>0</v>
      </c>
      <c r="G144" s="662">
        <v>0</v>
      </c>
      <c r="H144" s="662">
        <f t="shared" si="13"/>
        <v>0</v>
      </c>
      <c r="I144" s="663">
        <v>0</v>
      </c>
      <c r="J144" s="662">
        <v>0</v>
      </c>
      <c r="K144" s="662">
        <v>0</v>
      </c>
      <c r="L144" s="662">
        <v>0</v>
      </c>
      <c r="M144" s="672">
        <v>0</v>
      </c>
      <c r="N144" s="672">
        <v>0</v>
      </c>
      <c r="O144" s="659">
        <v>0</v>
      </c>
      <c r="P144" s="670">
        <v>0</v>
      </c>
      <c r="Q144" s="670">
        <v>0</v>
      </c>
      <c r="R144" s="670">
        <v>0</v>
      </c>
      <c r="S144" s="670">
        <f>'[19]Раз.пос.(Пр.3-26)     '!S144+'[19]Уточнение для Пр.5-26'!S144</f>
        <v>0</v>
      </c>
    </row>
    <row r="145" spans="1:19" x14ac:dyDescent="0.2">
      <c r="A145" s="161">
        <v>124</v>
      </c>
      <c r="B145" s="161" t="s">
        <v>298</v>
      </c>
      <c r="C145" s="144" t="s">
        <v>299</v>
      </c>
      <c r="D145" s="659">
        <f t="shared" si="11"/>
        <v>0</v>
      </c>
      <c r="E145" s="662">
        <f t="shared" si="12"/>
        <v>0</v>
      </c>
      <c r="F145" s="662">
        <v>0</v>
      </c>
      <c r="G145" s="662">
        <v>0</v>
      </c>
      <c r="H145" s="662">
        <f t="shared" si="13"/>
        <v>0</v>
      </c>
      <c r="I145" s="663">
        <v>0</v>
      </c>
      <c r="J145" s="662">
        <v>0</v>
      </c>
      <c r="K145" s="662">
        <v>0</v>
      </c>
      <c r="L145" s="662">
        <v>0</v>
      </c>
      <c r="M145" s="670">
        <v>0</v>
      </c>
      <c r="N145" s="670">
        <v>0</v>
      </c>
      <c r="O145" s="659">
        <v>0</v>
      </c>
      <c r="P145" s="670">
        <v>0</v>
      </c>
      <c r="Q145" s="670">
        <v>0</v>
      </c>
      <c r="R145" s="670">
        <v>0</v>
      </c>
      <c r="S145" s="670">
        <f>'[19]Раз.пос.(Пр.3-26)     '!S145+'[19]Уточнение для Пр.5-26'!S145</f>
        <v>0</v>
      </c>
    </row>
    <row r="146" spans="1:19" x14ac:dyDescent="0.2">
      <c r="A146" s="161">
        <v>125</v>
      </c>
      <c r="B146" s="75" t="s">
        <v>300</v>
      </c>
      <c r="C146" s="144" t="s">
        <v>301</v>
      </c>
      <c r="D146" s="659">
        <f t="shared" si="11"/>
        <v>0</v>
      </c>
      <c r="E146" s="662">
        <f t="shared" si="12"/>
        <v>0</v>
      </c>
      <c r="F146" s="662">
        <v>0</v>
      </c>
      <c r="G146" s="662">
        <v>0</v>
      </c>
      <c r="H146" s="662">
        <f t="shared" si="13"/>
        <v>0</v>
      </c>
      <c r="I146" s="663">
        <v>0</v>
      </c>
      <c r="J146" s="662">
        <v>0</v>
      </c>
      <c r="K146" s="662">
        <v>0</v>
      </c>
      <c r="L146" s="662">
        <v>0</v>
      </c>
      <c r="M146" s="670">
        <v>0</v>
      </c>
      <c r="N146" s="670">
        <v>0</v>
      </c>
      <c r="O146" s="659">
        <v>0</v>
      </c>
      <c r="P146" s="670">
        <v>0</v>
      </c>
      <c r="Q146" s="670">
        <v>0</v>
      </c>
      <c r="R146" s="670">
        <v>0</v>
      </c>
      <c r="S146" s="670">
        <f>'[19]Раз.пос.(Пр.3-26)     '!S146+'[19]Уточнение для Пр.5-26'!S146</f>
        <v>0</v>
      </c>
    </row>
    <row r="147" spans="1:19" x14ac:dyDescent="0.2">
      <c r="A147" s="161">
        <v>126</v>
      </c>
      <c r="B147" s="673" t="s">
        <v>302</v>
      </c>
      <c r="C147" s="674" t="s">
        <v>303</v>
      </c>
      <c r="D147" s="659">
        <f t="shared" si="11"/>
        <v>0</v>
      </c>
      <c r="E147" s="662">
        <f t="shared" si="12"/>
        <v>0</v>
      </c>
      <c r="F147" s="662">
        <v>0</v>
      </c>
      <c r="G147" s="662">
        <v>0</v>
      </c>
      <c r="H147" s="662">
        <f t="shared" si="13"/>
        <v>0</v>
      </c>
      <c r="I147" s="663">
        <v>0</v>
      </c>
      <c r="J147" s="662">
        <v>0</v>
      </c>
      <c r="K147" s="662">
        <v>0</v>
      </c>
      <c r="L147" s="662">
        <v>0</v>
      </c>
      <c r="M147" s="670">
        <v>0</v>
      </c>
      <c r="N147" s="670">
        <v>0</v>
      </c>
      <c r="O147" s="659">
        <v>0</v>
      </c>
      <c r="P147" s="670">
        <v>0</v>
      </c>
      <c r="Q147" s="670">
        <v>0</v>
      </c>
      <c r="R147" s="670">
        <v>0</v>
      </c>
      <c r="S147" s="670">
        <f>'[19]Раз.пос.(Пр.3-26)     '!S147+'[19]Уточнение для Пр.5-26'!S147</f>
        <v>0</v>
      </c>
    </row>
    <row r="148" spans="1:19" x14ac:dyDescent="0.2">
      <c r="A148" s="161">
        <v>127</v>
      </c>
      <c r="B148" s="75" t="s">
        <v>304</v>
      </c>
      <c r="C148" s="144" t="s">
        <v>305</v>
      </c>
      <c r="D148" s="659">
        <f t="shared" si="11"/>
        <v>0</v>
      </c>
      <c r="E148" s="662">
        <f t="shared" si="12"/>
        <v>0</v>
      </c>
      <c r="F148" s="662">
        <v>0</v>
      </c>
      <c r="G148" s="662">
        <v>0</v>
      </c>
      <c r="H148" s="662">
        <f t="shared" si="13"/>
        <v>0</v>
      </c>
      <c r="I148" s="663">
        <v>0</v>
      </c>
      <c r="J148" s="662">
        <v>0</v>
      </c>
      <c r="K148" s="662">
        <v>0</v>
      </c>
      <c r="L148" s="662">
        <v>0</v>
      </c>
      <c r="M148" s="670">
        <v>0</v>
      </c>
      <c r="N148" s="670">
        <v>0</v>
      </c>
      <c r="O148" s="659">
        <v>0</v>
      </c>
      <c r="P148" s="670">
        <v>0</v>
      </c>
      <c r="Q148" s="670">
        <v>0</v>
      </c>
      <c r="R148" s="670">
        <v>0</v>
      </c>
      <c r="S148" s="670">
        <f>'[19]Раз.пос.(Пр.3-26)     '!S148+'[19]Уточнение для Пр.5-26'!S148</f>
        <v>0</v>
      </c>
    </row>
  </sheetData>
  <mergeCells count="33">
    <mergeCell ref="B1:R1"/>
    <mergeCell ref="A2:A6"/>
    <mergeCell ref="B2:B6"/>
    <mergeCell ref="C2:C6"/>
    <mergeCell ref="D2:S2"/>
    <mergeCell ref="D3:D6"/>
    <mergeCell ref="E3:S3"/>
    <mergeCell ref="F5:G5"/>
    <mergeCell ref="H5:H6"/>
    <mergeCell ref="I5:J5"/>
    <mergeCell ref="E4:G4"/>
    <mergeCell ref="H4:L4"/>
    <mergeCell ref="M4:N4"/>
    <mergeCell ref="O4:R4"/>
    <mergeCell ref="S4:S6"/>
    <mergeCell ref="E5:E6"/>
    <mergeCell ref="A73:A75"/>
    <mergeCell ref="K5:L5"/>
    <mergeCell ref="M5:M6"/>
    <mergeCell ref="N5:N6"/>
    <mergeCell ref="O5:O6"/>
    <mergeCell ref="R5:R6"/>
    <mergeCell ref="A8:C8"/>
    <mergeCell ref="A9:C9"/>
    <mergeCell ref="A10:C10"/>
    <mergeCell ref="A35:A36"/>
    <mergeCell ref="P5:P6"/>
    <mergeCell ref="Q5:Q6"/>
    <mergeCell ref="A76:A79"/>
    <mergeCell ref="A83:A84"/>
    <mergeCell ref="A86:A87"/>
    <mergeCell ref="A91:A94"/>
    <mergeCell ref="B91:B94"/>
  </mergeCells>
  <pageMargins left="0.59055118110236227" right="0.39370078740157483" top="0.39370078740157483" bottom="0.39370078740157483" header="0.31496062992125984" footer="0.31496062992125984"/>
  <pageSetup paperSize="9" scale="45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47"/>
  <sheetViews>
    <sheetView workbookViewId="0">
      <pane xSplit="3" ySplit="9" topLeftCell="D10" activePane="bottomRight" state="frozen"/>
      <selection pane="topRight" activeCell="E1" sqref="E1"/>
      <selection pane="bottomLeft" activeCell="A10" sqref="A10"/>
      <selection pane="bottomRight" activeCell="J19" sqref="J19"/>
    </sheetView>
  </sheetViews>
  <sheetFormatPr defaultRowHeight="15" x14ac:dyDescent="0.25"/>
  <cols>
    <col min="1" max="1" width="4.85546875" style="676" customWidth="1"/>
    <col min="2" max="2" width="8.7109375" style="676" customWidth="1"/>
    <col min="3" max="3" width="50" style="676" customWidth="1"/>
    <col min="4" max="7" width="17.85546875" style="676" customWidth="1"/>
    <col min="8" max="8" width="10.28515625" style="676" customWidth="1"/>
    <col min="9" max="16384" width="9.140625" style="676"/>
  </cols>
  <sheetData>
    <row r="1" spans="1:7" ht="49.5" customHeight="1" x14ac:dyDescent="0.25">
      <c r="A1" s="1036" t="s">
        <v>494</v>
      </c>
      <c r="B1" s="1036"/>
      <c r="C1" s="1036"/>
      <c r="D1" s="1036"/>
      <c r="E1" s="1036"/>
      <c r="F1" s="1036"/>
      <c r="G1" s="1036"/>
    </row>
    <row r="2" spans="1:7" ht="27" customHeight="1" x14ac:dyDescent="0.25">
      <c r="A2" s="1037" t="s">
        <v>0</v>
      </c>
      <c r="B2" s="1038" t="s">
        <v>326</v>
      </c>
      <c r="C2" s="1037" t="s">
        <v>309</v>
      </c>
      <c r="D2" s="1040" t="s">
        <v>495</v>
      </c>
      <c r="E2" s="1041"/>
      <c r="F2" s="1041"/>
      <c r="G2" s="1042"/>
    </row>
    <row r="3" spans="1:7" ht="16.5" customHeight="1" x14ac:dyDescent="0.25">
      <c r="A3" s="1037"/>
      <c r="B3" s="1039"/>
      <c r="C3" s="1037"/>
      <c r="D3" s="1043" t="s">
        <v>467</v>
      </c>
      <c r="E3" s="1044"/>
      <c r="F3" s="1044"/>
      <c r="G3" s="1045"/>
    </row>
    <row r="4" spans="1:7" ht="37.5" customHeight="1" x14ac:dyDescent="0.25">
      <c r="A4" s="1037"/>
      <c r="B4" s="1039"/>
      <c r="C4" s="1037"/>
      <c r="D4" s="1033" t="s">
        <v>44</v>
      </c>
      <c r="E4" s="1033" t="s">
        <v>468</v>
      </c>
      <c r="F4" s="1035" t="s">
        <v>49</v>
      </c>
      <c r="G4" s="1035"/>
    </row>
    <row r="5" spans="1:7" ht="27.75" customHeight="1" x14ac:dyDescent="0.25">
      <c r="A5" s="1037"/>
      <c r="B5" s="1039"/>
      <c r="C5" s="1037"/>
      <c r="D5" s="1034"/>
      <c r="E5" s="1034"/>
      <c r="F5" s="677" t="s">
        <v>51</v>
      </c>
      <c r="G5" s="678" t="s">
        <v>50</v>
      </c>
    </row>
    <row r="6" spans="1:7" ht="10.5" customHeight="1" x14ac:dyDescent="0.25">
      <c r="A6" s="679">
        <v>1</v>
      </c>
      <c r="B6" s="679">
        <v>2</v>
      </c>
      <c r="C6" s="679">
        <v>3</v>
      </c>
      <c r="D6" s="680">
        <v>4</v>
      </c>
      <c r="E6" s="680">
        <v>5</v>
      </c>
      <c r="F6" s="680">
        <v>6</v>
      </c>
      <c r="G6" s="680">
        <v>7</v>
      </c>
    </row>
    <row r="7" spans="1:7" x14ac:dyDescent="0.25">
      <c r="A7" s="998" t="s">
        <v>44</v>
      </c>
      <c r="B7" s="998"/>
      <c r="C7" s="998"/>
      <c r="D7" s="681">
        <f>D8+D9</f>
        <v>961132</v>
      </c>
      <c r="E7" s="681">
        <f>E8+E9</f>
        <v>20192</v>
      </c>
      <c r="F7" s="681">
        <f>F8+F9</f>
        <v>134515</v>
      </c>
      <c r="G7" s="681">
        <f t="shared" ref="G7" si="0">G8+G9</f>
        <v>806425</v>
      </c>
    </row>
    <row r="8" spans="1:7" x14ac:dyDescent="0.25">
      <c r="A8" s="999" t="s">
        <v>14</v>
      </c>
      <c r="B8" s="1000"/>
      <c r="C8" s="1001"/>
      <c r="D8" s="680">
        <f>E8+F8+G8</f>
        <v>0</v>
      </c>
      <c r="E8" s="680">
        <f>'[20]Пос. ср.мед.пер. (Пр.2-26) '!E8+'[20]Уточнение Пр.5-26'!E8</f>
        <v>0</v>
      </c>
      <c r="F8" s="680">
        <f>'[20]Пос. ср.мед.пер. (Пр.2-26) '!F8+'[20]Уточнение Пр.5-26'!F8</f>
        <v>0</v>
      </c>
      <c r="G8" s="680">
        <f>'[20]Пос. ср.мед.пер. (Пр.2-26) '!G8+'[20]Уточнение Пр.5-26'!G8</f>
        <v>0</v>
      </c>
    </row>
    <row r="9" spans="1:7" x14ac:dyDescent="0.25">
      <c r="A9" s="999" t="s">
        <v>15</v>
      </c>
      <c r="B9" s="1000"/>
      <c r="C9" s="1001"/>
      <c r="D9" s="681">
        <f>SUM(D10:D139)-D90-D35-D73-D74-D76-D77-D78-D83-D86</f>
        <v>961132</v>
      </c>
      <c r="E9" s="681">
        <f t="shared" ref="E9:G9" si="1">SUM(E10:E139)-E90-E35-E73-E74-E76-E77-E78-E83-E86</f>
        <v>20192</v>
      </c>
      <c r="F9" s="681">
        <f t="shared" si="1"/>
        <v>134515</v>
      </c>
      <c r="G9" s="681">
        <f t="shared" si="1"/>
        <v>806425</v>
      </c>
    </row>
    <row r="10" spans="1:7" x14ac:dyDescent="0.25">
      <c r="A10" s="682">
        <v>1</v>
      </c>
      <c r="B10" s="307" t="s">
        <v>54</v>
      </c>
      <c r="C10" s="683" t="s">
        <v>55</v>
      </c>
      <c r="D10" s="680">
        <f>E10+F10+G10</f>
        <v>534</v>
      </c>
      <c r="E10" s="680">
        <v>0</v>
      </c>
      <c r="F10" s="680">
        <v>0</v>
      </c>
      <c r="G10" s="680">
        <v>534</v>
      </c>
    </row>
    <row r="11" spans="1:7" x14ac:dyDescent="0.25">
      <c r="A11" s="682">
        <v>2</v>
      </c>
      <c r="B11" s="684" t="s">
        <v>56</v>
      </c>
      <c r="C11" s="683" t="s">
        <v>57</v>
      </c>
      <c r="D11" s="680">
        <f t="shared" ref="D11:D74" si="2">E11+F11+G11</f>
        <v>6450</v>
      </c>
      <c r="E11" s="680">
        <v>0</v>
      </c>
      <c r="F11" s="680">
        <v>0</v>
      </c>
      <c r="G11" s="680">
        <v>6450</v>
      </c>
    </row>
    <row r="12" spans="1:7" x14ac:dyDescent="0.25">
      <c r="A12" s="682">
        <v>3</v>
      </c>
      <c r="B12" s="685" t="s">
        <v>16</v>
      </c>
      <c r="C12" s="683" t="s">
        <v>17</v>
      </c>
      <c r="D12" s="680">
        <f t="shared" si="2"/>
        <v>22307</v>
      </c>
      <c r="E12" s="680">
        <v>0</v>
      </c>
      <c r="F12" s="680">
        <v>0</v>
      </c>
      <c r="G12" s="680">
        <v>22307</v>
      </c>
    </row>
    <row r="13" spans="1:7" x14ac:dyDescent="0.25">
      <c r="A13" s="682">
        <v>4</v>
      </c>
      <c r="B13" s="307" t="s">
        <v>58</v>
      </c>
      <c r="C13" s="683" t="s">
        <v>59</v>
      </c>
      <c r="D13" s="680">
        <f t="shared" si="2"/>
        <v>6053</v>
      </c>
      <c r="E13" s="680">
        <v>0</v>
      </c>
      <c r="F13" s="680">
        <v>0</v>
      </c>
      <c r="G13" s="680">
        <v>6053</v>
      </c>
    </row>
    <row r="14" spans="1:7" x14ac:dyDescent="0.25">
      <c r="A14" s="682">
        <v>5</v>
      </c>
      <c r="B14" s="307" t="s">
        <v>60</v>
      </c>
      <c r="C14" s="683" t="s">
        <v>61</v>
      </c>
      <c r="D14" s="680">
        <f t="shared" si="2"/>
        <v>6208</v>
      </c>
      <c r="E14" s="680">
        <v>0</v>
      </c>
      <c r="F14" s="680">
        <v>1408</v>
      </c>
      <c r="G14" s="680">
        <v>4800</v>
      </c>
    </row>
    <row r="15" spans="1:7" x14ac:dyDescent="0.25">
      <c r="A15" s="682">
        <v>6</v>
      </c>
      <c r="B15" s="685" t="s">
        <v>18</v>
      </c>
      <c r="C15" s="683" t="s">
        <v>19</v>
      </c>
      <c r="D15" s="680">
        <f t="shared" si="2"/>
        <v>13729</v>
      </c>
      <c r="E15" s="680">
        <v>0</v>
      </c>
      <c r="F15" s="680">
        <v>2171</v>
      </c>
      <c r="G15" s="680">
        <v>11558</v>
      </c>
    </row>
    <row r="16" spans="1:7" x14ac:dyDescent="0.25">
      <c r="A16" s="682">
        <v>7</v>
      </c>
      <c r="B16" s="307" t="s">
        <v>62</v>
      </c>
      <c r="C16" s="683" t="s">
        <v>63</v>
      </c>
      <c r="D16" s="680">
        <f t="shared" si="2"/>
        <v>16111</v>
      </c>
      <c r="E16" s="680">
        <v>0</v>
      </c>
      <c r="F16" s="680">
        <v>1013</v>
      </c>
      <c r="G16" s="680">
        <v>15098</v>
      </c>
    </row>
    <row r="17" spans="1:7" x14ac:dyDescent="0.25">
      <c r="A17" s="682">
        <v>8</v>
      </c>
      <c r="B17" s="685" t="s">
        <v>64</v>
      </c>
      <c r="C17" s="683" t="s">
        <v>65</v>
      </c>
      <c r="D17" s="680">
        <f t="shared" si="2"/>
        <v>9937</v>
      </c>
      <c r="E17" s="680">
        <v>0</v>
      </c>
      <c r="F17" s="680">
        <v>0</v>
      </c>
      <c r="G17" s="680">
        <v>9937</v>
      </c>
    </row>
    <row r="18" spans="1:7" x14ac:dyDescent="0.25">
      <c r="A18" s="682">
        <v>9</v>
      </c>
      <c r="B18" s="685" t="s">
        <v>66</v>
      </c>
      <c r="C18" s="683" t="s">
        <v>67</v>
      </c>
      <c r="D18" s="680">
        <f t="shared" si="2"/>
        <v>6150</v>
      </c>
      <c r="E18" s="680">
        <v>0</v>
      </c>
      <c r="F18" s="680">
        <v>0</v>
      </c>
      <c r="G18" s="680">
        <v>6150</v>
      </c>
    </row>
    <row r="19" spans="1:7" x14ac:dyDescent="0.25">
      <c r="A19" s="682">
        <v>10</v>
      </c>
      <c r="B19" s="685" t="s">
        <v>68</v>
      </c>
      <c r="C19" s="683" t="s">
        <v>69</v>
      </c>
      <c r="D19" s="680">
        <f t="shared" si="2"/>
        <v>13373</v>
      </c>
      <c r="E19" s="680">
        <v>1500</v>
      </c>
      <c r="F19" s="680">
        <v>0</v>
      </c>
      <c r="G19" s="680">
        <v>11873</v>
      </c>
    </row>
    <row r="20" spans="1:7" x14ac:dyDescent="0.25">
      <c r="A20" s="682">
        <v>11</v>
      </c>
      <c r="B20" s="685" t="s">
        <v>70</v>
      </c>
      <c r="C20" s="683" t="s">
        <v>71</v>
      </c>
      <c r="D20" s="680">
        <f t="shared" si="2"/>
        <v>7987</v>
      </c>
      <c r="E20" s="680">
        <v>0</v>
      </c>
      <c r="F20" s="680">
        <v>1816</v>
      </c>
      <c r="G20" s="680">
        <v>6171</v>
      </c>
    </row>
    <row r="21" spans="1:7" x14ac:dyDescent="0.25">
      <c r="A21" s="682">
        <v>12</v>
      </c>
      <c r="B21" s="685" t="s">
        <v>72</v>
      </c>
      <c r="C21" s="683" t="s">
        <v>73</v>
      </c>
      <c r="D21" s="680">
        <f t="shared" si="2"/>
        <v>2971</v>
      </c>
      <c r="E21" s="680">
        <v>0</v>
      </c>
      <c r="F21" s="680">
        <v>1829</v>
      </c>
      <c r="G21" s="680">
        <v>1142</v>
      </c>
    </row>
    <row r="22" spans="1:7" x14ac:dyDescent="0.25">
      <c r="A22" s="682">
        <v>13</v>
      </c>
      <c r="B22" s="685" t="s">
        <v>74</v>
      </c>
      <c r="C22" s="683" t="s">
        <v>75</v>
      </c>
      <c r="D22" s="680">
        <f t="shared" si="2"/>
        <v>0</v>
      </c>
      <c r="E22" s="680">
        <v>0</v>
      </c>
      <c r="F22" s="680">
        <v>0</v>
      </c>
      <c r="G22" s="680">
        <v>0</v>
      </c>
    </row>
    <row r="23" spans="1:7" x14ac:dyDescent="0.25">
      <c r="A23" s="682">
        <v>14</v>
      </c>
      <c r="B23" s="685" t="s">
        <v>76</v>
      </c>
      <c r="C23" s="683" t="s">
        <v>77</v>
      </c>
      <c r="D23" s="680">
        <f t="shared" si="2"/>
        <v>13420</v>
      </c>
      <c r="E23" s="680">
        <v>53</v>
      </c>
      <c r="F23" s="680">
        <v>2183</v>
      </c>
      <c r="G23" s="680">
        <v>11184</v>
      </c>
    </row>
    <row r="24" spans="1:7" x14ac:dyDescent="0.25">
      <c r="A24" s="682">
        <v>15</v>
      </c>
      <c r="B24" s="685" t="s">
        <v>78</v>
      </c>
      <c r="C24" s="683" t="s">
        <v>79</v>
      </c>
      <c r="D24" s="680">
        <f t="shared" si="2"/>
        <v>13137</v>
      </c>
      <c r="E24" s="680">
        <v>0</v>
      </c>
      <c r="F24" s="680">
        <v>0</v>
      </c>
      <c r="G24" s="680">
        <v>13137</v>
      </c>
    </row>
    <row r="25" spans="1:7" x14ac:dyDescent="0.25">
      <c r="A25" s="682">
        <v>16</v>
      </c>
      <c r="B25" s="685" t="s">
        <v>80</v>
      </c>
      <c r="C25" s="683" t="s">
        <v>81</v>
      </c>
      <c r="D25" s="680">
        <f t="shared" si="2"/>
        <v>12443</v>
      </c>
      <c r="E25" s="680">
        <v>0</v>
      </c>
      <c r="F25" s="680">
        <v>1016</v>
      </c>
      <c r="G25" s="680">
        <v>11427</v>
      </c>
    </row>
    <row r="26" spans="1:7" x14ac:dyDescent="0.25">
      <c r="A26" s="682">
        <v>17</v>
      </c>
      <c r="B26" s="685" t="s">
        <v>20</v>
      </c>
      <c r="C26" s="683" t="s">
        <v>21</v>
      </c>
      <c r="D26" s="680">
        <f t="shared" si="2"/>
        <v>62948</v>
      </c>
      <c r="E26" s="680">
        <v>100</v>
      </c>
      <c r="F26" s="680">
        <v>2163</v>
      </c>
      <c r="G26" s="680">
        <v>60685</v>
      </c>
    </row>
    <row r="27" spans="1:7" x14ac:dyDescent="0.25">
      <c r="A27" s="682">
        <v>18</v>
      </c>
      <c r="B27" s="307" t="s">
        <v>82</v>
      </c>
      <c r="C27" s="683" t="s">
        <v>83</v>
      </c>
      <c r="D27" s="680">
        <f t="shared" si="2"/>
        <v>6430</v>
      </c>
      <c r="E27" s="680">
        <v>0</v>
      </c>
      <c r="F27" s="680">
        <v>2896</v>
      </c>
      <c r="G27" s="680">
        <v>3534</v>
      </c>
    </row>
    <row r="28" spans="1:7" x14ac:dyDescent="0.25">
      <c r="A28" s="682">
        <v>19</v>
      </c>
      <c r="B28" s="307" t="s">
        <v>84</v>
      </c>
      <c r="C28" s="683" t="s">
        <v>85</v>
      </c>
      <c r="D28" s="680">
        <f t="shared" si="2"/>
        <v>455</v>
      </c>
      <c r="E28" s="680">
        <v>37</v>
      </c>
      <c r="F28" s="680">
        <v>0</v>
      </c>
      <c r="G28" s="680">
        <v>418</v>
      </c>
    </row>
    <row r="29" spans="1:7" x14ac:dyDescent="0.25">
      <c r="A29" s="682">
        <v>20</v>
      </c>
      <c r="B29" s="307" t="s">
        <v>86</v>
      </c>
      <c r="C29" s="683" t="s">
        <v>87</v>
      </c>
      <c r="D29" s="680">
        <f t="shared" si="2"/>
        <v>25523</v>
      </c>
      <c r="E29" s="680">
        <v>0</v>
      </c>
      <c r="F29" s="680">
        <v>1692</v>
      </c>
      <c r="G29" s="680">
        <v>23831</v>
      </c>
    </row>
    <row r="30" spans="1:7" x14ac:dyDescent="0.25">
      <c r="A30" s="682">
        <v>21</v>
      </c>
      <c r="B30" s="307" t="s">
        <v>22</v>
      </c>
      <c r="C30" s="683" t="s">
        <v>23</v>
      </c>
      <c r="D30" s="680">
        <f t="shared" si="2"/>
        <v>6071</v>
      </c>
      <c r="E30" s="680">
        <v>0</v>
      </c>
      <c r="F30" s="680">
        <v>1253</v>
      </c>
      <c r="G30" s="680">
        <v>4818</v>
      </c>
    </row>
    <row r="31" spans="1:7" x14ac:dyDescent="0.25">
      <c r="A31" s="682">
        <v>22</v>
      </c>
      <c r="B31" s="685" t="s">
        <v>24</v>
      </c>
      <c r="C31" s="683" t="s">
        <v>25</v>
      </c>
      <c r="D31" s="680">
        <f t="shared" si="2"/>
        <v>2149</v>
      </c>
      <c r="E31" s="680">
        <v>0</v>
      </c>
      <c r="F31" s="680">
        <v>1202</v>
      </c>
      <c r="G31" s="680">
        <v>947</v>
      </c>
    </row>
    <row r="32" spans="1:7" x14ac:dyDescent="0.25">
      <c r="A32" s="682">
        <v>23</v>
      </c>
      <c r="B32" s="685" t="s">
        <v>88</v>
      </c>
      <c r="C32" s="683" t="s">
        <v>89</v>
      </c>
      <c r="D32" s="680">
        <f t="shared" si="2"/>
        <v>0</v>
      </c>
      <c r="E32" s="680">
        <v>0</v>
      </c>
      <c r="F32" s="680">
        <v>0</v>
      </c>
      <c r="G32" s="680">
        <v>0</v>
      </c>
    </row>
    <row r="33" spans="1:7" x14ac:dyDescent="0.25">
      <c r="A33" s="682">
        <v>24</v>
      </c>
      <c r="B33" s="685" t="s">
        <v>90</v>
      </c>
      <c r="C33" s="683" t="s">
        <v>91</v>
      </c>
      <c r="D33" s="680">
        <f t="shared" si="2"/>
        <v>0</v>
      </c>
      <c r="E33" s="680">
        <v>0</v>
      </c>
      <c r="F33" s="680">
        <v>0</v>
      </c>
      <c r="G33" s="680">
        <v>0</v>
      </c>
    </row>
    <row r="34" spans="1:7" x14ac:dyDescent="0.25">
      <c r="A34" s="921">
        <v>25</v>
      </c>
      <c r="B34" s="624" t="s">
        <v>92</v>
      </c>
      <c r="C34" s="57" t="s">
        <v>775</v>
      </c>
      <c r="D34" s="680">
        <f t="shared" si="2"/>
        <v>151473</v>
      </c>
      <c r="E34" s="680">
        <v>5479</v>
      </c>
      <c r="F34" s="680">
        <v>2725</v>
      </c>
      <c r="G34" s="680">
        <v>143269</v>
      </c>
    </row>
    <row r="35" spans="1:7" x14ac:dyDescent="0.25">
      <c r="A35" s="923"/>
      <c r="B35" s="167" t="s">
        <v>94</v>
      </c>
      <c r="C35" s="50" t="s">
        <v>95</v>
      </c>
      <c r="D35" s="680">
        <f t="shared" si="2"/>
        <v>20148</v>
      </c>
      <c r="E35" s="680">
        <v>0</v>
      </c>
      <c r="F35" s="680">
        <v>0</v>
      </c>
      <c r="G35" s="680">
        <v>20148</v>
      </c>
    </row>
    <row r="36" spans="1:7" x14ac:dyDescent="0.25">
      <c r="A36" s="682">
        <v>26</v>
      </c>
      <c r="B36" s="684" t="s">
        <v>96</v>
      </c>
      <c r="C36" s="683" t="s">
        <v>97</v>
      </c>
      <c r="D36" s="680">
        <f t="shared" si="2"/>
        <v>10497</v>
      </c>
      <c r="E36" s="680">
        <v>0</v>
      </c>
      <c r="F36" s="680">
        <v>10497</v>
      </c>
      <c r="G36" s="680">
        <v>0</v>
      </c>
    </row>
    <row r="37" spans="1:7" x14ac:dyDescent="0.25">
      <c r="A37" s="682">
        <v>27</v>
      </c>
      <c r="B37" s="684" t="s">
        <v>26</v>
      </c>
      <c r="C37" s="683" t="s">
        <v>27</v>
      </c>
      <c r="D37" s="680">
        <f t="shared" si="2"/>
        <v>38345</v>
      </c>
      <c r="E37" s="680">
        <v>0</v>
      </c>
      <c r="F37" s="680">
        <v>4470</v>
      </c>
      <c r="G37" s="680">
        <v>33875</v>
      </c>
    </row>
    <row r="38" spans="1:7" x14ac:dyDescent="0.25">
      <c r="A38" s="682">
        <v>28</v>
      </c>
      <c r="B38" s="307" t="s">
        <v>98</v>
      </c>
      <c r="C38" s="683" t="s">
        <v>99</v>
      </c>
      <c r="D38" s="680">
        <f t="shared" si="2"/>
        <v>50028</v>
      </c>
      <c r="E38" s="680">
        <v>6500</v>
      </c>
      <c r="F38" s="680">
        <v>5598</v>
      </c>
      <c r="G38" s="680">
        <v>37930</v>
      </c>
    </row>
    <row r="39" spans="1:7" x14ac:dyDescent="0.25">
      <c r="A39" s="682">
        <v>29</v>
      </c>
      <c r="B39" s="684" t="s">
        <v>100</v>
      </c>
      <c r="C39" s="683" t="s">
        <v>101</v>
      </c>
      <c r="D39" s="680">
        <f t="shared" si="2"/>
        <v>2946</v>
      </c>
      <c r="E39" s="680">
        <v>0</v>
      </c>
      <c r="F39" s="680">
        <v>948</v>
      </c>
      <c r="G39" s="680">
        <v>1998</v>
      </c>
    </row>
    <row r="40" spans="1:7" x14ac:dyDescent="0.25">
      <c r="A40" s="682">
        <v>30</v>
      </c>
      <c r="B40" s="685" t="s">
        <v>102</v>
      </c>
      <c r="C40" s="683" t="s">
        <v>103</v>
      </c>
      <c r="D40" s="680">
        <f t="shared" si="2"/>
        <v>40018</v>
      </c>
      <c r="E40" s="680">
        <v>0</v>
      </c>
      <c r="F40" s="680">
        <v>4470</v>
      </c>
      <c r="G40" s="680">
        <v>35548</v>
      </c>
    </row>
    <row r="41" spans="1:7" x14ac:dyDescent="0.25">
      <c r="A41" s="682">
        <v>31</v>
      </c>
      <c r="B41" s="684" t="s">
        <v>104</v>
      </c>
      <c r="C41" s="683" t="s">
        <v>105</v>
      </c>
      <c r="D41" s="680">
        <f t="shared" si="2"/>
        <v>14832</v>
      </c>
      <c r="E41" s="680">
        <v>324</v>
      </c>
      <c r="F41" s="680">
        <v>989</v>
      </c>
      <c r="G41" s="680">
        <v>13519</v>
      </c>
    </row>
    <row r="42" spans="1:7" x14ac:dyDescent="0.25">
      <c r="A42" s="682">
        <v>32</v>
      </c>
      <c r="B42" s="307" t="s">
        <v>106</v>
      </c>
      <c r="C42" s="683" t="s">
        <v>107</v>
      </c>
      <c r="D42" s="680">
        <f t="shared" si="2"/>
        <v>33381</v>
      </c>
      <c r="E42" s="680">
        <v>0</v>
      </c>
      <c r="F42" s="680">
        <v>7081</v>
      </c>
      <c r="G42" s="680">
        <v>26300</v>
      </c>
    </row>
    <row r="43" spans="1:7" x14ac:dyDescent="0.25">
      <c r="A43" s="682">
        <v>33</v>
      </c>
      <c r="B43" s="686" t="s">
        <v>108</v>
      </c>
      <c r="C43" s="687" t="s">
        <v>109</v>
      </c>
      <c r="D43" s="680">
        <f t="shared" si="2"/>
        <v>12006</v>
      </c>
      <c r="E43" s="680">
        <v>0</v>
      </c>
      <c r="F43" s="680">
        <v>1024</v>
      </c>
      <c r="G43" s="680">
        <v>10982</v>
      </c>
    </row>
    <row r="44" spans="1:7" x14ac:dyDescent="0.25">
      <c r="A44" s="682">
        <v>34</v>
      </c>
      <c r="B44" s="307" t="s">
        <v>110</v>
      </c>
      <c r="C44" s="683" t="s">
        <v>111</v>
      </c>
      <c r="D44" s="680">
        <f t="shared" si="2"/>
        <v>3677</v>
      </c>
      <c r="E44" s="680">
        <v>350</v>
      </c>
      <c r="F44" s="680">
        <v>3111</v>
      </c>
      <c r="G44" s="680">
        <v>216</v>
      </c>
    </row>
    <row r="45" spans="1:7" x14ac:dyDescent="0.25">
      <c r="A45" s="682">
        <v>35</v>
      </c>
      <c r="B45" s="307" t="s">
        <v>112</v>
      </c>
      <c r="C45" s="683" t="s">
        <v>113</v>
      </c>
      <c r="D45" s="680">
        <f t="shared" si="2"/>
        <v>7499</v>
      </c>
      <c r="E45" s="680">
        <v>0</v>
      </c>
      <c r="F45" s="680">
        <v>282</v>
      </c>
      <c r="G45" s="680">
        <v>7217</v>
      </c>
    </row>
    <row r="46" spans="1:7" x14ac:dyDescent="0.25">
      <c r="A46" s="682">
        <v>36</v>
      </c>
      <c r="B46" s="685" t="s">
        <v>114</v>
      </c>
      <c r="C46" s="683" t="s">
        <v>115</v>
      </c>
      <c r="D46" s="680">
        <f t="shared" si="2"/>
        <v>8031</v>
      </c>
      <c r="E46" s="680">
        <v>0</v>
      </c>
      <c r="F46" s="680">
        <v>1626</v>
      </c>
      <c r="G46" s="680">
        <v>6405</v>
      </c>
    </row>
    <row r="47" spans="1:7" x14ac:dyDescent="0.25">
      <c r="A47" s="682">
        <v>37</v>
      </c>
      <c r="B47" s="684" t="s">
        <v>116</v>
      </c>
      <c r="C47" s="683" t="s">
        <v>117</v>
      </c>
      <c r="D47" s="680">
        <f t="shared" si="2"/>
        <v>0</v>
      </c>
      <c r="E47" s="680">
        <v>0</v>
      </c>
      <c r="F47" s="680">
        <v>0</v>
      </c>
      <c r="G47" s="680">
        <v>0</v>
      </c>
    </row>
    <row r="48" spans="1:7" x14ac:dyDescent="0.25">
      <c r="A48" s="682">
        <v>38</v>
      </c>
      <c r="B48" s="685" t="s">
        <v>28</v>
      </c>
      <c r="C48" s="683" t="s">
        <v>29</v>
      </c>
      <c r="D48" s="680">
        <f t="shared" si="2"/>
        <v>18535</v>
      </c>
      <c r="E48" s="680">
        <v>1765</v>
      </c>
      <c r="F48" s="680">
        <v>11068</v>
      </c>
      <c r="G48" s="680">
        <v>5702</v>
      </c>
    </row>
    <row r="49" spans="1:7" x14ac:dyDescent="0.25">
      <c r="A49" s="682">
        <v>39</v>
      </c>
      <c r="B49" s="307" t="s">
        <v>118</v>
      </c>
      <c r="C49" s="683" t="s">
        <v>119</v>
      </c>
      <c r="D49" s="680">
        <f t="shared" si="2"/>
        <v>7603</v>
      </c>
      <c r="E49" s="680">
        <v>188</v>
      </c>
      <c r="F49" s="680">
        <v>0</v>
      </c>
      <c r="G49" s="680">
        <v>7415</v>
      </c>
    </row>
    <row r="50" spans="1:7" x14ac:dyDescent="0.25">
      <c r="A50" s="682">
        <v>40</v>
      </c>
      <c r="B50" s="307" t="s">
        <v>120</v>
      </c>
      <c r="C50" s="683" t="s">
        <v>121</v>
      </c>
      <c r="D50" s="680">
        <f t="shared" si="2"/>
        <v>10152</v>
      </c>
      <c r="E50" s="680">
        <v>0</v>
      </c>
      <c r="F50" s="680">
        <v>0</v>
      </c>
      <c r="G50" s="680">
        <v>10152</v>
      </c>
    </row>
    <row r="51" spans="1:7" x14ac:dyDescent="0.25">
      <c r="A51" s="682">
        <v>41</v>
      </c>
      <c r="B51" s="685" t="s">
        <v>122</v>
      </c>
      <c r="C51" s="683" t="s">
        <v>123</v>
      </c>
      <c r="D51" s="680">
        <f t="shared" si="2"/>
        <v>4379</v>
      </c>
      <c r="E51" s="680">
        <v>0</v>
      </c>
      <c r="F51" s="680">
        <v>0</v>
      </c>
      <c r="G51" s="680">
        <v>4379</v>
      </c>
    </row>
    <row r="52" spans="1:7" x14ac:dyDescent="0.25">
      <c r="A52" s="682">
        <v>42</v>
      </c>
      <c r="B52" s="684" t="s">
        <v>124</v>
      </c>
      <c r="C52" s="683" t="s">
        <v>125</v>
      </c>
      <c r="D52" s="680">
        <f t="shared" si="2"/>
        <v>6849</v>
      </c>
      <c r="E52" s="680">
        <v>480</v>
      </c>
      <c r="F52" s="680">
        <v>0</v>
      </c>
      <c r="G52" s="680">
        <v>6369</v>
      </c>
    </row>
    <row r="53" spans="1:7" x14ac:dyDescent="0.25">
      <c r="A53" s="682">
        <v>43</v>
      </c>
      <c r="B53" s="685" t="s">
        <v>126</v>
      </c>
      <c r="C53" s="683" t="s">
        <v>127</v>
      </c>
      <c r="D53" s="680">
        <f t="shared" si="2"/>
        <v>13904</v>
      </c>
      <c r="E53" s="680">
        <v>0</v>
      </c>
      <c r="F53" s="680">
        <v>1528</v>
      </c>
      <c r="G53" s="680">
        <v>12376</v>
      </c>
    </row>
    <row r="54" spans="1:7" x14ac:dyDescent="0.25">
      <c r="A54" s="682">
        <v>44</v>
      </c>
      <c r="B54" s="684" t="s">
        <v>128</v>
      </c>
      <c r="C54" s="683" t="s">
        <v>129</v>
      </c>
      <c r="D54" s="680">
        <f t="shared" si="2"/>
        <v>784</v>
      </c>
      <c r="E54" s="680">
        <v>0</v>
      </c>
      <c r="F54" s="680">
        <v>0</v>
      </c>
      <c r="G54" s="680">
        <v>784</v>
      </c>
    </row>
    <row r="55" spans="1:7" x14ac:dyDescent="0.25">
      <c r="A55" s="682">
        <v>45</v>
      </c>
      <c r="B55" s="685" t="s">
        <v>130</v>
      </c>
      <c r="C55" s="683" t="s">
        <v>131</v>
      </c>
      <c r="D55" s="680">
        <f t="shared" si="2"/>
        <v>1884</v>
      </c>
      <c r="E55" s="680">
        <v>0</v>
      </c>
      <c r="F55" s="680">
        <v>0</v>
      </c>
      <c r="G55" s="680">
        <v>1884</v>
      </c>
    </row>
    <row r="56" spans="1:7" x14ac:dyDescent="0.25">
      <c r="A56" s="682">
        <v>46</v>
      </c>
      <c r="B56" s="684" t="s">
        <v>132</v>
      </c>
      <c r="C56" s="683" t="s">
        <v>133</v>
      </c>
      <c r="D56" s="680">
        <f t="shared" si="2"/>
        <v>11490</v>
      </c>
      <c r="E56" s="680">
        <v>0</v>
      </c>
      <c r="F56" s="680">
        <v>1983</v>
      </c>
      <c r="G56" s="680">
        <v>9507</v>
      </c>
    </row>
    <row r="57" spans="1:7" x14ac:dyDescent="0.25">
      <c r="A57" s="682">
        <v>47</v>
      </c>
      <c r="B57" s="685" t="s">
        <v>134</v>
      </c>
      <c r="C57" s="683" t="s">
        <v>135</v>
      </c>
      <c r="D57" s="680">
        <f t="shared" si="2"/>
        <v>11301</v>
      </c>
      <c r="E57" s="680">
        <v>0</v>
      </c>
      <c r="F57" s="680">
        <v>699</v>
      </c>
      <c r="G57" s="680">
        <v>10602</v>
      </c>
    </row>
    <row r="58" spans="1:7" x14ac:dyDescent="0.25">
      <c r="A58" s="682">
        <v>48</v>
      </c>
      <c r="B58" s="685" t="s">
        <v>136</v>
      </c>
      <c r="C58" s="683" t="s">
        <v>137</v>
      </c>
      <c r="D58" s="680">
        <f t="shared" si="2"/>
        <v>33569</v>
      </c>
      <c r="E58" s="680">
        <v>0</v>
      </c>
      <c r="F58" s="680">
        <v>249</v>
      </c>
      <c r="G58" s="680">
        <v>33320</v>
      </c>
    </row>
    <row r="59" spans="1:7" x14ac:dyDescent="0.25">
      <c r="A59" s="682">
        <v>49</v>
      </c>
      <c r="B59" s="685" t="s">
        <v>138</v>
      </c>
      <c r="C59" s="683" t="s">
        <v>139</v>
      </c>
      <c r="D59" s="680">
        <f t="shared" si="2"/>
        <v>7525</v>
      </c>
      <c r="E59" s="680">
        <v>0</v>
      </c>
      <c r="F59" s="680">
        <v>1174</v>
      </c>
      <c r="G59" s="680">
        <v>6351</v>
      </c>
    </row>
    <row r="60" spans="1:7" x14ac:dyDescent="0.25">
      <c r="A60" s="682">
        <v>50</v>
      </c>
      <c r="B60" s="685" t="s">
        <v>140</v>
      </c>
      <c r="C60" s="683" t="s">
        <v>141</v>
      </c>
      <c r="D60" s="680">
        <f t="shared" si="2"/>
        <v>8496</v>
      </c>
      <c r="E60" s="680">
        <v>0</v>
      </c>
      <c r="F60" s="680">
        <v>1392</v>
      </c>
      <c r="G60" s="680">
        <v>7104</v>
      </c>
    </row>
    <row r="61" spans="1:7" x14ac:dyDescent="0.25">
      <c r="A61" s="682">
        <v>51</v>
      </c>
      <c r="B61" s="684" t="s">
        <v>142</v>
      </c>
      <c r="C61" s="683" t="s">
        <v>143</v>
      </c>
      <c r="D61" s="680">
        <f t="shared" si="2"/>
        <v>9554</v>
      </c>
      <c r="E61" s="680">
        <v>0</v>
      </c>
      <c r="F61" s="680">
        <v>1165</v>
      </c>
      <c r="G61" s="680">
        <v>8389</v>
      </c>
    </row>
    <row r="62" spans="1:7" x14ac:dyDescent="0.25">
      <c r="A62" s="682">
        <v>52</v>
      </c>
      <c r="B62" s="685" t="s">
        <v>144</v>
      </c>
      <c r="C62" s="683" t="s">
        <v>145</v>
      </c>
      <c r="D62" s="680">
        <f t="shared" si="2"/>
        <v>0</v>
      </c>
      <c r="E62" s="680">
        <v>0</v>
      </c>
      <c r="F62" s="680">
        <v>0</v>
      </c>
      <c r="G62" s="680">
        <v>0</v>
      </c>
    </row>
    <row r="63" spans="1:7" x14ac:dyDescent="0.25">
      <c r="A63" s="682">
        <v>53</v>
      </c>
      <c r="B63" s="685" t="s">
        <v>146</v>
      </c>
      <c r="C63" s="683" t="s">
        <v>147</v>
      </c>
      <c r="D63" s="680">
        <f t="shared" si="2"/>
        <v>0</v>
      </c>
      <c r="E63" s="680">
        <v>0</v>
      </c>
      <c r="F63" s="680">
        <v>0</v>
      </c>
      <c r="G63" s="680">
        <v>0</v>
      </c>
    </row>
    <row r="64" spans="1:7" x14ac:dyDescent="0.25">
      <c r="A64" s="682">
        <v>54</v>
      </c>
      <c r="B64" s="685" t="s">
        <v>148</v>
      </c>
      <c r="C64" s="683" t="s">
        <v>149</v>
      </c>
      <c r="D64" s="680">
        <f t="shared" si="2"/>
        <v>0</v>
      </c>
      <c r="E64" s="680">
        <v>0</v>
      </c>
      <c r="F64" s="680">
        <v>0</v>
      </c>
      <c r="G64" s="680">
        <v>0</v>
      </c>
    </row>
    <row r="65" spans="1:7" x14ac:dyDescent="0.25">
      <c r="A65" s="682">
        <v>55</v>
      </c>
      <c r="B65" s="684" t="s">
        <v>150</v>
      </c>
      <c r="C65" s="683" t="s">
        <v>151</v>
      </c>
      <c r="D65" s="680">
        <f t="shared" si="2"/>
        <v>0</v>
      </c>
      <c r="E65" s="680">
        <v>0</v>
      </c>
      <c r="F65" s="680">
        <v>0</v>
      </c>
      <c r="G65" s="680">
        <v>0</v>
      </c>
    </row>
    <row r="66" spans="1:7" x14ac:dyDescent="0.25">
      <c r="A66" s="682">
        <v>56</v>
      </c>
      <c r="B66" s="684" t="s">
        <v>154</v>
      </c>
      <c r="C66" s="683" t="s">
        <v>155</v>
      </c>
      <c r="D66" s="680">
        <f t="shared" si="2"/>
        <v>0</v>
      </c>
      <c r="E66" s="680">
        <v>0</v>
      </c>
      <c r="F66" s="680">
        <v>0</v>
      </c>
      <c r="G66" s="680">
        <v>0</v>
      </c>
    </row>
    <row r="67" spans="1:7" x14ac:dyDescent="0.25">
      <c r="A67" s="682">
        <v>57</v>
      </c>
      <c r="B67" s="307" t="s">
        <v>158</v>
      </c>
      <c r="C67" s="683" t="s">
        <v>159</v>
      </c>
      <c r="D67" s="680">
        <f t="shared" si="2"/>
        <v>3479</v>
      </c>
      <c r="E67" s="680">
        <v>0</v>
      </c>
      <c r="F67" s="680">
        <v>3479</v>
      </c>
      <c r="G67" s="680">
        <v>0</v>
      </c>
    </row>
    <row r="68" spans="1:7" x14ac:dyDescent="0.25">
      <c r="A68" s="682">
        <v>58</v>
      </c>
      <c r="B68" s="307" t="s">
        <v>160</v>
      </c>
      <c r="C68" s="683" t="s">
        <v>161</v>
      </c>
      <c r="D68" s="680">
        <f t="shared" si="2"/>
        <v>8078</v>
      </c>
      <c r="E68" s="680">
        <v>0</v>
      </c>
      <c r="F68" s="680">
        <v>8078</v>
      </c>
      <c r="G68" s="680">
        <v>0</v>
      </c>
    </row>
    <row r="69" spans="1:7" x14ac:dyDescent="0.25">
      <c r="A69" s="682">
        <v>59</v>
      </c>
      <c r="B69" s="684" t="s">
        <v>162</v>
      </c>
      <c r="C69" s="683" t="s">
        <v>163</v>
      </c>
      <c r="D69" s="680">
        <f t="shared" si="2"/>
        <v>991</v>
      </c>
      <c r="E69" s="680">
        <v>0</v>
      </c>
      <c r="F69" s="680">
        <v>0</v>
      </c>
      <c r="G69" s="680">
        <v>991</v>
      </c>
    </row>
    <row r="70" spans="1:7" x14ac:dyDescent="0.25">
      <c r="A70" s="682">
        <v>60</v>
      </c>
      <c r="B70" s="684" t="s">
        <v>164</v>
      </c>
      <c r="C70" s="683" t="s">
        <v>165</v>
      </c>
      <c r="D70" s="680">
        <f t="shared" si="2"/>
        <v>0</v>
      </c>
      <c r="E70" s="680">
        <v>0</v>
      </c>
      <c r="F70" s="680">
        <v>0</v>
      </c>
      <c r="G70" s="680">
        <v>0</v>
      </c>
    </row>
    <row r="71" spans="1:7" x14ac:dyDescent="0.25">
      <c r="A71" s="682">
        <v>61</v>
      </c>
      <c r="B71" s="684" t="s">
        <v>166</v>
      </c>
      <c r="C71" s="683" t="s">
        <v>167</v>
      </c>
      <c r="D71" s="680">
        <f t="shared" si="2"/>
        <v>0</v>
      </c>
      <c r="E71" s="680">
        <v>0</v>
      </c>
      <c r="F71" s="680">
        <v>0</v>
      </c>
      <c r="G71" s="680">
        <v>0</v>
      </c>
    </row>
    <row r="72" spans="1:7" ht="24" x14ac:dyDescent="0.25">
      <c r="A72" s="901">
        <v>62</v>
      </c>
      <c r="B72" s="49" t="s">
        <v>170</v>
      </c>
      <c r="C72" s="57" t="s">
        <v>774</v>
      </c>
      <c r="D72" s="680">
        <f t="shared" si="2"/>
        <v>320</v>
      </c>
      <c r="E72" s="680">
        <v>0</v>
      </c>
      <c r="F72" s="680">
        <v>320</v>
      </c>
      <c r="G72" s="680">
        <v>0</v>
      </c>
    </row>
    <row r="73" spans="1:7" x14ac:dyDescent="0.25">
      <c r="A73" s="902"/>
      <c r="B73" s="52" t="s">
        <v>168</v>
      </c>
      <c r="C73" s="50" t="s">
        <v>169</v>
      </c>
      <c r="D73" s="680">
        <f t="shared" si="2"/>
        <v>0</v>
      </c>
      <c r="E73" s="680">
        <v>0</v>
      </c>
      <c r="F73" s="680">
        <v>0</v>
      </c>
      <c r="G73" s="680">
        <v>0</v>
      </c>
    </row>
    <row r="74" spans="1:7" x14ac:dyDescent="0.25">
      <c r="A74" s="903"/>
      <c r="B74" s="52" t="s">
        <v>174</v>
      </c>
      <c r="C74" s="50" t="s">
        <v>175</v>
      </c>
      <c r="D74" s="680">
        <f t="shared" si="2"/>
        <v>0</v>
      </c>
      <c r="E74" s="680">
        <v>0</v>
      </c>
      <c r="F74" s="680">
        <v>0</v>
      </c>
      <c r="G74" s="680">
        <v>0</v>
      </c>
    </row>
    <row r="75" spans="1:7" ht="24" x14ac:dyDescent="0.25">
      <c r="A75" s="901">
        <v>63</v>
      </c>
      <c r="B75" s="624" t="s">
        <v>176</v>
      </c>
      <c r="C75" s="57" t="s">
        <v>777</v>
      </c>
      <c r="D75" s="680">
        <f>E75+F75+G75</f>
        <v>5062</v>
      </c>
      <c r="E75" s="680">
        <v>0</v>
      </c>
      <c r="F75" s="680">
        <v>5062</v>
      </c>
      <c r="G75" s="680">
        <v>0</v>
      </c>
    </row>
    <row r="76" spans="1:7" x14ac:dyDescent="0.25">
      <c r="A76" s="902"/>
      <c r="B76" s="52" t="s">
        <v>172</v>
      </c>
      <c r="C76" s="50" t="s">
        <v>173</v>
      </c>
      <c r="D76" s="680">
        <f>E76+F76+G76</f>
        <v>48</v>
      </c>
      <c r="E76" s="680"/>
      <c r="F76" s="680">
        <v>48</v>
      </c>
      <c r="G76" s="680"/>
    </row>
    <row r="77" spans="1:7" x14ac:dyDescent="0.25">
      <c r="A77" s="902"/>
      <c r="B77" s="49" t="s">
        <v>178</v>
      </c>
      <c r="C77" s="50" t="s">
        <v>179</v>
      </c>
      <c r="D77" s="680">
        <f t="shared" ref="D77:D143" si="3">E77+F77+G77</f>
        <v>612</v>
      </c>
      <c r="E77" s="680">
        <v>0</v>
      </c>
      <c r="F77" s="680">
        <v>612</v>
      </c>
      <c r="G77" s="680">
        <v>0</v>
      </c>
    </row>
    <row r="78" spans="1:7" x14ac:dyDescent="0.25">
      <c r="A78" s="903"/>
      <c r="B78" s="49" t="s">
        <v>180</v>
      </c>
      <c r="C78" s="50" t="s">
        <v>181</v>
      </c>
      <c r="D78" s="680">
        <f t="shared" si="3"/>
        <v>257</v>
      </c>
      <c r="E78" s="680">
        <v>0</v>
      </c>
      <c r="F78" s="680">
        <v>257</v>
      </c>
      <c r="G78" s="680">
        <v>0</v>
      </c>
    </row>
    <row r="79" spans="1:7" x14ac:dyDescent="0.25">
      <c r="A79" s="682">
        <v>64</v>
      </c>
      <c r="B79" s="685" t="s">
        <v>182</v>
      </c>
      <c r="C79" s="683" t="s">
        <v>183</v>
      </c>
      <c r="D79" s="680">
        <f t="shared" si="3"/>
        <v>12593</v>
      </c>
      <c r="E79" s="680">
        <v>0</v>
      </c>
      <c r="F79" s="680">
        <v>3905</v>
      </c>
      <c r="G79" s="680">
        <v>8688</v>
      </c>
    </row>
    <row r="80" spans="1:7" x14ac:dyDescent="0.25">
      <c r="A80" s="682">
        <v>65</v>
      </c>
      <c r="B80" s="307" t="s">
        <v>184</v>
      </c>
      <c r="C80" s="683" t="s">
        <v>185</v>
      </c>
      <c r="D80" s="680">
        <f t="shared" si="3"/>
        <v>5933</v>
      </c>
      <c r="E80" s="680">
        <v>0</v>
      </c>
      <c r="F80" s="680">
        <v>0</v>
      </c>
      <c r="G80" s="680">
        <v>5933</v>
      </c>
    </row>
    <row r="81" spans="1:7" x14ac:dyDescent="0.25">
      <c r="A81" s="682">
        <v>66</v>
      </c>
      <c r="B81" s="685" t="s">
        <v>186</v>
      </c>
      <c r="C81" s="683" t="s">
        <v>187</v>
      </c>
      <c r="D81" s="680">
        <f t="shared" si="3"/>
        <v>5586</v>
      </c>
      <c r="E81" s="680">
        <v>0</v>
      </c>
      <c r="F81" s="680">
        <v>1445</v>
      </c>
      <c r="G81" s="680">
        <v>4141</v>
      </c>
    </row>
    <row r="82" spans="1:7" x14ac:dyDescent="0.25">
      <c r="A82" s="901">
        <v>67</v>
      </c>
      <c r="B82" s="624" t="s">
        <v>188</v>
      </c>
      <c r="C82" s="57" t="s">
        <v>785</v>
      </c>
      <c r="D82" s="680">
        <f t="shared" si="3"/>
        <v>7147</v>
      </c>
      <c r="E82" s="680">
        <v>0</v>
      </c>
      <c r="F82" s="680">
        <v>948</v>
      </c>
      <c r="G82" s="680">
        <v>6199</v>
      </c>
    </row>
    <row r="83" spans="1:7" x14ac:dyDescent="0.25">
      <c r="A83" s="903"/>
      <c r="B83" s="167" t="s">
        <v>156</v>
      </c>
      <c r="C83" s="50" t="s">
        <v>157</v>
      </c>
      <c r="D83" s="680">
        <f t="shared" si="3"/>
        <v>1733</v>
      </c>
      <c r="E83" s="680">
        <v>0</v>
      </c>
      <c r="F83" s="680">
        <v>0</v>
      </c>
      <c r="G83" s="680">
        <v>1733</v>
      </c>
    </row>
    <row r="84" spans="1:7" x14ac:dyDescent="0.25">
      <c r="A84" s="682">
        <v>68</v>
      </c>
      <c r="B84" s="307" t="s">
        <v>190</v>
      </c>
      <c r="C84" s="683" t="s">
        <v>191</v>
      </c>
      <c r="D84" s="680">
        <f t="shared" si="3"/>
        <v>19003</v>
      </c>
      <c r="E84" s="680">
        <v>1000</v>
      </c>
      <c r="F84" s="680">
        <v>0</v>
      </c>
      <c r="G84" s="680">
        <v>18003</v>
      </c>
    </row>
    <row r="85" spans="1:7" x14ac:dyDescent="0.25">
      <c r="A85" s="901">
        <v>69</v>
      </c>
      <c r="B85" s="624" t="s">
        <v>192</v>
      </c>
      <c r="C85" s="57" t="s">
        <v>776</v>
      </c>
      <c r="D85" s="680">
        <f t="shared" si="3"/>
        <v>6181</v>
      </c>
      <c r="E85" s="680">
        <v>0</v>
      </c>
      <c r="F85" s="680">
        <v>4229</v>
      </c>
      <c r="G85" s="680">
        <v>1952</v>
      </c>
    </row>
    <row r="86" spans="1:7" x14ac:dyDescent="0.25">
      <c r="A86" s="903"/>
      <c r="B86" s="49" t="s">
        <v>152</v>
      </c>
      <c r="C86" s="50" t="s">
        <v>153</v>
      </c>
      <c r="D86" s="680">
        <f t="shared" si="3"/>
        <v>2061</v>
      </c>
      <c r="E86" s="680">
        <v>0</v>
      </c>
      <c r="F86" s="680">
        <v>1410</v>
      </c>
      <c r="G86" s="680">
        <v>651</v>
      </c>
    </row>
    <row r="87" spans="1:7" x14ac:dyDescent="0.25">
      <c r="A87" s="682">
        <v>70</v>
      </c>
      <c r="B87" s="307" t="s">
        <v>194</v>
      </c>
      <c r="C87" s="683" t="s">
        <v>195</v>
      </c>
      <c r="D87" s="680">
        <f t="shared" si="3"/>
        <v>1771</v>
      </c>
      <c r="E87" s="680">
        <v>0</v>
      </c>
      <c r="F87" s="680">
        <v>0</v>
      </c>
      <c r="G87" s="680">
        <v>1771</v>
      </c>
    </row>
    <row r="88" spans="1:7" x14ac:dyDescent="0.25">
      <c r="A88" s="682">
        <v>71</v>
      </c>
      <c r="B88" s="307" t="s">
        <v>196</v>
      </c>
      <c r="C88" s="683" t="s">
        <v>197</v>
      </c>
      <c r="D88" s="680">
        <f t="shared" si="3"/>
        <v>0</v>
      </c>
      <c r="E88" s="680">
        <v>0</v>
      </c>
      <c r="F88" s="680">
        <v>0</v>
      </c>
      <c r="G88" s="680">
        <v>0</v>
      </c>
    </row>
    <row r="89" spans="1:7" x14ac:dyDescent="0.25">
      <c r="A89" s="682">
        <v>72</v>
      </c>
      <c r="B89" s="684" t="s">
        <v>30</v>
      </c>
      <c r="C89" s="683" t="s">
        <v>198</v>
      </c>
      <c r="D89" s="680">
        <f t="shared" si="3"/>
        <v>0</v>
      </c>
      <c r="E89" s="680">
        <v>0</v>
      </c>
      <c r="F89" s="680">
        <v>0</v>
      </c>
      <c r="G89" s="680">
        <v>0</v>
      </c>
    </row>
    <row r="90" spans="1:7" x14ac:dyDescent="0.25">
      <c r="A90" s="1027">
        <v>73</v>
      </c>
      <c r="B90" s="1030" t="s">
        <v>199</v>
      </c>
      <c r="C90" s="688" t="s">
        <v>200</v>
      </c>
      <c r="D90" s="680">
        <f t="shared" si="3"/>
        <v>0</v>
      </c>
      <c r="E90" s="680">
        <v>0</v>
      </c>
      <c r="F90" s="680">
        <v>0</v>
      </c>
      <c r="G90" s="680">
        <v>0</v>
      </c>
    </row>
    <row r="91" spans="1:7" ht="22.5" x14ac:dyDescent="0.25">
      <c r="A91" s="1028"/>
      <c r="B91" s="1031"/>
      <c r="C91" s="683" t="s">
        <v>201</v>
      </c>
      <c r="D91" s="680">
        <f t="shared" si="3"/>
        <v>0</v>
      </c>
      <c r="E91" s="680">
        <v>0</v>
      </c>
      <c r="F91" s="680">
        <v>0</v>
      </c>
      <c r="G91" s="680">
        <v>0</v>
      </c>
    </row>
    <row r="92" spans="1:7" x14ac:dyDescent="0.25">
      <c r="A92" s="1028"/>
      <c r="B92" s="1031"/>
      <c r="C92" s="683" t="s">
        <v>202</v>
      </c>
      <c r="D92" s="680">
        <f t="shared" si="3"/>
        <v>0</v>
      </c>
      <c r="E92" s="680">
        <v>0</v>
      </c>
      <c r="F92" s="680">
        <v>0</v>
      </c>
      <c r="G92" s="680">
        <v>0</v>
      </c>
    </row>
    <row r="93" spans="1:7" ht="22.5" x14ac:dyDescent="0.25">
      <c r="A93" s="1029"/>
      <c r="B93" s="1032"/>
      <c r="C93" s="689" t="s">
        <v>203</v>
      </c>
      <c r="D93" s="680">
        <f t="shared" si="3"/>
        <v>0</v>
      </c>
      <c r="E93" s="680">
        <v>0</v>
      </c>
      <c r="F93" s="680">
        <v>0</v>
      </c>
      <c r="G93" s="680">
        <v>0</v>
      </c>
    </row>
    <row r="94" spans="1:7" x14ac:dyDescent="0.25">
      <c r="A94" s="682">
        <v>74</v>
      </c>
      <c r="B94" s="684" t="s">
        <v>204</v>
      </c>
      <c r="C94" s="683" t="s">
        <v>205</v>
      </c>
      <c r="D94" s="680">
        <f t="shared" si="3"/>
        <v>0</v>
      </c>
      <c r="E94" s="680">
        <v>0</v>
      </c>
      <c r="F94" s="680">
        <v>0</v>
      </c>
      <c r="G94" s="680">
        <v>0</v>
      </c>
    </row>
    <row r="95" spans="1:7" x14ac:dyDescent="0.25">
      <c r="A95" s="682">
        <v>75</v>
      </c>
      <c r="B95" s="684" t="s">
        <v>206</v>
      </c>
      <c r="C95" s="683" t="s">
        <v>207</v>
      </c>
      <c r="D95" s="680">
        <f t="shared" si="3"/>
        <v>0</v>
      </c>
      <c r="E95" s="680">
        <v>0</v>
      </c>
      <c r="F95" s="680">
        <v>0</v>
      </c>
      <c r="G95" s="680">
        <v>0</v>
      </c>
    </row>
    <row r="96" spans="1:7" x14ac:dyDescent="0.25">
      <c r="A96" s="682">
        <v>76</v>
      </c>
      <c r="B96" s="685" t="s">
        <v>208</v>
      </c>
      <c r="C96" s="683" t="s">
        <v>209</v>
      </c>
      <c r="D96" s="680">
        <f t="shared" si="3"/>
        <v>5213</v>
      </c>
      <c r="E96" s="680">
        <v>0</v>
      </c>
      <c r="F96" s="680">
        <v>1500</v>
      </c>
      <c r="G96" s="680">
        <v>3713</v>
      </c>
    </row>
    <row r="97" spans="1:7" x14ac:dyDescent="0.25">
      <c r="A97" s="682">
        <v>77</v>
      </c>
      <c r="B97" s="684" t="s">
        <v>210</v>
      </c>
      <c r="C97" s="683" t="s">
        <v>211</v>
      </c>
      <c r="D97" s="680">
        <f t="shared" si="3"/>
        <v>870</v>
      </c>
      <c r="E97" s="680">
        <v>0</v>
      </c>
      <c r="F97" s="680">
        <v>688</v>
      </c>
      <c r="G97" s="680">
        <v>182</v>
      </c>
    </row>
    <row r="98" spans="1:7" x14ac:dyDescent="0.25">
      <c r="A98" s="682">
        <v>78</v>
      </c>
      <c r="B98" s="685" t="s">
        <v>212</v>
      </c>
      <c r="C98" s="683" t="s">
        <v>213</v>
      </c>
      <c r="D98" s="680">
        <f t="shared" si="3"/>
        <v>3174</v>
      </c>
      <c r="E98" s="680">
        <v>0</v>
      </c>
      <c r="F98" s="680">
        <f>993-993</f>
        <v>0</v>
      </c>
      <c r="G98" s="680">
        <v>3174</v>
      </c>
    </row>
    <row r="99" spans="1:7" x14ac:dyDescent="0.25">
      <c r="A99" s="682">
        <v>79</v>
      </c>
      <c r="B99" s="685" t="s">
        <v>214</v>
      </c>
      <c r="C99" s="683" t="s">
        <v>215</v>
      </c>
      <c r="D99" s="680">
        <f t="shared" si="3"/>
        <v>9980</v>
      </c>
      <c r="E99" s="680">
        <v>0</v>
      </c>
      <c r="F99" s="680">
        <v>1301</v>
      </c>
      <c r="G99" s="680">
        <v>8679</v>
      </c>
    </row>
    <row r="100" spans="1:7" x14ac:dyDescent="0.25">
      <c r="A100" s="682">
        <v>80</v>
      </c>
      <c r="B100" s="684" t="s">
        <v>216</v>
      </c>
      <c r="C100" s="683" t="s">
        <v>217</v>
      </c>
      <c r="D100" s="680">
        <f t="shared" si="3"/>
        <v>8183</v>
      </c>
      <c r="E100" s="680">
        <v>0</v>
      </c>
      <c r="F100" s="680">
        <v>0</v>
      </c>
      <c r="G100" s="680">
        <v>8183</v>
      </c>
    </row>
    <row r="101" spans="1:7" x14ac:dyDescent="0.25">
      <c r="A101" s="682">
        <v>81</v>
      </c>
      <c r="B101" s="307" t="s">
        <v>218</v>
      </c>
      <c r="C101" s="683" t="s">
        <v>219</v>
      </c>
      <c r="D101" s="680">
        <f t="shared" si="3"/>
        <v>26781</v>
      </c>
      <c r="E101" s="680">
        <v>0</v>
      </c>
      <c r="F101" s="680">
        <v>4898</v>
      </c>
      <c r="G101" s="680">
        <v>21883</v>
      </c>
    </row>
    <row r="102" spans="1:7" x14ac:dyDescent="0.25">
      <c r="A102" s="682">
        <v>82</v>
      </c>
      <c r="B102" s="307" t="s">
        <v>220</v>
      </c>
      <c r="C102" s="683" t="s">
        <v>221</v>
      </c>
      <c r="D102" s="680">
        <f t="shared" si="3"/>
        <v>5060</v>
      </c>
      <c r="E102" s="680">
        <v>0</v>
      </c>
      <c r="F102" s="680">
        <v>4891</v>
      </c>
      <c r="G102" s="680">
        <v>169</v>
      </c>
    </row>
    <row r="103" spans="1:7" x14ac:dyDescent="0.25">
      <c r="A103" s="682">
        <v>83</v>
      </c>
      <c r="B103" s="685" t="s">
        <v>222</v>
      </c>
      <c r="C103" s="683" t="s">
        <v>223</v>
      </c>
      <c r="D103" s="680">
        <f t="shared" si="3"/>
        <v>3488</v>
      </c>
      <c r="E103" s="680">
        <v>0</v>
      </c>
      <c r="F103" s="680">
        <v>2304</v>
      </c>
      <c r="G103" s="680">
        <v>1184</v>
      </c>
    </row>
    <row r="104" spans="1:7" x14ac:dyDescent="0.25">
      <c r="A104" s="682">
        <v>84</v>
      </c>
      <c r="B104" s="307" t="s">
        <v>224</v>
      </c>
      <c r="C104" s="683" t="s">
        <v>225</v>
      </c>
      <c r="D104" s="680">
        <f t="shared" si="3"/>
        <v>4285</v>
      </c>
      <c r="E104" s="680">
        <v>550</v>
      </c>
      <c r="F104" s="680">
        <v>0</v>
      </c>
      <c r="G104" s="680">
        <v>3735</v>
      </c>
    </row>
    <row r="105" spans="1:7" x14ac:dyDescent="0.25">
      <c r="A105" s="682">
        <v>85</v>
      </c>
      <c r="B105" s="307" t="s">
        <v>226</v>
      </c>
      <c r="C105" s="683" t="s">
        <v>227</v>
      </c>
      <c r="D105" s="680">
        <f t="shared" si="3"/>
        <v>9717</v>
      </c>
      <c r="E105" s="680">
        <v>0</v>
      </c>
      <c r="F105" s="680">
        <v>1264</v>
      </c>
      <c r="G105" s="680">
        <v>8453</v>
      </c>
    </row>
    <row r="106" spans="1:7" x14ac:dyDescent="0.25">
      <c r="A106" s="682">
        <v>86</v>
      </c>
      <c r="B106" s="684" t="s">
        <v>32</v>
      </c>
      <c r="C106" s="683" t="s">
        <v>33</v>
      </c>
      <c r="D106" s="680">
        <f t="shared" si="3"/>
        <v>9087</v>
      </c>
      <c r="E106" s="680">
        <v>0</v>
      </c>
      <c r="F106" s="680">
        <v>2595</v>
      </c>
      <c r="G106" s="680">
        <v>6492</v>
      </c>
    </row>
    <row r="107" spans="1:7" x14ac:dyDescent="0.25">
      <c r="A107" s="682">
        <v>87</v>
      </c>
      <c r="B107" s="685" t="s">
        <v>228</v>
      </c>
      <c r="C107" s="683" t="s">
        <v>229</v>
      </c>
      <c r="D107" s="680">
        <f t="shared" si="3"/>
        <v>7119</v>
      </c>
      <c r="E107" s="680">
        <v>466</v>
      </c>
      <c r="F107" s="680">
        <v>1338</v>
      </c>
      <c r="G107" s="680">
        <v>5315</v>
      </c>
    </row>
    <row r="108" spans="1:7" x14ac:dyDescent="0.25">
      <c r="A108" s="682">
        <v>88</v>
      </c>
      <c r="B108" s="307" t="s">
        <v>230</v>
      </c>
      <c r="C108" s="683" t="s">
        <v>231</v>
      </c>
      <c r="D108" s="680">
        <f t="shared" si="3"/>
        <v>11963</v>
      </c>
      <c r="E108" s="680">
        <v>1400</v>
      </c>
      <c r="F108" s="680">
        <v>2156</v>
      </c>
      <c r="G108" s="680">
        <v>8407</v>
      </c>
    </row>
    <row r="109" spans="1:7" x14ac:dyDescent="0.25">
      <c r="A109" s="682">
        <v>89</v>
      </c>
      <c r="B109" s="307" t="s">
        <v>232</v>
      </c>
      <c r="C109" s="683" t="s">
        <v>233</v>
      </c>
      <c r="D109" s="680">
        <f t="shared" si="3"/>
        <v>0</v>
      </c>
      <c r="E109" s="680">
        <v>0</v>
      </c>
      <c r="F109" s="680">
        <v>0</v>
      </c>
      <c r="G109" s="680">
        <v>0</v>
      </c>
    </row>
    <row r="110" spans="1:7" x14ac:dyDescent="0.25">
      <c r="A110" s="682">
        <v>90</v>
      </c>
      <c r="B110" s="307" t="s">
        <v>234</v>
      </c>
      <c r="C110" s="683" t="s">
        <v>235</v>
      </c>
      <c r="D110" s="680">
        <f t="shared" si="3"/>
        <v>0</v>
      </c>
      <c r="E110" s="680">
        <v>0</v>
      </c>
      <c r="F110" s="680">
        <v>0</v>
      </c>
      <c r="G110" s="680">
        <v>0</v>
      </c>
    </row>
    <row r="111" spans="1:7" x14ac:dyDescent="0.25">
      <c r="A111" s="682">
        <v>91</v>
      </c>
      <c r="B111" s="685" t="s">
        <v>236</v>
      </c>
      <c r="C111" s="683" t="s">
        <v>237</v>
      </c>
      <c r="D111" s="680">
        <f t="shared" si="3"/>
        <v>0</v>
      </c>
      <c r="E111" s="680">
        <v>0</v>
      </c>
      <c r="F111" s="680">
        <v>0</v>
      </c>
      <c r="G111" s="680">
        <v>0</v>
      </c>
    </row>
    <row r="112" spans="1:7" x14ac:dyDescent="0.25">
      <c r="A112" s="682">
        <v>92</v>
      </c>
      <c r="B112" s="685" t="s">
        <v>238</v>
      </c>
      <c r="C112" s="683" t="s">
        <v>239</v>
      </c>
      <c r="D112" s="680">
        <f t="shared" si="3"/>
        <v>0</v>
      </c>
      <c r="E112" s="680">
        <v>0</v>
      </c>
      <c r="F112" s="680">
        <v>0</v>
      </c>
      <c r="G112" s="680">
        <v>0</v>
      </c>
    </row>
    <row r="113" spans="1:7" x14ac:dyDescent="0.25">
      <c r="A113" s="682">
        <v>93</v>
      </c>
      <c r="B113" s="685" t="s">
        <v>240</v>
      </c>
      <c r="C113" s="683" t="s">
        <v>241</v>
      </c>
      <c r="D113" s="680">
        <f t="shared" si="3"/>
        <v>0</v>
      </c>
      <c r="E113" s="680">
        <v>0</v>
      </c>
      <c r="F113" s="680">
        <v>0</v>
      </c>
      <c r="G113" s="680">
        <v>0</v>
      </c>
    </row>
    <row r="114" spans="1:7" x14ac:dyDescent="0.25">
      <c r="A114" s="682">
        <v>94</v>
      </c>
      <c r="B114" s="685" t="s">
        <v>242</v>
      </c>
      <c r="C114" s="683" t="s">
        <v>243</v>
      </c>
      <c r="D114" s="680">
        <f t="shared" si="3"/>
        <v>0</v>
      </c>
      <c r="E114" s="680">
        <v>0</v>
      </c>
      <c r="F114" s="680">
        <v>0</v>
      </c>
      <c r="G114" s="680">
        <v>0</v>
      </c>
    </row>
    <row r="115" spans="1:7" x14ac:dyDescent="0.25">
      <c r="A115" s="682">
        <v>95</v>
      </c>
      <c r="B115" s="685" t="s">
        <v>244</v>
      </c>
      <c r="C115" s="683" t="s">
        <v>245</v>
      </c>
      <c r="D115" s="680">
        <f t="shared" si="3"/>
        <v>0</v>
      </c>
      <c r="E115" s="680">
        <v>0</v>
      </c>
      <c r="F115" s="680">
        <v>0</v>
      </c>
      <c r="G115" s="680">
        <v>0</v>
      </c>
    </row>
    <row r="116" spans="1:7" x14ac:dyDescent="0.25">
      <c r="A116" s="682">
        <v>96</v>
      </c>
      <c r="B116" s="690" t="s">
        <v>246</v>
      </c>
      <c r="C116" s="687" t="s">
        <v>247</v>
      </c>
      <c r="D116" s="680">
        <f t="shared" si="3"/>
        <v>0</v>
      </c>
      <c r="E116" s="680">
        <v>0</v>
      </c>
      <c r="F116" s="680">
        <v>0</v>
      </c>
      <c r="G116" s="680">
        <v>0</v>
      </c>
    </row>
    <row r="117" spans="1:7" x14ac:dyDescent="0.25">
      <c r="A117" s="682">
        <v>97</v>
      </c>
      <c r="B117" s="684" t="s">
        <v>248</v>
      </c>
      <c r="C117" s="683" t="s">
        <v>249</v>
      </c>
      <c r="D117" s="680">
        <f t="shared" si="3"/>
        <v>0</v>
      </c>
      <c r="E117" s="680">
        <v>0</v>
      </c>
      <c r="F117" s="680">
        <v>0</v>
      </c>
      <c r="G117" s="680">
        <v>0</v>
      </c>
    </row>
    <row r="118" spans="1:7" x14ac:dyDescent="0.25">
      <c r="A118" s="682">
        <v>98</v>
      </c>
      <c r="B118" s="685" t="s">
        <v>250</v>
      </c>
      <c r="C118" s="683" t="s">
        <v>251</v>
      </c>
      <c r="D118" s="680">
        <f t="shared" si="3"/>
        <v>0</v>
      </c>
      <c r="E118" s="680">
        <v>0</v>
      </c>
      <c r="F118" s="680">
        <v>0</v>
      </c>
      <c r="G118" s="680">
        <v>0</v>
      </c>
    </row>
    <row r="119" spans="1:7" x14ac:dyDescent="0.25">
      <c r="A119" s="682">
        <v>99</v>
      </c>
      <c r="B119" s="307" t="s">
        <v>252</v>
      </c>
      <c r="C119" s="691" t="s">
        <v>253</v>
      </c>
      <c r="D119" s="680">
        <f t="shared" si="3"/>
        <v>0</v>
      </c>
      <c r="E119" s="680">
        <v>0</v>
      </c>
      <c r="F119" s="680">
        <v>0</v>
      </c>
      <c r="G119" s="680">
        <v>0</v>
      </c>
    </row>
    <row r="120" spans="1:7" x14ac:dyDescent="0.25">
      <c r="A120" s="682">
        <v>100</v>
      </c>
      <c r="B120" s="685" t="s">
        <v>254</v>
      </c>
      <c r="C120" s="683" t="s">
        <v>255</v>
      </c>
      <c r="D120" s="680">
        <f t="shared" si="3"/>
        <v>0</v>
      </c>
      <c r="E120" s="680">
        <v>0</v>
      </c>
      <c r="F120" s="680">
        <v>0</v>
      </c>
      <c r="G120" s="680">
        <v>0</v>
      </c>
    </row>
    <row r="121" spans="1:7" x14ac:dyDescent="0.25">
      <c r="A121" s="682">
        <v>101</v>
      </c>
      <c r="B121" s="684" t="s">
        <v>256</v>
      </c>
      <c r="C121" s="683" t="s">
        <v>257</v>
      </c>
      <c r="D121" s="680">
        <f t="shared" si="3"/>
        <v>0</v>
      </c>
      <c r="E121" s="680">
        <v>0</v>
      </c>
      <c r="F121" s="680">
        <v>0</v>
      </c>
      <c r="G121" s="680">
        <v>0</v>
      </c>
    </row>
    <row r="122" spans="1:7" x14ac:dyDescent="0.25">
      <c r="A122" s="682">
        <v>102</v>
      </c>
      <c r="B122" s="307" t="s">
        <v>258</v>
      </c>
      <c r="C122" s="683" t="s">
        <v>259</v>
      </c>
      <c r="D122" s="680">
        <f t="shared" si="3"/>
        <v>0</v>
      </c>
      <c r="E122" s="680">
        <v>0</v>
      </c>
      <c r="F122" s="680">
        <v>0</v>
      </c>
      <c r="G122" s="680">
        <v>0</v>
      </c>
    </row>
    <row r="123" spans="1:7" x14ac:dyDescent="0.25">
      <c r="A123" s="682">
        <v>103</v>
      </c>
      <c r="B123" s="165" t="s">
        <v>543</v>
      </c>
      <c r="C123" s="164" t="s">
        <v>544</v>
      </c>
      <c r="D123" s="680">
        <f t="shared" si="3"/>
        <v>0</v>
      </c>
      <c r="E123" s="680">
        <v>0</v>
      </c>
      <c r="F123" s="680">
        <v>0</v>
      </c>
      <c r="G123" s="680">
        <v>0</v>
      </c>
    </row>
    <row r="124" spans="1:7" x14ac:dyDescent="0.25">
      <c r="A124" s="682">
        <v>104</v>
      </c>
      <c r="B124" s="684" t="s">
        <v>260</v>
      </c>
      <c r="C124" s="683" t="s">
        <v>261</v>
      </c>
      <c r="D124" s="680">
        <f t="shared" si="3"/>
        <v>0</v>
      </c>
      <c r="E124" s="680">
        <v>0</v>
      </c>
      <c r="F124" s="680">
        <v>0</v>
      </c>
      <c r="G124" s="680">
        <v>0</v>
      </c>
    </row>
    <row r="125" spans="1:7" x14ac:dyDescent="0.25">
      <c r="A125" s="682">
        <v>105</v>
      </c>
      <c r="B125" s="685" t="s">
        <v>262</v>
      </c>
      <c r="C125" s="683" t="s">
        <v>263</v>
      </c>
      <c r="D125" s="680">
        <f t="shared" si="3"/>
        <v>0</v>
      </c>
      <c r="E125" s="680">
        <v>0</v>
      </c>
      <c r="F125" s="680">
        <v>0</v>
      </c>
      <c r="G125" s="680">
        <v>0</v>
      </c>
    </row>
    <row r="126" spans="1:7" x14ac:dyDescent="0.25">
      <c r="A126" s="682">
        <v>106</v>
      </c>
      <c r="B126" s="685" t="s">
        <v>264</v>
      </c>
      <c r="C126" s="692" t="s">
        <v>265</v>
      </c>
      <c r="D126" s="680">
        <f t="shared" si="3"/>
        <v>0</v>
      </c>
      <c r="E126" s="680">
        <v>0</v>
      </c>
      <c r="F126" s="680">
        <v>0</v>
      </c>
      <c r="G126" s="680">
        <v>0</v>
      </c>
    </row>
    <row r="127" spans="1:7" x14ac:dyDescent="0.25">
      <c r="A127" s="682">
        <v>107</v>
      </c>
      <c r="B127" s="685" t="s">
        <v>266</v>
      </c>
      <c r="C127" s="683" t="s">
        <v>267</v>
      </c>
      <c r="D127" s="680">
        <f t="shared" si="3"/>
        <v>0</v>
      </c>
      <c r="E127" s="680">
        <v>0</v>
      </c>
      <c r="F127" s="680">
        <v>0</v>
      </c>
      <c r="G127" s="680">
        <v>0</v>
      </c>
    </row>
    <row r="128" spans="1:7" x14ac:dyDescent="0.25">
      <c r="A128" s="682">
        <v>108</v>
      </c>
      <c r="B128" s="685" t="s">
        <v>268</v>
      </c>
      <c r="C128" s="683" t="s">
        <v>269</v>
      </c>
      <c r="D128" s="680">
        <f t="shared" si="3"/>
        <v>0</v>
      </c>
      <c r="E128" s="680">
        <v>0</v>
      </c>
      <c r="F128" s="680">
        <v>0</v>
      </c>
      <c r="G128" s="680">
        <v>0</v>
      </c>
    </row>
    <row r="129" spans="1:7" x14ac:dyDescent="0.25">
      <c r="A129" s="682">
        <v>109</v>
      </c>
      <c r="B129" s="685" t="s">
        <v>270</v>
      </c>
      <c r="C129" s="683" t="s">
        <v>271</v>
      </c>
      <c r="D129" s="680">
        <f t="shared" si="3"/>
        <v>0</v>
      </c>
      <c r="E129" s="680">
        <v>0</v>
      </c>
      <c r="F129" s="680">
        <v>0</v>
      </c>
      <c r="G129" s="680">
        <v>0</v>
      </c>
    </row>
    <row r="130" spans="1:7" x14ac:dyDescent="0.25">
      <c r="A130" s="682">
        <v>110</v>
      </c>
      <c r="B130" s="307" t="s">
        <v>272</v>
      </c>
      <c r="C130" s="683" t="s">
        <v>273</v>
      </c>
      <c r="D130" s="680">
        <f t="shared" si="3"/>
        <v>0</v>
      </c>
      <c r="E130" s="680">
        <v>0</v>
      </c>
      <c r="F130" s="680">
        <v>0</v>
      </c>
      <c r="G130" s="680">
        <v>0</v>
      </c>
    </row>
    <row r="131" spans="1:7" x14ac:dyDescent="0.25">
      <c r="A131" s="682">
        <v>111</v>
      </c>
      <c r="B131" s="307" t="s">
        <v>274</v>
      </c>
      <c r="C131" s="683" t="s">
        <v>275</v>
      </c>
      <c r="D131" s="680">
        <f t="shared" si="3"/>
        <v>0</v>
      </c>
      <c r="E131" s="680">
        <v>0</v>
      </c>
      <c r="F131" s="680">
        <v>0</v>
      </c>
      <c r="G131" s="680">
        <v>0</v>
      </c>
    </row>
    <row r="132" spans="1:7" x14ac:dyDescent="0.25">
      <c r="A132" s="682">
        <v>112</v>
      </c>
      <c r="B132" s="307" t="s">
        <v>276</v>
      </c>
      <c r="C132" s="683" t="s">
        <v>277</v>
      </c>
      <c r="D132" s="680">
        <f t="shared" si="3"/>
        <v>0</v>
      </c>
      <c r="E132" s="680">
        <v>0</v>
      </c>
      <c r="F132" s="680">
        <v>0</v>
      </c>
      <c r="G132" s="680">
        <v>0</v>
      </c>
    </row>
    <row r="133" spans="1:7" x14ac:dyDescent="0.25">
      <c r="A133" s="682">
        <v>113</v>
      </c>
      <c r="B133" s="685" t="s">
        <v>278</v>
      </c>
      <c r="C133" s="683" t="s">
        <v>279</v>
      </c>
      <c r="D133" s="680">
        <f t="shared" si="3"/>
        <v>0</v>
      </c>
      <c r="E133" s="680">
        <v>0</v>
      </c>
      <c r="F133" s="680">
        <v>0</v>
      </c>
      <c r="G133" s="680">
        <v>0</v>
      </c>
    </row>
    <row r="134" spans="1:7" x14ac:dyDescent="0.25">
      <c r="A134" s="682">
        <v>114</v>
      </c>
      <c r="B134" s="685" t="s">
        <v>280</v>
      </c>
      <c r="C134" s="683" t="s">
        <v>281</v>
      </c>
      <c r="D134" s="680">
        <f t="shared" si="3"/>
        <v>0</v>
      </c>
      <c r="E134" s="680">
        <v>0</v>
      </c>
      <c r="F134" s="680">
        <v>0</v>
      </c>
      <c r="G134" s="680">
        <v>0</v>
      </c>
    </row>
    <row r="135" spans="1:7" x14ac:dyDescent="0.25">
      <c r="A135" s="682">
        <v>115</v>
      </c>
      <c r="B135" s="685" t="s">
        <v>282</v>
      </c>
      <c r="C135" s="683" t="s">
        <v>772</v>
      </c>
      <c r="D135" s="680">
        <f t="shared" si="3"/>
        <v>0</v>
      </c>
      <c r="E135" s="680">
        <v>0</v>
      </c>
      <c r="F135" s="680">
        <v>0</v>
      </c>
      <c r="G135" s="680">
        <v>0</v>
      </c>
    </row>
    <row r="136" spans="1:7" x14ac:dyDescent="0.25">
      <c r="A136" s="682">
        <v>116</v>
      </c>
      <c r="B136" s="307" t="s">
        <v>283</v>
      </c>
      <c r="C136" s="683" t="s">
        <v>284</v>
      </c>
      <c r="D136" s="680">
        <f t="shared" si="3"/>
        <v>0</v>
      </c>
      <c r="E136" s="680">
        <v>0</v>
      </c>
      <c r="F136" s="680">
        <v>0</v>
      </c>
      <c r="G136" s="680">
        <v>0</v>
      </c>
    </row>
    <row r="137" spans="1:7" x14ac:dyDescent="0.25">
      <c r="A137" s="682">
        <v>117</v>
      </c>
      <c r="B137" s="684" t="s">
        <v>285</v>
      </c>
      <c r="C137" s="50" t="s">
        <v>728</v>
      </c>
      <c r="D137" s="680">
        <f t="shared" si="3"/>
        <v>6924</v>
      </c>
      <c r="E137" s="680">
        <v>0</v>
      </c>
      <c r="F137" s="680">
        <v>1393</v>
      </c>
      <c r="G137" s="680">
        <v>5531</v>
      </c>
    </row>
    <row r="138" spans="1:7" x14ac:dyDescent="0.25">
      <c r="A138" s="682">
        <v>118</v>
      </c>
      <c r="B138" s="685" t="s">
        <v>286</v>
      </c>
      <c r="C138" s="683" t="s">
        <v>287</v>
      </c>
      <c r="D138" s="680">
        <f t="shared" si="3"/>
        <v>0</v>
      </c>
      <c r="E138" s="680">
        <v>0</v>
      </c>
      <c r="F138" s="680">
        <v>0</v>
      </c>
      <c r="G138" s="680">
        <v>0</v>
      </c>
    </row>
    <row r="139" spans="1:7" x14ac:dyDescent="0.25">
      <c r="A139" s="682">
        <v>119</v>
      </c>
      <c r="B139" s="307" t="s">
        <v>288</v>
      </c>
      <c r="C139" s="683" t="s">
        <v>289</v>
      </c>
      <c r="D139" s="680">
        <f t="shared" si="3"/>
        <v>0</v>
      </c>
      <c r="E139" s="680">
        <v>0</v>
      </c>
      <c r="F139" s="680">
        <v>0</v>
      </c>
      <c r="G139" s="680">
        <v>0</v>
      </c>
    </row>
    <row r="140" spans="1:7" x14ac:dyDescent="0.25">
      <c r="A140" s="682">
        <v>120</v>
      </c>
      <c r="B140" s="685" t="s">
        <v>290</v>
      </c>
      <c r="C140" s="683" t="s">
        <v>291</v>
      </c>
      <c r="D140" s="680">
        <f t="shared" si="3"/>
        <v>0</v>
      </c>
      <c r="E140" s="680">
        <v>0</v>
      </c>
      <c r="F140" s="680">
        <v>0</v>
      </c>
      <c r="G140" s="680">
        <v>0</v>
      </c>
    </row>
    <row r="141" spans="1:7" x14ac:dyDescent="0.25">
      <c r="A141" s="682">
        <v>121</v>
      </c>
      <c r="B141" s="693" t="s">
        <v>292</v>
      </c>
      <c r="C141" s="694" t="s">
        <v>293</v>
      </c>
      <c r="D141" s="680">
        <f t="shared" si="3"/>
        <v>0</v>
      </c>
      <c r="E141" s="680">
        <v>0</v>
      </c>
      <c r="F141" s="680">
        <v>0</v>
      </c>
      <c r="G141" s="680">
        <v>0</v>
      </c>
    </row>
    <row r="142" spans="1:7" x14ac:dyDescent="0.25">
      <c r="A142" s="682">
        <v>122</v>
      </c>
      <c r="B142" s="695" t="s">
        <v>294</v>
      </c>
      <c r="C142" s="696" t="s">
        <v>295</v>
      </c>
      <c r="D142" s="680">
        <f t="shared" si="3"/>
        <v>0</v>
      </c>
      <c r="E142" s="680">
        <v>0</v>
      </c>
      <c r="F142" s="680">
        <v>0</v>
      </c>
      <c r="G142" s="680">
        <v>0</v>
      </c>
    </row>
    <row r="143" spans="1:7" x14ac:dyDescent="0.25">
      <c r="A143" s="682">
        <v>123</v>
      </c>
      <c r="B143" s="697" t="s">
        <v>296</v>
      </c>
      <c r="C143" s="698" t="s">
        <v>461</v>
      </c>
      <c r="D143" s="680">
        <f t="shared" si="3"/>
        <v>0</v>
      </c>
      <c r="E143" s="680">
        <v>0</v>
      </c>
      <c r="F143" s="680">
        <v>0</v>
      </c>
      <c r="G143" s="680">
        <v>0</v>
      </c>
    </row>
    <row r="144" spans="1:7" x14ac:dyDescent="0.25">
      <c r="A144" s="682">
        <v>124</v>
      </c>
      <c r="B144" s="682" t="s">
        <v>298</v>
      </c>
      <c r="C144" s="699" t="s">
        <v>299</v>
      </c>
      <c r="D144" s="680">
        <f t="shared" ref="D144" si="4">E144+F144+G144</f>
        <v>0</v>
      </c>
      <c r="E144" s="680">
        <v>0</v>
      </c>
      <c r="F144" s="680">
        <v>0</v>
      </c>
      <c r="G144" s="680">
        <v>0</v>
      </c>
    </row>
    <row r="145" spans="1:7" x14ac:dyDescent="0.25">
      <c r="A145" s="682">
        <v>125</v>
      </c>
      <c r="B145" s="700" t="s">
        <v>300</v>
      </c>
      <c r="C145" s="699" t="s">
        <v>301</v>
      </c>
      <c r="D145" s="680">
        <f>E145+F145+G145</f>
        <v>0</v>
      </c>
      <c r="E145" s="701">
        <v>0</v>
      </c>
      <c r="F145" s="701">
        <v>0</v>
      </c>
      <c r="G145" s="701">
        <v>0</v>
      </c>
    </row>
    <row r="146" spans="1:7" x14ac:dyDescent="0.25">
      <c r="A146" s="682">
        <v>126</v>
      </c>
      <c r="B146" s="702" t="s">
        <v>302</v>
      </c>
      <c r="C146" s="703" t="s">
        <v>303</v>
      </c>
      <c r="D146" s="701">
        <f t="shared" ref="D146" si="5">E146+F146+G146</f>
        <v>0</v>
      </c>
      <c r="E146" s="701">
        <v>0</v>
      </c>
      <c r="F146" s="701">
        <v>0</v>
      </c>
      <c r="G146" s="701">
        <v>0</v>
      </c>
    </row>
    <row r="147" spans="1:7" x14ac:dyDescent="0.25">
      <c r="A147" s="682">
        <v>127</v>
      </c>
      <c r="B147" s="700" t="s">
        <v>304</v>
      </c>
      <c r="C147" s="699" t="s">
        <v>305</v>
      </c>
      <c r="D147" s="701">
        <v>0</v>
      </c>
      <c r="E147" s="701">
        <v>0</v>
      </c>
      <c r="F147" s="701">
        <v>0</v>
      </c>
      <c r="G147" s="701">
        <v>0</v>
      </c>
    </row>
  </sheetData>
  <mergeCells count="19">
    <mergeCell ref="D4:D5"/>
    <mergeCell ref="E4:E5"/>
    <mergeCell ref="F4:G4"/>
    <mergeCell ref="A1:G1"/>
    <mergeCell ref="A2:A5"/>
    <mergeCell ref="B2:B5"/>
    <mergeCell ref="C2:C5"/>
    <mergeCell ref="D2:G2"/>
    <mergeCell ref="D3:G3"/>
    <mergeCell ref="A82:A83"/>
    <mergeCell ref="A85:A86"/>
    <mergeCell ref="A90:A93"/>
    <mergeCell ref="B90:B93"/>
    <mergeCell ref="A7:C7"/>
    <mergeCell ref="A8:C8"/>
    <mergeCell ref="A9:C9"/>
    <mergeCell ref="A34:A35"/>
    <mergeCell ref="A72:A74"/>
    <mergeCell ref="A75:A78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49"/>
  <sheetViews>
    <sheetView zoomScaleNormal="100" workbookViewId="0">
      <pane xSplit="4" ySplit="9" topLeftCell="E125" activePane="bottomRight" state="frozen"/>
      <selection activeCell="C152" sqref="C152"/>
      <selection pane="topRight" activeCell="C152" sqref="C152"/>
      <selection pane="bottomLeft" activeCell="C152" sqref="C152"/>
      <selection pane="bottomRight" activeCell="N10" sqref="N10"/>
    </sheetView>
  </sheetViews>
  <sheetFormatPr defaultRowHeight="12" x14ac:dyDescent="0.2"/>
  <cols>
    <col min="1" max="1" width="6.28515625" style="652" customWidth="1"/>
    <col min="2" max="2" width="8.7109375" style="652" customWidth="1"/>
    <col min="3" max="3" width="41.28515625" style="652" customWidth="1"/>
    <col min="4" max="4" width="11.42578125" style="652" customWidth="1"/>
    <col min="5" max="5" width="9.28515625" style="652" customWidth="1"/>
    <col min="6" max="7" width="10.28515625" style="652" customWidth="1"/>
    <col min="8" max="8" width="10.140625" style="652" customWidth="1"/>
    <col min="9" max="9" width="14.85546875" style="652" customWidth="1"/>
    <col min="10" max="11" width="11.85546875" style="652" customWidth="1"/>
    <col min="12" max="12" width="11.42578125" style="652" customWidth="1"/>
    <col min="13" max="14" width="12.140625" style="652" customWidth="1"/>
    <col min="15" max="15" width="11.42578125" style="652" customWidth="1"/>
    <col min="16" max="16384" width="9.140625" style="652"/>
  </cols>
  <sheetData>
    <row r="1" spans="1:15" ht="45.75" customHeight="1" x14ac:dyDescent="0.2">
      <c r="A1" s="1046" t="s">
        <v>488</v>
      </c>
      <c r="B1" s="1046"/>
      <c r="C1" s="1046"/>
      <c r="D1" s="1046"/>
      <c r="E1" s="1046"/>
      <c r="F1" s="1046"/>
      <c r="G1" s="1046"/>
      <c r="H1" s="1046"/>
      <c r="I1" s="1046"/>
      <c r="J1" s="1046"/>
      <c r="K1" s="1046"/>
      <c r="L1" s="1046"/>
      <c r="M1" s="1046"/>
      <c r="N1" s="1046"/>
    </row>
    <row r="2" spans="1:15" ht="21.75" customHeight="1" x14ac:dyDescent="0.2">
      <c r="A2" s="1006" t="s">
        <v>0</v>
      </c>
      <c r="B2" s="1014" t="s">
        <v>326</v>
      </c>
      <c r="C2" s="1006" t="s">
        <v>309</v>
      </c>
      <c r="D2" s="1011" t="s">
        <v>489</v>
      </c>
      <c r="E2" s="1011"/>
      <c r="F2" s="1011"/>
      <c r="G2" s="1011"/>
      <c r="H2" s="1011"/>
      <c r="I2" s="1011"/>
      <c r="J2" s="1011"/>
      <c r="K2" s="1011"/>
      <c r="L2" s="1011"/>
      <c r="M2" s="1011"/>
      <c r="N2" s="1011"/>
    </row>
    <row r="3" spans="1:15" ht="24" customHeight="1" x14ac:dyDescent="0.2">
      <c r="A3" s="1018"/>
      <c r="B3" s="1015"/>
      <c r="C3" s="1018"/>
      <c r="D3" s="1006" t="s">
        <v>442</v>
      </c>
      <c r="E3" s="1010" t="s">
        <v>466</v>
      </c>
      <c r="F3" s="1010"/>
      <c r="G3" s="1010"/>
      <c r="H3" s="1010" t="s">
        <v>467</v>
      </c>
      <c r="I3" s="1010"/>
      <c r="J3" s="1010"/>
      <c r="K3" s="1010"/>
      <c r="L3" s="1047" t="s">
        <v>490</v>
      </c>
      <c r="M3" s="1050" t="s">
        <v>6</v>
      </c>
      <c r="N3" s="1050"/>
    </row>
    <row r="4" spans="1:15" ht="42" customHeight="1" x14ac:dyDescent="0.2">
      <c r="A4" s="1018"/>
      <c r="B4" s="1015"/>
      <c r="C4" s="1018"/>
      <c r="D4" s="1018"/>
      <c r="E4" s="1021" t="s">
        <v>46</v>
      </c>
      <c r="F4" s="1019" t="s">
        <v>448</v>
      </c>
      <c r="G4" s="1020"/>
      <c r="H4" s="1021" t="s">
        <v>46</v>
      </c>
      <c r="I4" s="1006" t="s">
        <v>468</v>
      </c>
      <c r="J4" s="1010" t="s">
        <v>49</v>
      </c>
      <c r="K4" s="1010"/>
      <c r="L4" s="1048"/>
      <c r="M4" s="1051" t="s">
        <v>491</v>
      </c>
      <c r="N4" s="1051" t="s">
        <v>492</v>
      </c>
    </row>
    <row r="5" spans="1:15" ht="24" customHeight="1" x14ac:dyDescent="0.2">
      <c r="A5" s="1007"/>
      <c r="B5" s="1016"/>
      <c r="C5" s="1007"/>
      <c r="D5" s="1007"/>
      <c r="E5" s="1022"/>
      <c r="F5" s="653" t="s">
        <v>51</v>
      </c>
      <c r="G5" s="654" t="s">
        <v>50</v>
      </c>
      <c r="H5" s="1022"/>
      <c r="I5" s="1007"/>
      <c r="J5" s="656" t="s">
        <v>51</v>
      </c>
      <c r="K5" s="654" t="s">
        <v>50</v>
      </c>
      <c r="L5" s="1049"/>
      <c r="M5" s="1051"/>
      <c r="N5" s="1051"/>
    </row>
    <row r="6" spans="1:15" s="660" customFormat="1" ht="10.5" customHeight="1" x14ac:dyDescent="0.2">
      <c r="A6" s="657">
        <v>1</v>
      </c>
      <c r="B6" s="657">
        <v>2</v>
      </c>
      <c r="C6" s="657">
        <v>3</v>
      </c>
      <c r="D6" s="658">
        <v>4</v>
      </c>
      <c r="E6" s="658">
        <v>5</v>
      </c>
      <c r="F6" s="658">
        <v>6</v>
      </c>
      <c r="G6" s="658">
        <v>7</v>
      </c>
      <c r="H6" s="658">
        <v>8</v>
      </c>
      <c r="I6" s="659">
        <v>9</v>
      </c>
      <c r="J6" s="659">
        <v>10</v>
      </c>
      <c r="K6" s="659">
        <v>11</v>
      </c>
      <c r="L6" s="704">
        <v>12</v>
      </c>
      <c r="M6" s="704">
        <v>13</v>
      </c>
      <c r="N6" s="704">
        <v>14</v>
      </c>
    </row>
    <row r="7" spans="1:15" s="660" customFormat="1" x14ac:dyDescent="0.2">
      <c r="A7" s="998" t="s">
        <v>44</v>
      </c>
      <c r="B7" s="998"/>
      <c r="C7" s="998"/>
      <c r="D7" s="661">
        <f>D9+D8</f>
        <v>2179179</v>
      </c>
      <c r="E7" s="661">
        <f>F7+G7</f>
        <v>67678</v>
      </c>
      <c r="F7" s="661">
        <f>F8+F9</f>
        <v>2300</v>
      </c>
      <c r="G7" s="661">
        <f>G8+G9</f>
        <v>65378</v>
      </c>
      <c r="H7" s="661">
        <f>I7+K7+J7</f>
        <v>2058427</v>
      </c>
      <c r="I7" s="661">
        <f t="shared" ref="I7:N7" si="0">I9+I8</f>
        <v>150728</v>
      </c>
      <c r="J7" s="661">
        <f t="shared" si="0"/>
        <v>141745</v>
      </c>
      <c r="K7" s="661">
        <f t="shared" si="0"/>
        <v>1765954</v>
      </c>
      <c r="L7" s="661">
        <f t="shared" si="0"/>
        <v>53074</v>
      </c>
      <c r="M7" s="661">
        <f t="shared" si="0"/>
        <v>42459</v>
      </c>
      <c r="N7" s="661">
        <f t="shared" si="0"/>
        <v>10615</v>
      </c>
    </row>
    <row r="8" spans="1:15" s="660" customFormat="1" ht="12" customHeight="1" x14ac:dyDescent="0.2">
      <c r="A8" s="999" t="s">
        <v>14</v>
      </c>
      <c r="B8" s="1000"/>
      <c r="C8" s="1001"/>
      <c r="D8" s="659">
        <f>E8+H8</f>
        <v>0</v>
      </c>
      <c r="E8" s="659">
        <f>F8+G8</f>
        <v>0</v>
      </c>
      <c r="F8" s="659">
        <f>'[21]Уточнение для Пр.5-26'!F8+'[21]Пос с др.целями(Пр.2-26)'!F8</f>
        <v>0</v>
      </c>
      <c r="G8" s="659">
        <f>'[21]Уточнение для Пр.5-26'!G8+'[21]Пос с др.целями(Пр.2-26)'!G8</f>
        <v>0</v>
      </c>
      <c r="H8" s="659">
        <f>I8+J8+K8</f>
        <v>0</v>
      </c>
      <c r="I8" s="659">
        <f>'[21]Уточнение для Пр.5-26'!I8+'[21]Пос с др.целями(Пр.2-26)'!I8</f>
        <v>0</v>
      </c>
      <c r="J8" s="659">
        <f>'[21]Уточнение для Пр.5-26'!J8+'[21]Пос с др.целями(Пр.2-26)'!J8</f>
        <v>0</v>
      </c>
      <c r="K8" s="659">
        <f>'[21]Уточнение для Пр.5-26'!K8+'[21]Пос с др.целями(Пр.2-26)'!K8</f>
        <v>0</v>
      </c>
      <c r="L8" s="704">
        <f>'[21]Уточнение для Пр.5-26'!L8+'[21]Пос с др.целями(Пр.2-26)'!L8</f>
        <v>0</v>
      </c>
      <c r="M8" s="704">
        <f>'[21]Уточнение для Пр.5-26'!M8+'[21]Пос с др.целями(Пр.2-26)'!M8</f>
        <v>0</v>
      </c>
      <c r="N8" s="704">
        <f>'[21]Уточнение для Пр.5-26'!N8+'[21]Пос с др.целями(Пр.2-26)'!N8</f>
        <v>0</v>
      </c>
    </row>
    <row r="9" spans="1:15" s="660" customFormat="1" ht="12" customHeight="1" x14ac:dyDescent="0.2">
      <c r="A9" s="999" t="s">
        <v>15</v>
      </c>
      <c r="B9" s="1000"/>
      <c r="C9" s="1001"/>
      <c r="D9" s="661">
        <f>SUM(D10:D144)-D90-D35-D73-D74-D76-D77-D78-D83-D86</f>
        <v>2179179</v>
      </c>
      <c r="E9" s="661">
        <f t="shared" ref="E9:N9" si="1">SUM(E10:E144)-E90-E35-E73-E74-E76-E77-E78-E83-E86</f>
        <v>67678</v>
      </c>
      <c r="F9" s="661">
        <f t="shared" si="1"/>
        <v>2300</v>
      </c>
      <c r="G9" s="661">
        <f t="shared" si="1"/>
        <v>65378</v>
      </c>
      <c r="H9" s="661">
        <f t="shared" si="1"/>
        <v>2058427</v>
      </c>
      <c r="I9" s="661">
        <f t="shared" si="1"/>
        <v>150728</v>
      </c>
      <c r="J9" s="661">
        <f t="shared" si="1"/>
        <v>141745</v>
      </c>
      <c r="K9" s="661">
        <f t="shared" si="1"/>
        <v>1765954</v>
      </c>
      <c r="L9" s="661">
        <f t="shared" si="1"/>
        <v>53074</v>
      </c>
      <c r="M9" s="661">
        <f t="shared" si="1"/>
        <v>42459</v>
      </c>
      <c r="N9" s="661">
        <f t="shared" si="1"/>
        <v>10615</v>
      </c>
      <c r="O9" s="705"/>
    </row>
    <row r="10" spans="1:15" x14ac:dyDescent="0.2">
      <c r="A10" s="161">
        <v>1</v>
      </c>
      <c r="B10" s="49" t="s">
        <v>54</v>
      </c>
      <c r="C10" s="50" t="s">
        <v>55</v>
      </c>
      <c r="D10" s="659">
        <f>E10+H10+L10</f>
        <v>4462</v>
      </c>
      <c r="E10" s="659">
        <f>F10+G10</f>
        <v>0</v>
      </c>
      <c r="F10" s="659">
        <v>0</v>
      </c>
      <c r="G10" s="659">
        <v>0</v>
      </c>
      <c r="H10" s="659">
        <f>I10+J10+K10</f>
        <v>4462</v>
      </c>
      <c r="I10" s="662">
        <v>67</v>
      </c>
      <c r="J10" s="662">
        <v>663</v>
      </c>
      <c r="K10" s="662">
        <v>3732</v>
      </c>
      <c r="L10" s="664">
        <f>M10+N10</f>
        <v>0</v>
      </c>
      <c r="M10" s="664">
        <v>0</v>
      </c>
      <c r="N10" s="664">
        <v>0</v>
      </c>
      <c r="O10" s="706"/>
    </row>
    <row r="11" spans="1:15" x14ac:dyDescent="0.2">
      <c r="A11" s="161">
        <v>2</v>
      </c>
      <c r="B11" s="52" t="s">
        <v>56</v>
      </c>
      <c r="C11" s="50" t="s">
        <v>57</v>
      </c>
      <c r="D11" s="659">
        <f t="shared" ref="D11:D74" si="2">E11+H11+L11</f>
        <v>4585</v>
      </c>
      <c r="E11" s="659">
        <f t="shared" ref="E11:E74" si="3">F11+G11</f>
        <v>0</v>
      </c>
      <c r="F11" s="659">
        <v>0</v>
      </c>
      <c r="G11" s="659">
        <v>0</v>
      </c>
      <c r="H11" s="659">
        <f t="shared" ref="H11:H74" si="4">I11+J11+K11</f>
        <v>4585</v>
      </c>
      <c r="I11" s="662">
        <v>305</v>
      </c>
      <c r="J11" s="662">
        <v>922</v>
      </c>
      <c r="K11" s="662">
        <v>3358</v>
      </c>
      <c r="L11" s="664">
        <f t="shared" ref="L11:L74" si="5">M11+N11</f>
        <v>0</v>
      </c>
      <c r="M11" s="664">
        <v>0</v>
      </c>
      <c r="N11" s="664">
        <v>0</v>
      </c>
      <c r="O11" s="706"/>
    </row>
    <row r="12" spans="1:15" x14ac:dyDescent="0.2">
      <c r="A12" s="161">
        <v>3</v>
      </c>
      <c r="B12" s="167" t="s">
        <v>16</v>
      </c>
      <c r="C12" s="50" t="s">
        <v>17</v>
      </c>
      <c r="D12" s="659">
        <f t="shared" si="2"/>
        <v>27046</v>
      </c>
      <c r="E12" s="659">
        <f t="shared" si="3"/>
        <v>0</v>
      </c>
      <c r="F12" s="659">
        <v>0</v>
      </c>
      <c r="G12" s="659">
        <v>0</v>
      </c>
      <c r="H12" s="659">
        <f t="shared" si="4"/>
        <v>25150</v>
      </c>
      <c r="I12" s="662">
        <v>675</v>
      </c>
      <c r="J12" s="662">
        <v>0</v>
      </c>
      <c r="K12" s="662">
        <v>24475</v>
      </c>
      <c r="L12" s="664">
        <f t="shared" si="5"/>
        <v>1896</v>
      </c>
      <c r="M12" s="664">
        <v>1517</v>
      </c>
      <c r="N12" s="664">
        <v>379</v>
      </c>
      <c r="O12" s="706"/>
    </row>
    <row r="13" spans="1:15" x14ac:dyDescent="0.2">
      <c r="A13" s="161">
        <v>4</v>
      </c>
      <c r="B13" s="49" t="s">
        <v>58</v>
      </c>
      <c r="C13" s="50" t="s">
        <v>59</v>
      </c>
      <c r="D13" s="659">
        <f t="shared" si="2"/>
        <v>10670</v>
      </c>
      <c r="E13" s="659">
        <f t="shared" si="3"/>
        <v>0</v>
      </c>
      <c r="F13" s="659">
        <v>0</v>
      </c>
      <c r="G13" s="659">
        <v>0</v>
      </c>
      <c r="H13" s="659">
        <f t="shared" si="4"/>
        <v>10670</v>
      </c>
      <c r="I13" s="662">
        <v>1700</v>
      </c>
      <c r="J13" s="662">
        <v>1759</v>
      </c>
      <c r="K13" s="662">
        <v>7211</v>
      </c>
      <c r="L13" s="664">
        <f t="shared" si="5"/>
        <v>0</v>
      </c>
      <c r="M13" s="664">
        <v>0</v>
      </c>
      <c r="N13" s="664">
        <v>0</v>
      </c>
      <c r="O13" s="706"/>
    </row>
    <row r="14" spans="1:15" x14ac:dyDescent="0.2">
      <c r="A14" s="161">
        <v>5</v>
      </c>
      <c r="B14" s="49" t="s">
        <v>60</v>
      </c>
      <c r="C14" s="50" t="s">
        <v>61</v>
      </c>
      <c r="D14" s="659">
        <f t="shared" si="2"/>
        <v>9184</v>
      </c>
      <c r="E14" s="659">
        <f t="shared" si="3"/>
        <v>0</v>
      </c>
      <c r="F14" s="659">
        <v>0</v>
      </c>
      <c r="G14" s="659">
        <v>0</v>
      </c>
      <c r="H14" s="659">
        <f t="shared" si="4"/>
        <v>9184</v>
      </c>
      <c r="I14" s="662">
        <v>1350</v>
      </c>
      <c r="J14" s="662">
        <v>97</v>
      </c>
      <c r="K14" s="662">
        <v>7737</v>
      </c>
      <c r="L14" s="664">
        <f t="shared" si="5"/>
        <v>0</v>
      </c>
      <c r="M14" s="664">
        <v>0</v>
      </c>
      <c r="N14" s="664">
        <v>0</v>
      </c>
      <c r="O14" s="706"/>
    </row>
    <row r="15" spans="1:15" x14ac:dyDescent="0.2">
      <c r="A15" s="161">
        <v>6</v>
      </c>
      <c r="B15" s="167" t="s">
        <v>18</v>
      </c>
      <c r="C15" s="50" t="s">
        <v>19</v>
      </c>
      <c r="D15" s="659">
        <f t="shared" si="2"/>
        <v>169838</v>
      </c>
      <c r="E15" s="659">
        <f t="shared" si="3"/>
        <v>0</v>
      </c>
      <c r="F15" s="659">
        <v>0</v>
      </c>
      <c r="G15" s="659">
        <v>0</v>
      </c>
      <c r="H15" s="659">
        <f t="shared" si="4"/>
        <v>166163</v>
      </c>
      <c r="I15" s="662">
        <v>6356</v>
      </c>
      <c r="J15" s="662">
        <v>18012</v>
      </c>
      <c r="K15" s="662">
        <v>141795</v>
      </c>
      <c r="L15" s="664">
        <f t="shared" si="5"/>
        <v>3675</v>
      </c>
      <c r="M15" s="664">
        <v>2940</v>
      </c>
      <c r="N15" s="664">
        <v>735</v>
      </c>
      <c r="O15" s="706"/>
    </row>
    <row r="16" spans="1:15" x14ac:dyDescent="0.2">
      <c r="A16" s="161">
        <v>7</v>
      </c>
      <c r="B16" s="49" t="s">
        <v>62</v>
      </c>
      <c r="C16" s="50" t="s">
        <v>63</v>
      </c>
      <c r="D16" s="659">
        <f t="shared" si="2"/>
        <v>22890</v>
      </c>
      <c r="E16" s="659">
        <f t="shared" si="3"/>
        <v>0</v>
      </c>
      <c r="F16" s="659">
        <v>0</v>
      </c>
      <c r="G16" s="659">
        <v>0</v>
      </c>
      <c r="H16" s="659">
        <f t="shared" si="4"/>
        <v>21213</v>
      </c>
      <c r="I16" s="662">
        <v>1779</v>
      </c>
      <c r="J16" s="662">
        <v>2810</v>
      </c>
      <c r="K16" s="662">
        <v>16624</v>
      </c>
      <c r="L16" s="664">
        <f t="shared" si="5"/>
        <v>1677</v>
      </c>
      <c r="M16" s="664">
        <v>1342</v>
      </c>
      <c r="N16" s="664">
        <v>335</v>
      </c>
      <c r="O16" s="706"/>
    </row>
    <row r="17" spans="1:15" x14ac:dyDescent="0.2">
      <c r="A17" s="161">
        <v>8</v>
      </c>
      <c r="B17" s="167" t="s">
        <v>64</v>
      </c>
      <c r="C17" s="50" t="s">
        <v>65</v>
      </c>
      <c r="D17" s="659">
        <f t="shared" si="2"/>
        <v>13771</v>
      </c>
      <c r="E17" s="659">
        <f t="shared" si="3"/>
        <v>0</v>
      </c>
      <c r="F17" s="659">
        <v>0</v>
      </c>
      <c r="G17" s="659">
        <v>0</v>
      </c>
      <c r="H17" s="659">
        <f t="shared" si="4"/>
        <v>13771</v>
      </c>
      <c r="I17" s="662">
        <v>2430</v>
      </c>
      <c r="J17" s="662">
        <v>1963</v>
      </c>
      <c r="K17" s="662">
        <v>9378</v>
      </c>
      <c r="L17" s="664">
        <f t="shared" si="5"/>
        <v>0</v>
      </c>
      <c r="M17" s="664">
        <v>0</v>
      </c>
      <c r="N17" s="664">
        <v>0</v>
      </c>
      <c r="O17" s="706"/>
    </row>
    <row r="18" spans="1:15" x14ac:dyDescent="0.2">
      <c r="A18" s="161">
        <v>9</v>
      </c>
      <c r="B18" s="167" t="s">
        <v>66</v>
      </c>
      <c r="C18" s="50" t="s">
        <v>67</v>
      </c>
      <c r="D18" s="659">
        <f t="shared" si="2"/>
        <v>4477</v>
      </c>
      <c r="E18" s="659">
        <f t="shared" si="3"/>
        <v>0</v>
      </c>
      <c r="F18" s="659">
        <v>0</v>
      </c>
      <c r="G18" s="659">
        <v>0</v>
      </c>
      <c r="H18" s="659">
        <f t="shared" si="4"/>
        <v>4477</v>
      </c>
      <c r="I18" s="662">
        <v>0</v>
      </c>
      <c r="J18" s="662">
        <v>0</v>
      </c>
      <c r="K18" s="662">
        <v>4477</v>
      </c>
      <c r="L18" s="664">
        <f t="shared" si="5"/>
        <v>0</v>
      </c>
      <c r="M18" s="664">
        <v>0</v>
      </c>
      <c r="N18" s="664">
        <v>0</v>
      </c>
      <c r="O18" s="706"/>
    </row>
    <row r="19" spans="1:15" x14ac:dyDescent="0.2">
      <c r="A19" s="161">
        <v>10</v>
      </c>
      <c r="B19" s="167" t="s">
        <v>68</v>
      </c>
      <c r="C19" s="50" t="s">
        <v>69</v>
      </c>
      <c r="D19" s="659">
        <f t="shared" si="2"/>
        <v>8092</v>
      </c>
      <c r="E19" s="659">
        <f t="shared" si="3"/>
        <v>0</v>
      </c>
      <c r="F19" s="659">
        <v>0</v>
      </c>
      <c r="G19" s="659">
        <v>0</v>
      </c>
      <c r="H19" s="659">
        <f t="shared" si="4"/>
        <v>8092</v>
      </c>
      <c r="I19" s="662">
        <v>57</v>
      </c>
      <c r="J19" s="662">
        <v>3237</v>
      </c>
      <c r="K19" s="662">
        <v>4798</v>
      </c>
      <c r="L19" s="664">
        <f t="shared" si="5"/>
        <v>0</v>
      </c>
      <c r="M19" s="664">
        <v>0</v>
      </c>
      <c r="N19" s="664">
        <v>0</v>
      </c>
      <c r="O19" s="706"/>
    </row>
    <row r="20" spans="1:15" x14ac:dyDescent="0.2">
      <c r="A20" s="161">
        <v>11</v>
      </c>
      <c r="B20" s="167" t="s">
        <v>70</v>
      </c>
      <c r="C20" s="50" t="s">
        <v>71</v>
      </c>
      <c r="D20" s="659">
        <f t="shared" si="2"/>
        <v>8045</v>
      </c>
      <c r="E20" s="659">
        <f t="shared" si="3"/>
        <v>0</v>
      </c>
      <c r="F20" s="659">
        <v>0</v>
      </c>
      <c r="G20" s="659">
        <v>0</v>
      </c>
      <c r="H20" s="659">
        <f t="shared" si="4"/>
        <v>8045</v>
      </c>
      <c r="I20" s="662">
        <v>1185</v>
      </c>
      <c r="J20" s="662">
        <v>758</v>
      </c>
      <c r="K20" s="662">
        <v>6102</v>
      </c>
      <c r="L20" s="664">
        <f t="shared" si="5"/>
        <v>0</v>
      </c>
      <c r="M20" s="664">
        <v>0</v>
      </c>
      <c r="N20" s="664">
        <v>0</v>
      </c>
      <c r="O20" s="706"/>
    </row>
    <row r="21" spans="1:15" x14ac:dyDescent="0.2">
      <c r="A21" s="161">
        <v>12</v>
      </c>
      <c r="B21" s="167" t="s">
        <v>72</v>
      </c>
      <c r="C21" s="50" t="s">
        <v>73</v>
      </c>
      <c r="D21" s="659">
        <f t="shared" si="2"/>
        <v>23102</v>
      </c>
      <c r="E21" s="659">
        <f t="shared" si="3"/>
        <v>0</v>
      </c>
      <c r="F21" s="659">
        <v>0</v>
      </c>
      <c r="G21" s="659">
        <v>0</v>
      </c>
      <c r="H21" s="659">
        <f t="shared" si="4"/>
        <v>23102</v>
      </c>
      <c r="I21" s="662">
        <v>150</v>
      </c>
      <c r="J21" s="662">
        <v>1975</v>
      </c>
      <c r="K21" s="662">
        <v>20977</v>
      </c>
      <c r="L21" s="664">
        <f t="shared" si="5"/>
        <v>0</v>
      </c>
      <c r="M21" s="664">
        <v>0</v>
      </c>
      <c r="N21" s="664">
        <v>0</v>
      </c>
      <c r="O21" s="706"/>
    </row>
    <row r="22" spans="1:15" x14ac:dyDescent="0.2">
      <c r="A22" s="161">
        <v>13</v>
      </c>
      <c r="B22" s="167" t="s">
        <v>74</v>
      </c>
      <c r="C22" s="50" t="s">
        <v>75</v>
      </c>
      <c r="D22" s="659">
        <f t="shared" si="2"/>
        <v>0</v>
      </c>
      <c r="E22" s="659">
        <f t="shared" si="3"/>
        <v>0</v>
      </c>
      <c r="F22" s="659">
        <v>0</v>
      </c>
      <c r="G22" s="659">
        <v>0</v>
      </c>
      <c r="H22" s="659">
        <f t="shared" si="4"/>
        <v>0</v>
      </c>
      <c r="I22" s="662">
        <v>0</v>
      </c>
      <c r="J22" s="662">
        <v>0</v>
      </c>
      <c r="K22" s="662">
        <v>0</v>
      </c>
      <c r="L22" s="664">
        <f t="shared" si="5"/>
        <v>0</v>
      </c>
      <c r="M22" s="664">
        <v>0</v>
      </c>
      <c r="N22" s="664">
        <v>0</v>
      </c>
      <c r="O22" s="706"/>
    </row>
    <row r="23" spans="1:15" x14ac:dyDescent="0.2">
      <c r="A23" s="161">
        <v>14</v>
      </c>
      <c r="B23" s="167" t="s">
        <v>76</v>
      </c>
      <c r="C23" s="50" t="s">
        <v>77</v>
      </c>
      <c r="D23" s="659">
        <f t="shared" si="2"/>
        <v>12334</v>
      </c>
      <c r="E23" s="659">
        <f t="shared" si="3"/>
        <v>0</v>
      </c>
      <c r="F23" s="659">
        <v>0</v>
      </c>
      <c r="G23" s="659">
        <v>0</v>
      </c>
      <c r="H23" s="659">
        <f t="shared" si="4"/>
        <v>12334</v>
      </c>
      <c r="I23" s="662">
        <v>118</v>
      </c>
      <c r="J23" s="662">
        <v>1719</v>
      </c>
      <c r="K23" s="662">
        <v>10497</v>
      </c>
      <c r="L23" s="664">
        <f t="shared" si="5"/>
        <v>0</v>
      </c>
      <c r="M23" s="664">
        <v>0</v>
      </c>
      <c r="N23" s="664">
        <v>0</v>
      </c>
      <c r="O23" s="706"/>
    </row>
    <row r="24" spans="1:15" x14ac:dyDescent="0.2">
      <c r="A24" s="161">
        <v>15</v>
      </c>
      <c r="B24" s="167" t="s">
        <v>78</v>
      </c>
      <c r="C24" s="50" t="s">
        <v>79</v>
      </c>
      <c r="D24" s="659">
        <f t="shared" si="2"/>
        <v>29728</v>
      </c>
      <c r="E24" s="659">
        <f t="shared" si="3"/>
        <v>0</v>
      </c>
      <c r="F24" s="659">
        <v>0</v>
      </c>
      <c r="G24" s="659">
        <v>0</v>
      </c>
      <c r="H24" s="659">
        <f t="shared" si="4"/>
        <v>29728</v>
      </c>
      <c r="I24" s="662">
        <v>1328</v>
      </c>
      <c r="J24" s="662">
        <v>0</v>
      </c>
      <c r="K24" s="662">
        <v>28400</v>
      </c>
      <c r="L24" s="664">
        <f t="shared" si="5"/>
        <v>0</v>
      </c>
      <c r="M24" s="664">
        <v>0</v>
      </c>
      <c r="N24" s="664">
        <v>0</v>
      </c>
      <c r="O24" s="706"/>
    </row>
    <row r="25" spans="1:15" x14ac:dyDescent="0.2">
      <c r="A25" s="161">
        <v>16</v>
      </c>
      <c r="B25" s="167" t="s">
        <v>80</v>
      </c>
      <c r="C25" s="50" t="s">
        <v>81</v>
      </c>
      <c r="D25" s="659">
        <f t="shared" si="2"/>
        <v>26611</v>
      </c>
      <c r="E25" s="659">
        <f t="shared" si="3"/>
        <v>0</v>
      </c>
      <c r="F25" s="659">
        <v>0</v>
      </c>
      <c r="G25" s="659">
        <v>0</v>
      </c>
      <c r="H25" s="659">
        <f t="shared" si="4"/>
        <v>26611</v>
      </c>
      <c r="I25" s="662">
        <v>2000</v>
      </c>
      <c r="J25" s="662">
        <v>2978</v>
      </c>
      <c r="K25" s="662">
        <v>21633</v>
      </c>
      <c r="L25" s="664">
        <f t="shared" si="5"/>
        <v>0</v>
      </c>
      <c r="M25" s="664">
        <v>0</v>
      </c>
      <c r="N25" s="664">
        <v>0</v>
      </c>
      <c r="O25" s="706"/>
    </row>
    <row r="26" spans="1:15" x14ac:dyDescent="0.2">
      <c r="A26" s="161">
        <v>17</v>
      </c>
      <c r="B26" s="167" t="s">
        <v>20</v>
      </c>
      <c r="C26" s="50" t="s">
        <v>21</v>
      </c>
      <c r="D26" s="659">
        <f t="shared" si="2"/>
        <v>45725</v>
      </c>
      <c r="E26" s="659">
        <f t="shared" si="3"/>
        <v>0</v>
      </c>
      <c r="F26" s="659">
        <v>0</v>
      </c>
      <c r="G26" s="659">
        <v>0</v>
      </c>
      <c r="H26" s="659">
        <f t="shared" si="4"/>
        <v>42334</v>
      </c>
      <c r="I26" s="662">
        <v>4600</v>
      </c>
      <c r="J26" s="662">
        <v>6937</v>
      </c>
      <c r="K26" s="662">
        <v>30797</v>
      </c>
      <c r="L26" s="664">
        <f t="shared" si="5"/>
        <v>3391</v>
      </c>
      <c r="M26" s="664">
        <v>2713</v>
      </c>
      <c r="N26" s="664">
        <v>678</v>
      </c>
      <c r="O26" s="706"/>
    </row>
    <row r="27" spans="1:15" x14ac:dyDescent="0.2">
      <c r="A27" s="161">
        <v>18</v>
      </c>
      <c r="B27" s="49" t="s">
        <v>82</v>
      </c>
      <c r="C27" s="50" t="s">
        <v>83</v>
      </c>
      <c r="D27" s="659">
        <f t="shared" si="2"/>
        <v>5431</v>
      </c>
      <c r="E27" s="659">
        <f t="shared" si="3"/>
        <v>0</v>
      </c>
      <c r="F27" s="659">
        <v>0</v>
      </c>
      <c r="G27" s="659">
        <v>0</v>
      </c>
      <c r="H27" s="659">
        <f t="shared" si="4"/>
        <v>5431</v>
      </c>
      <c r="I27" s="662">
        <v>600</v>
      </c>
      <c r="J27" s="662">
        <v>0</v>
      </c>
      <c r="K27" s="662">
        <v>4831</v>
      </c>
      <c r="L27" s="664">
        <f t="shared" si="5"/>
        <v>0</v>
      </c>
      <c r="M27" s="664">
        <v>0</v>
      </c>
      <c r="N27" s="664">
        <v>0</v>
      </c>
      <c r="O27" s="706"/>
    </row>
    <row r="28" spans="1:15" x14ac:dyDescent="0.2">
      <c r="A28" s="161">
        <v>19</v>
      </c>
      <c r="B28" s="49" t="s">
        <v>84</v>
      </c>
      <c r="C28" s="50" t="s">
        <v>85</v>
      </c>
      <c r="D28" s="659">
        <f t="shared" si="2"/>
        <v>7497</v>
      </c>
      <c r="E28" s="659">
        <f t="shared" si="3"/>
        <v>0</v>
      </c>
      <c r="F28" s="659">
        <v>0</v>
      </c>
      <c r="G28" s="659">
        <v>0</v>
      </c>
      <c r="H28" s="659">
        <f t="shared" si="4"/>
        <v>7497</v>
      </c>
      <c r="I28" s="662">
        <v>704</v>
      </c>
      <c r="J28" s="662">
        <v>1251</v>
      </c>
      <c r="K28" s="662">
        <v>5542</v>
      </c>
      <c r="L28" s="664">
        <f t="shared" si="5"/>
        <v>0</v>
      </c>
      <c r="M28" s="664">
        <v>0</v>
      </c>
      <c r="N28" s="664">
        <v>0</v>
      </c>
      <c r="O28" s="706"/>
    </row>
    <row r="29" spans="1:15" x14ac:dyDescent="0.2">
      <c r="A29" s="161">
        <v>20</v>
      </c>
      <c r="B29" s="49" t="s">
        <v>86</v>
      </c>
      <c r="C29" s="50" t="s">
        <v>87</v>
      </c>
      <c r="D29" s="659">
        <f t="shared" si="2"/>
        <v>38574</v>
      </c>
      <c r="E29" s="659">
        <f t="shared" si="3"/>
        <v>0</v>
      </c>
      <c r="F29" s="659">
        <v>0</v>
      </c>
      <c r="G29" s="659">
        <v>0</v>
      </c>
      <c r="H29" s="659">
        <f t="shared" si="4"/>
        <v>38574</v>
      </c>
      <c r="I29" s="662">
        <v>3407</v>
      </c>
      <c r="J29" s="662">
        <v>4141</v>
      </c>
      <c r="K29" s="662">
        <v>31026</v>
      </c>
      <c r="L29" s="664">
        <f t="shared" si="5"/>
        <v>0</v>
      </c>
      <c r="M29" s="664">
        <v>0</v>
      </c>
      <c r="N29" s="664">
        <v>0</v>
      </c>
      <c r="O29" s="706"/>
    </row>
    <row r="30" spans="1:15" x14ac:dyDescent="0.2">
      <c r="A30" s="161">
        <v>21</v>
      </c>
      <c r="B30" s="49" t="s">
        <v>22</v>
      </c>
      <c r="C30" s="50" t="s">
        <v>23</v>
      </c>
      <c r="D30" s="659">
        <f t="shared" si="2"/>
        <v>37039</v>
      </c>
      <c r="E30" s="659">
        <f t="shared" si="3"/>
        <v>0</v>
      </c>
      <c r="F30" s="659">
        <v>0</v>
      </c>
      <c r="G30" s="659">
        <v>0</v>
      </c>
      <c r="H30" s="659">
        <f t="shared" si="4"/>
        <v>34831</v>
      </c>
      <c r="I30" s="662">
        <v>3741</v>
      </c>
      <c r="J30" s="662">
        <v>3378</v>
      </c>
      <c r="K30" s="662">
        <v>27712</v>
      </c>
      <c r="L30" s="664">
        <f t="shared" si="5"/>
        <v>2208</v>
      </c>
      <c r="M30" s="664">
        <v>1766</v>
      </c>
      <c r="N30" s="664">
        <v>442</v>
      </c>
      <c r="O30" s="706"/>
    </row>
    <row r="31" spans="1:15" x14ac:dyDescent="0.2">
      <c r="A31" s="161">
        <v>22</v>
      </c>
      <c r="B31" s="167" t="s">
        <v>24</v>
      </c>
      <c r="C31" s="50" t="s">
        <v>25</v>
      </c>
      <c r="D31" s="659">
        <f t="shared" si="2"/>
        <v>9022</v>
      </c>
      <c r="E31" s="659">
        <f t="shared" si="3"/>
        <v>0</v>
      </c>
      <c r="F31" s="659">
        <v>0</v>
      </c>
      <c r="G31" s="659">
        <v>0</v>
      </c>
      <c r="H31" s="659">
        <f t="shared" si="4"/>
        <v>9022</v>
      </c>
      <c r="I31" s="662">
        <v>701</v>
      </c>
      <c r="J31" s="662">
        <v>1097</v>
      </c>
      <c r="K31" s="662">
        <v>7224</v>
      </c>
      <c r="L31" s="664">
        <f t="shared" si="5"/>
        <v>0</v>
      </c>
      <c r="M31" s="664">
        <v>0</v>
      </c>
      <c r="N31" s="664">
        <v>0</v>
      </c>
      <c r="O31" s="706"/>
    </row>
    <row r="32" spans="1:15" x14ac:dyDescent="0.2">
      <c r="A32" s="161">
        <v>23</v>
      </c>
      <c r="B32" s="167" t="s">
        <v>88</v>
      </c>
      <c r="C32" s="50" t="s">
        <v>89</v>
      </c>
      <c r="D32" s="659">
        <f t="shared" si="2"/>
        <v>0</v>
      </c>
      <c r="E32" s="659">
        <f t="shared" si="3"/>
        <v>0</v>
      </c>
      <c r="F32" s="659">
        <v>0</v>
      </c>
      <c r="G32" s="659">
        <v>0</v>
      </c>
      <c r="H32" s="659">
        <v>0</v>
      </c>
      <c r="I32" s="662">
        <v>0</v>
      </c>
      <c r="J32" s="662">
        <v>0</v>
      </c>
      <c r="K32" s="662">
        <v>0</v>
      </c>
      <c r="L32" s="664">
        <f t="shared" si="5"/>
        <v>0</v>
      </c>
      <c r="M32" s="664">
        <v>0</v>
      </c>
      <c r="N32" s="664">
        <v>0</v>
      </c>
      <c r="O32" s="706"/>
    </row>
    <row r="33" spans="1:15" x14ac:dyDescent="0.2">
      <c r="A33" s="161">
        <v>24</v>
      </c>
      <c r="B33" s="167" t="s">
        <v>90</v>
      </c>
      <c r="C33" s="50" t="s">
        <v>91</v>
      </c>
      <c r="D33" s="659">
        <f t="shared" si="2"/>
        <v>0</v>
      </c>
      <c r="E33" s="659">
        <f t="shared" si="3"/>
        <v>0</v>
      </c>
      <c r="F33" s="659">
        <v>0</v>
      </c>
      <c r="G33" s="659">
        <v>0</v>
      </c>
      <c r="H33" s="659">
        <v>0</v>
      </c>
      <c r="I33" s="662">
        <v>0</v>
      </c>
      <c r="J33" s="662">
        <v>0</v>
      </c>
      <c r="K33" s="662">
        <v>0</v>
      </c>
      <c r="L33" s="664">
        <f t="shared" si="5"/>
        <v>0</v>
      </c>
      <c r="M33" s="664">
        <v>0</v>
      </c>
      <c r="N33" s="664">
        <v>0</v>
      </c>
      <c r="O33" s="706"/>
    </row>
    <row r="34" spans="1:15" ht="24" x14ac:dyDescent="0.2">
      <c r="A34" s="921">
        <v>25</v>
      </c>
      <c r="B34" s="624" t="s">
        <v>92</v>
      </c>
      <c r="C34" s="57" t="s">
        <v>775</v>
      </c>
      <c r="D34" s="659">
        <f t="shared" si="2"/>
        <v>140005</v>
      </c>
      <c r="E34" s="659">
        <f t="shared" si="3"/>
        <v>0</v>
      </c>
      <c r="F34" s="659">
        <v>0</v>
      </c>
      <c r="G34" s="659">
        <v>0</v>
      </c>
      <c r="H34" s="659">
        <f t="shared" si="4"/>
        <v>134079</v>
      </c>
      <c r="I34" s="662">
        <v>12351</v>
      </c>
      <c r="J34" s="662">
        <v>399</v>
      </c>
      <c r="K34" s="662">
        <v>121329</v>
      </c>
      <c r="L34" s="664">
        <f t="shared" si="5"/>
        <v>5926</v>
      </c>
      <c r="M34" s="664">
        <v>4741</v>
      </c>
      <c r="N34" s="664">
        <v>1185</v>
      </c>
      <c r="O34" s="706"/>
    </row>
    <row r="35" spans="1:15" x14ac:dyDescent="0.2">
      <c r="A35" s="923"/>
      <c r="B35" s="167" t="s">
        <v>94</v>
      </c>
      <c r="C35" s="50" t="s">
        <v>95</v>
      </c>
      <c r="D35" s="659">
        <f t="shared" si="2"/>
        <v>26462</v>
      </c>
      <c r="E35" s="659">
        <f t="shared" si="3"/>
        <v>0</v>
      </c>
      <c r="F35" s="659">
        <v>0</v>
      </c>
      <c r="G35" s="659">
        <v>0</v>
      </c>
      <c r="H35" s="659">
        <f t="shared" si="4"/>
        <v>24504</v>
      </c>
      <c r="I35" s="662">
        <v>107</v>
      </c>
      <c r="J35" s="662">
        <v>0</v>
      </c>
      <c r="K35" s="662">
        <v>24397</v>
      </c>
      <c r="L35" s="664">
        <f t="shared" si="5"/>
        <v>1958</v>
      </c>
      <c r="M35" s="664">
        <v>1580</v>
      </c>
      <c r="N35" s="664">
        <v>378</v>
      </c>
      <c r="O35" s="706"/>
    </row>
    <row r="36" spans="1:15" x14ac:dyDescent="0.2">
      <c r="A36" s="161">
        <v>26</v>
      </c>
      <c r="B36" s="52" t="s">
        <v>96</v>
      </c>
      <c r="C36" s="50" t="s">
        <v>97</v>
      </c>
      <c r="D36" s="659">
        <f t="shared" si="2"/>
        <v>0</v>
      </c>
      <c r="E36" s="659">
        <f t="shared" si="3"/>
        <v>0</v>
      </c>
      <c r="F36" s="659">
        <v>0</v>
      </c>
      <c r="G36" s="659">
        <v>0</v>
      </c>
      <c r="H36" s="659">
        <f t="shared" si="4"/>
        <v>0</v>
      </c>
      <c r="I36" s="662">
        <v>0</v>
      </c>
      <c r="J36" s="662">
        <v>0</v>
      </c>
      <c r="K36" s="662">
        <v>0</v>
      </c>
      <c r="L36" s="664">
        <f t="shared" si="5"/>
        <v>0</v>
      </c>
      <c r="M36" s="664">
        <v>0</v>
      </c>
      <c r="N36" s="664">
        <v>0</v>
      </c>
      <c r="O36" s="706"/>
    </row>
    <row r="37" spans="1:15" x14ac:dyDescent="0.2">
      <c r="A37" s="161">
        <v>27</v>
      </c>
      <c r="B37" s="52" t="s">
        <v>26</v>
      </c>
      <c r="C37" s="50" t="s">
        <v>27</v>
      </c>
      <c r="D37" s="659">
        <f t="shared" si="2"/>
        <v>40363</v>
      </c>
      <c r="E37" s="659">
        <f t="shared" si="3"/>
        <v>0</v>
      </c>
      <c r="F37" s="659">
        <v>0</v>
      </c>
      <c r="G37" s="659">
        <v>0</v>
      </c>
      <c r="H37" s="659">
        <f t="shared" si="4"/>
        <v>38754</v>
      </c>
      <c r="I37" s="662">
        <v>3200</v>
      </c>
      <c r="J37" s="662">
        <v>1982</v>
      </c>
      <c r="K37" s="662">
        <v>33572</v>
      </c>
      <c r="L37" s="664">
        <f t="shared" si="5"/>
        <v>1609</v>
      </c>
      <c r="M37" s="664">
        <v>1287</v>
      </c>
      <c r="N37" s="664">
        <v>322</v>
      </c>
      <c r="O37" s="706"/>
    </row>
    <row r="38" spans="1:15" x14ac:dyDescent="0.2">
      <c r="A38" s="161">
        <v>28</v>
      </c>
      <c r="B38" s="49" t="s">
        <v>98</v>
      </c>
      <c r="C38" s="50" t="s">
        <v>99</v>
      </c>
      <c r="D38" s="659">
        <f t="shared" si="2"/>
        <v>49452</v>
      </c>
      <c r="E38" s="659">
        <f t="shared" si="3"/>
        <v>0</v>
      </c>
      <c r="F38" s="659">
        <v>0</v>
      </c>
      <c r="G38" s="659">
        <v>0</v>
      </c>
      <c r="H38" s="659">
        <f t="shared" si="4"/>
        <v>46671</v>
      </c>
      <c r="I38" s="662">
        <v>4300</v>
      </c>
      <c r="J38" s="662">
        <v>6748</v>
      </c>
      <c r="K38" s="662">
        <v>35623</v>
      </c>
      <c r="L38" s="664">
        <f t="shared" si="5"/>
        <v>2781</v>
      </c>
      <c r="M38" s="664">
        <v>2225</v>
      </c>
      <c r="N38" s="664">
        <v>556</v>
      </c>
      <c r="O38" s="706"/>
    </row>
    <row r="39" spans="1:15" x14ac:dyDescent="0.2">
      <c r="A39" s="161">
        <v>29</v>
      </c>
      <c r="B39" s="52" t="s">
        <v>100</v>
      </c>
      <c r="C39" s="50" t="s">
        <v>101</v>
      </c>
      <c r="D39" s="659">
        <f t="shared" si="2"/>
        <v>17893</v>
      </c>
      <c r="E39" s="659">
        <f t="shared" si="3"/>
        <v>0</v>
      </c>
      <c r="F39" s="659">
        <v>0</v>
      </c>
      <c r="G39" s="659">
        <v>0</v>
      </c>
      <c r="H39" s="659">
        <f t="shared" si="4"/>
        <v>17893</v>
      </c>
      <c r="I39" s="662">
        <v>1062</v>
      </c>
      <c r="J39" s="662">
        <v>3392</v>
      </c>
      <c r="K39" s="662">
        <v>13439</v>
      </c>
      <c r="L39" s="664">
        <f t="shared" si="5"/>
        <v>0</v>
      </c>
      <c r="M39" s="664">
        <v>0</v>
      </c>
      <c r="N39" s="664">
        <v>0</v>
      </c>
      <c r="O39" s="706"/>
    </row>
    <row r="40" spans="1:15" x14ac:dyDescent="0.2">
      <c r="A40" s="161">
        <v>30</v>
      </c>
      <c r="B40" s="167" t="s">
        <v>102</v>
      </c>
      <c r="C40" s="50" t="s">
        <v>103</v>
      </c>
      <c r="D40" s="659">
        <f t="shared" si="2"/>
        <v>35624</v>
      </c>
      <c r="E40" s="659">
        <f t="shared" si="3"/>
        <v>0</v>
      </c>
      <c r="F40" s="659">
        <v>0</v>
      </c>
      <c r="G40" s="659">
        <v>0</v>
      </c>
      <c r="H40" s="659">
        <f t="shared" si="4"/>
        <v>34553</v>
      </c>
      <c r="I40" s="662">
        <v>3600</v>
      </c>
      <c r="J40" s="662">
        <v>5443</v>
      </c>
      <c r="K40" s="662">
        <v>25510</v>
      </c>
      <c r="L40" s="664">
        <f t="shared" si="5"/>
        <v>1071</v>
      </c>
      <c r="M40" s="664">
        <v>857</v>
      </c>
      <c r="N40" s="664">
        <v>214</v>
      </c>
      <c r="O40" s="706"/>
    </row>
    <row r="41" spans="1:15" x14ac:dyDescent="0.2">
      <c r="A41" s="161">
        <v>31</v>
      </c>
      <c r="B41" s="52" t="s">
        <v>104</v>
      </c>
      <c r="C41" s="50" t="s">
        <v>105</v>
      </c>
      <c r="D41" s="659">
        <f t="shared" si="2"/>
        <v>18139</v>
      </c>
      <c r="E41" s="659">
        <f t="shared" si="3"/>
        <v>0</v>
      </c>
      <c r="F41" s="659">
        <v>0</v>
      </c>
      <c r="G41" s="659">
        <v>0</v>
      </c>
      <c r="H41" s="659">
        <f t="shared" si="4"/>
        <v>18139</v>
      </c>
      <c r="I41" s="662">
        <v>1703</v>
      </c>
      <c r="J41" s="662">
        <v>2060</v>
      </c>
      <c r="K41" s="662">
        <v>14376</v>
      </c>
      <c r="L41" s="664">
        <f t="shared" si="5"/>
        <v>0</v>
      </c>
      <c r="M41" s="664">
        <v>0</v>
      </c>
      <c r="N41" s="664">
        <v>0</v>
      </c>
      <c r="O41" s="706"/>
    </row>
    <row r="42" spans="1:15" x14ac:dyDescent="0.2">
      <c r="A42" s="161">
        <v>32</v>
      </c>
      <c r="B42" s="49" t="s">
        <v>106</v>
      </c>
      <c r="C42" s="50" t="s">
        <v>107</v>
      </c>
      <c r="D42" s="659">
        <f t="shared" si="2"/>
        <v>30639</v>
      </c>
      <c r="E42" s="659">
        <f t="shared" si="3"/>
        <v>0</v>
      </c>
      <c r="F42" s="659">
        <v>0</v>
      </c>
      <c r="G42" s="659">
        <v>0</v>
      </c>
      <c r="H42" s="659">
        <f t="shared" si="4"/>
        <v>30639</v>
      </c>
      <c r="I42" s="662">
        <v>300</v>
      </c>
      <c r="J42" s="662">
        <v>226</v>
      </c>
      <c r="K42" s="662">
        <v>30113</v>
      </c>
      <c r="L42" s="664">
        <f t="shared" si="5"/>
        <v>0</v>
      </c>
      <c r="M42" s="664">
        <v>0</v>
      </c>
      <c r="N42" s="664">
        <v>0</v>
      </c>
      <c r="O42" s="706"/>
    </row>
    <row r="43" spans="1:15" x14ac:dyDescent="0.2">
      <c r="A43" s="161">
        <v>33</v>
      </c>
      <c r="B43" s="162" t="s">
        <v>108</v>
      </c>
      <c r="C43" s="625" t="s">
        <v>109</v>
      </c>
      <c r="D43" s="659">
        <f t="shared" si="2"/>
        <v>14952</v>
      </c>
      <c r="E43" s="659">
        <f t="shared" si="3"/>
        <v>0</v>
      </c>
      <c r="F43" s="659">
        <v>0</v>
      </c>
      <c r="G43" s="659">
        <v>0</v>
      </c>
      <c r="H43" s="659">
        <f t="shared" si="4"/>
        <v>14952</v>
      </c>
      <c r="I43" s="662">
        <v>510</v>
      </c>
      <c r="J43" s="662">
        <v>1515</v>
      </c>
      <c r="K43" s="662">
        <v>12927</v>
      </c>
      <c r="L43" s="664">
        <f t="shared" si="5"/>
        <v>0</v>
      </c>
      <c r="M43" s="664">
        <v>0</v>
      </c>
      <c r="N43" s="664">
        <v>0</v>
      </c>
      <c r="O43" s="706"/>
    </row>
    <row r="44" spans="1:15" x14ac:dyDescent="0.2">
      <c r="A44" s="161">
        <v>34</v>
      </c>
      <c r="B44" s="49" t="s">
        <v>110</v>
      </c>
      <c r="C44" s="50" t="s">
        <v>111</v>
      </c>
      <c r="D44" s="659">
        <f t="shared" si="2"/>
        <v>7821</v>
      </c>
      <c r="E44" s="659">
        <f t="shared" si="3"/>
        <v>0</v>
      </c>
      <c r="F44" s="659">
        <v>0</v>
      </c>
      <c r="G44" s="659">
        <v>0</v>
      </c>
      <c r="H44" s="659">
        <f t="shared" si="4"/>
        <v>7821</v>
      </c>
      <c r="I44" s="662">
        <v>300</v>
      </c>
      <c r="J44" s="662">
        <v>7</v>
      </c>
      <c r="K44" s="662">
        <v>7514</v>
      </c>
      <c r="L44" s="664">
        <f t="shared" si="5"/>
        <v>0</v>
      </c>
      <c r="M44" s="664">
        <v>0</v>
      </c>
      <c r="N44" s="664">
        <v>0</v>
      </c>
      <c r="O44" s="706"/>
    </row>
    <row r="45" spans="1:15" x14ac:dyDescent="0.2">
      <c r="A45" s="161">
        <v>35</v>
      </c>
      <c r="B45" s="49" t="s">
        <v>112</v>
      </c>
      <c r="C45" s="50" t="s">
        <v>113</v>
      </c>
      <c r="D45" s="659">
        <f t="shared" si="2"/>
        <v>10866</v>
      </c>
      <c r="E45" s="659">
        <f t="shared" si="3"/>
        <v>0</v>
      </c>
      <c r="F45" s="659">
        <v>0</v>
      </c>
      <c r="G45" s="659">
        <v>0</v>
      </c>
      <c r="H45" s="659">
        <f t="shared" si="4"/>
        <v>10866</v>
      </c>
      <c r="I45" s="662">
        <v>580</v>
      </c>
      <c r="J45" s="662">
        <v>1309</v>
      </c>
      <c r="K45" s="662">
        <v>8977</v>
      </c>
      <c r="L45" s="664">
        <f t="shared" si="5"/>
        <v>0</v>
      </c>
      <c r="M45" s="664">
        <v>0</v>
      </c>
      <c r="N45" s="664">
        <v>0</v>
      </c>
      <c r="O45" s="706"/>
    </row>
    <row r="46" spans="1:15" x14ac:dyDescent="0.2">
      <c r="A46" s="161">
        <v>36</v>
      </c>
      <c r="B46" s="167" t="s">
        <v>114</v>
      </c>
      <c r="C46" s="50" t="s">
        <v>115</v>
      </c>
      <c r="D46" s="659">
        <f t="shared" si="2"/>
        <v>3951</v>
      </c>
      <c r="E46" s="659">
        <f t="shared" si="3"/>
        <v>0</v>
      </c>
      <c r="F46" s="659">
        <v>0</v>
      </c>
      <c r="G46" s="659">
        <v>0</v>
      </c>
      <c r="H46" s="659">
        <f t="shared" si="4"/>
        <v>3951</v>
      </c>
      <c r="I46" s="662">
        <v>72</v>
      </c>
      <c r="J46" s="662">
        <v>379</v>
      </c>
      <c r="K46" s="662">
        <v>3500</v>
      </c>
      <c r="L46" s="664">
        <f t="shared" si="5"/>
        <v>0</v>
      </c>
      <c r="M46" s="664">
        <v>0</v>
      </c>
      <c r="N46" s="664">
        <v>0</v>
      </c>
      <c r="O46" s="706"/>
    </row>
    <row r="47" spans="1:15" x14ac:dyDescent="0.2">
      <c r="A47" s="161">
        <v>37</v>
      </c>
      <c r="B47" s="52" t="s">
        <v>116</v>
      </c>
      <c r="C47" s="50" t="s">
        <v>117</v>
      </c>
      <c r="D47" s="659">
        <f t="shared" si="2"/>
        <v>110</v>
      </c>
      <c r="E47" s="659">
        <f t="shared" si="3"/>
        <v>0</v>
      </c>
      <c r="F47" s="659">
        <v>0</v>
      </c>
      <c r="G47" s="659">
        <v>0</v>
      </c>
      <c r="H47" s="659">
        <f t="shared" si="4"/>
        <v>110</v>
      </c>
      <c r="I47" s="662">
        <v>0</v>
      </c>
      <c r="J47" s="662">
        <v>0</v>
      </c>
      <c r="K47" s="662">
        <v>110</v>
      </c>
      <c r="L47" s="664">
        <f t="shared" si="5"/>
        <v>0</v>
      </c>
      <c r="M47" s="664">
        <v>0</v>
      </c>
      <c r="N47" s="664">
        <v>0</v>
      </c>
      <c r="O47" s="706"/>
    </row>
    <row r="48" spans="1:15" x14ac:dyDescent="0.2">
      <c r="A48" s="161">
        <v>38</v>
      </c>
      <c r="B48" s="167" t="s">
        <v>28</v>
      </c>
      <c r="C48" s="50" t="s">
        <v>29</v>
      </c>
      <c r="D48" s="659">
        <f t="shared" si="2"/>
        <v>72554</v>
      </c>
      <c r="E48" s="659">
        <f t="shared" si="3"/>
        <v>0</v>
      </c>
      <c r="F48" s="659">
        <v>0</v>
      </c>
      <c r="G48" s="659">
        <v>0</v>
      </c>
      <c r="H48" s="659">
        <f t="shared" si="4"/>
        <v>70016</v>
      </c>
      <c r="I48" s="662">
        <v>3823</v>
      </c>
      <c r="J48" s="662">
        <v>2726</v>
      </c>
      <c r="K48" s="662">
        <v>63467</v>
      </c>
      <c r="L48" s="664">
        <f t="shared" si="5"/>
        <v>2538</v>
      </c>
      <c r="M48" s="664">
        <v>2030</v>
      </c>
      <c r="N48" s="664">
        <v>508</v>
      </c>
      <c r="O48" s="706"/>
    </row>
    <row r="49" spans="1:15" x14ac:dyDescent="0.2">
      <c r="A49" s="161">
        <v>39</v>
      </c>
      <c r="B49" s="49" t="s">
        <v>118</v>
      </c>
      <c r="C49" s="50" t="s">
        <v>119</v>
      </c>
      <c r="D49" s="659">
        <f t="shared" si="2"/>
        <v>9021</v>
      </c>
      <c r="E49" s="659">
        <f t="shared" si="3"/>
        <v>0</v>
      </c>
      <c r="F49" s="659">
        <v>0</v>
      </c>
      <c r="G49" s="659">
        <v>0</v>
      </c>
      <c r="H49" s="659">
        <f t="shared" si="4"/>
        <v>9021</v>
      </c>
      <c r="I49" s="662">
        <v>2050</v>
      </c>
      <c r="J49" s="662">
        <v>1055</v>
      </c>
      <c r="K49" s="662">
        <v>5916</v>
      </c>
      <c r="L49" s="664">
        <f t="shared" si="5"/>
        <v>0</v>
      </c>
      <c r="M49" s="664">
        <v>0</v>
      </c>
      <c r="N49" s="664">
        <v>0</v>
      </c>
      <c r="O49" s="706"/>
    </row>
    <row r="50" spans="1:15" x14ac:dyDescent="0.2">
      <c r="A50" s="161">
        <v>40</v>
      </c>
      <c r="B50" s="49" t="s">
        <v>120</v>
      </c>
      <c r="C50" s="50" t="s">
        <v>121</v>
      </c>
      <c r="D50" s="659">
        <f t="shared" si="2"/>
        <v>42595</v>
      </c>
      <c r="E50" s="659">
        <f t="shared" si="3"/>
        <v>0</v>
      </c>
      <c r="F50" s="659">
        <v>0</v>
      </c>
      <c r="G50" s="659">
        <v>0</v>
      </c>
      <c r="H50" s="659">
        <f t="shared" si="4"/>
        <v>42595</v>
      </c>
      <c r="I50" s="662">
        <v>225</v>
      </c>
      <c r="J50" s="662">
        <v>1316</v>
      </c>
      <c r="K50" s="662">
        <v>41054</v>
      </c>
      <c r="L50" s="664">
        <f t="shared" si="5"/>
        <v>0</v>
      </c>
      <c r="M50" s="664">
        <v>0</v>
      </c>
      <c r="N50" s="664">
        <v>0</v>
      </c>
      <c r="O50" s="706"/>
    </row>
    <row r="51" spans="1:15" x14ac:dyDescent="0.2">
      <c r="A51" s="161">
        <v>41</v>
      </c>
      <c r="B51" s="167" t="s">
        <v>122</v>
      </c>
      <c r="C51" s="50" t="s">
        <v>123</v>
      </c>
      <c r="D51" s="659">
        <f t="shared" si="2"/>
        <v>9344</v>
      </c>
      <c r="E51" s="659">
        <f t="shared" si="3"/>
        <v>0</v>
      </c>
      <c r="F51" s="659">
        <v>0</v>
      </c>
      <c r="G51" s="659">
        <v>0</v>
      </c>
      <c r="H51" s="659">
        <f t="shared" si="4"/>
        <v>9344</v>
      </c>
      <c r="I51" s="662">
        <v>550</v>
      </c>
      <c r="J51" s="662">
        <v>2048</v>
      </c>
      <c r="K51" s="662">
        <v>6746</v>
      </c>
      <c r="L51" s="664">
        <f t="shared" si="5"/>
        <v>0</v>
      </c>
      <c r="M51" s="664">
        <v>0</v>
      </c>
      <c r="N51" s="664">
        <v>0</v>
      </c>
      <c r="O51" s="706"/>
    </row>
    <row r="52" spans="1:15" x14ac:dyDescent="0.2">
      <c r="A52" s="161">
        <v>42</v>
      </c>
      <c r="B52" s="52" t="s">
        <v>124</v>
      </c>
      <c r="C52" s="50" t="s">
        <v>125</v>
      </c>
      <c r="D52" s="659">
        <f t="shared" si="2"/>
        <v>9782</v>
      </c>
      <c r="E52" s="659">
        <f t="shared" si="3"/>
        <v>0</v>
      </c>
      <c r="F52" s="659">
        <v>0</v>
      </c>
      <c r="G52" s="659">
        <v>0</v>
      </c>
      <c r="H52" s="659">
        <f t="shared" si="4"/>
        <v>9782</v>
      </c>
      <c r="I52" s="662">
        <v>1533</v>
      </c>
      <c r="J52" s="662">
        <v>2363</v>
      </c>
      <c r="K52" s="662">
        <v>5886</v>
      </c>
      <c r="L52" s="664">
        <f t="shared" si="5"/>
        <v>0</v>
      </c>
      <c r="M52" s="664">
        <v>0</v>
      </c>
      <c r="N52" s="664">
        <v>0</v>
      </c>
      <c r="O52" s="706"/>
    </row>
    <row r="53" spans="1:15" x14ac:dyDescent="0.2">
      <c r="A53" s="161">
        <v>43</v>
      </c>
      <c r="B53" s="167" t="s">
        <v>126</v>
      </c>
      <c r="C53" s="50" t="s">
        <v>127</v>
      </c>
      <c r="D53" s="659">
        <f t="shared" si="2"/>
        <v>12225</v>
      </c>
      <c r="E53" s="659">
        <f t="shared" si="3"/>
        <v>0</v>
      </c>
      <c r="F53" s="659">
        <v>0</v>
      </c>
      <c r="G53" s="659">
        <v>0</v>
      </c>
      <c r="H53" s="659">
        <f t="shared" si="4"/>
        <v>12225</v>
      </c>
      <c r="I53" s="662">
        <v>305</v>
      </c>
      <c r="J53" s="662">
        <v>2364</v>
      </c>
      <c r="K53" s="662">
        <v>9556</v>
      </c>
      <c r="L53" s="664">
        <f t="shared" si="5"/>
        <v>0</v>
      </c>
      <c r="M53" s="664">
        <v>0</v>
      </c>
      <c r="N53" s="664">
        <v>0</v>
      </c>
      <c r="O53" s="706"/>
    </row>
    <row r="54" spans="1:15" x14ac:dyDescent="0.2">
      <c r="A54" s="161">
        <v>44</v>
      </c>
      <c r="B54" s="52" t="s">
        <v>128</v>
      </c>
      <c r="C54" s="50" t="s">
        <v>129</v>
      </c>
      <c r="D54" s="659">
        <f t="shared" si="2"/>
        <v>25521</v>
      </c>
      <c r="E54" s="659">
        <f t="shared" si="3"/>
        <v>0</v>
      </c>
      <c r="F54" s="659">
        <v>0</v>
      </c>
      <c r="G54" s="659">
        <v>0</v>
      </c>
      <c r="H54" s="659">
        <f t="shared" si="4"/>
        <v>25521</v>
      </c>
      <c r="I54" s="662">
        <v>1249</v>
      </c>
      <c r="J54" s="662">
        <v>5364</v>
      </c>
      <c r="K54" s="662">
        <v>18908</v>
      </c>
      <c r="L54" s="664">
        <f t="shared" si="5"/>
        <v>0</v>
      </c>
      <c r="M54" s="664">
        <v>0</v>
      </c>
      <c r="N54" s="664">
        <v>0</v>
      </c>
      <c r="O54" s="706"/>
    </row>
    <row r="55" spans="1:15" x14ac:dyDescent="0.2">
      <c r="A55" s="161">
        <v>45</v>
      </c>
      <c r="B55" s="167" t="s">
        <v>130</v>
      </c>
      <c r="C55" s="50" t="s">
        <v>131</v>
      </c>
      <c r="D55" s="659">
        <f t="shared" si="2"/>
        <v>3788</v>
      </c>
      <c r="E55" s="659">
        <f t="shared" si="3"/>
        <v>0</v>
      </c>
      <c r="F55" s="659">
        <v>0</v>
      </c>
      <c r="G55" s="659">
        <v>0</v>
      </c>
      <c r="H55" s="659">
        <f t="shared" si="4"/>
        <v>3788</v>
      </c>
      <c r="I55" s="662">
        <v>322</v>
      </c>
      <c r="J55" s="662">
        <v>0</v>
      </c>
      <c r="K55" s="662">
        <v>3466</v>
      </c>
      <c r="L55" s="664">
        <f t="shared" si="5"/>
        <v>0</v>
      </c>
      <c r="M55" s="664">
        <v>0</v>
      </c>
      <c r="N55" s="664">
        <v>0</v>
      </c>
      <c r="O55" s="706"/>
    </row>
    <row r="56" spans="1:15" x14ac:dyDescent="0.2">
      <c r="A56" s="161">
        <v>46</v>
      </c>
      <c r="B56" s="52" t="s">
        <v>132</v>
      </c>
      <c r="C56" s="50" t="s">
        <v>133</v>
      </c>
      <c r="D56" s="659">
        <f t="shared" si="2"/>
        <v>12230</v>
      </c>
      <c r="E56" s="659">
        <f t="shared" si="3"/>
        <v>0</v>
      </c>
      <c r="F56" s="659">
        <v>0</v>
      </c>
      <c r="G56" s="659">
        <v>0</v>
      </c>
      <c r="H56" s="659">
        <f t="shared" si="4"/>
        <v>12230</v>
      </c>
      <c r="I56" s="662">
        <v>1037</v>
      </c>
      <c r="J56" s="662">
        <v>2371</v>
      </c>
      <c r="K56" s="662">
        <v>8822</v>
      </c>
      <c r="L56" s="664">
        <f t="shared" si="5"/>
        <v>0</v>
      </c>
      <c r="M56" s="664">
        <v>0</v>
      </c>
      <c r="N56" s="664">
        <v>0</v>
      </c>
      <c r="O56" s="706"/>
    </row>
    <row r="57" spans="1:15" x14ac:dyDescent="0.2">
      <c r="A57" s="161">
        <v>47</v>
      </c>
      <c r="B57" s="167" t="s">
        <v>134</v>
      </c>
      <c r="C57" s="50" t="s">
        <v>135</v>
      </c>
      <c r="D57" s="659">
        <f t="shared" si="2"/>
        <v>14727</v>
      </c>
      <c r="E57" s="659">
        <f t="shared" si="3"/>
        <v>0</v>
      </c>
      <c r="F57" s="659">
        <v>0</v>
      </c>
      <c r="G57" s="659">
        <v>0</v>
      </c>
      <c r="H57" s="659">
        <f t="shared" si="4"/>
        <v>14727</v>
      </c>
      <c r="I57" s="662">
        <v>150</v>
      </c>
      <c r="J57" s="662">
        <v>2764</v>
      </c>
      <c r="K57" s="662">
        <v>11813</v>
      </c>
      <c r="L57" s="664">
        <f t="shared" si="5"/>
        <v>0</v>
      </c>
      <c r="M57" s="664">
        <v>0</v>
      </c>
      <c r="N57" s="664">
        <v>0</v>
      </c>
      <c r="O57" s="706"/>
    </row>
    <row r="58" spans="1:15" x14ac:dyDescent="0.2">
      <c r="A58" s="161">
        <v>48</v>
      </c>
      <c r="B58" s="167" t="s">
        <v>136</v>
      </c>
      <c r="C58" s="50" t="s">
        <v>137</v>
      </c>
      <c r="D58" s="659">
        <f t="shared" si="2"/>
        <v>74967</v>
      </c>
      <c r="E58" s="659">
        <f t="shared" si="3"/>
        <v>0</v>
      </c>
      <c r="F58" s="659">
        <v>0</v>
      </c>
      <c r="G58" s="659">
        <v>0</v>
      </c>
      <c r="H58" s="659">
        <f t="shared" si="4"/>
        <v>72035</v>
      </c>
      <c r="I58" s="662">
        <v>6185</v>
      </c>
      <c r="J58" s="662">
        <v>7114</v>
      </c>
      <c r="K58" s="662">
        <v>58736</v>
      </c>
      <c r="L58" s="664">
        <f t="shared" si="5"/>
        <v>2932</v>
      </c>
      <c r="M58" s="664">
        <v>2346</v>
      </c>
      <c r="N58" s="664">
        <v>586</v>
      </c>
      <c r="O58" s="706"/>
    </row>
    <row r="59" spans="1:15" x14ac:dyDescent="0.2">
      <c r="A59" s="161">
        <v>49</v>
      </c>
      <c r="B59" s="167" t="s">
        <v>138</v>
      </c>
      <c r="C59" s="50" t="s">
        <v>139</v>
      </c>
      <c r="D59" s="659">
        <f t="shared" si="2"/>
        <v>10663</v>
      </c>
      <c r="E59" s="659">
        <f t="shared" si="3"/>
        <v>0</v>
      </c>
      <c r="F59" s="659">
        <v>0</v>
      </c>
      <c r="G59" s="659">
        <v>0</v>
      </c>
      <c r="H59" s="659">
        <f t="shared" si="4"/>
        <v>10663</v>
      </c>
      <c r="I59" s="662">
        <v>0</v>
      </c>
      <c r="J59" s="662">
        <v>784</v>
      </c>
      <c r="K59" s="662">
        <v>9879</v>
      </c>
      <c r="L59" s="664">
        <f t="shared" si="5"/>
        <v>0</v>
      </c>
      <c r="M59" s="664">
        <v>0</v>
      </c>
      <c r="N59" s="664">
        <v>0</v>
      </c>
      <c r="O59" s="706"/>
    </row>
    <row r="60" spans="1:15" x14ac:dyDescent="0.2">
      <c r="A60" s="161">
        <v>50</v>
      </c>
      <c r="B60" s="167" t="s">
        <v>140</v>
      </c>
      <c r="C60" s="50" t="s">
        <v>141</v>
      </c>
      <c r="D60" s="659">
        <f t="shared" si="2"/>
        <v>8150</v>
      </c>
      <c r="E60" s="659">
        <f t="shared" si="3"/>
        <v>0</v>
      </c>
      <c r="F60" s="659">
        <v>0</v>
      </c>
      <c r="G60" s="659">
        <v>0</v>
      </c>
      <c r="H60" s="659">
        <f t="shared" si="4"/>
        <v>8150</v>
      </c>
      <c r="I60" s="662">
        <v>420</v>
      </c>
      <c r="J60" s="662">
        <v>686</v>
      </c>
      <c r="K60" s="662">
        <v>7044</v>
      </c>
      <c r="L60" s="664">
        <f t="shared" si="5"/>
        <v>0</v>
      </c>
      <c r="M60" s="664">
        <v>0</v>
      </c>
      <c r="N60" s="664">
        <v>0</v>
      </c>
      <c r="O60" s="706"/>
    </row>
    <row r="61" spans="1:15" x14ac:dyDescent="0.2">
      <c r="A61" s="161">
        <v>51</v>
      </c>
      <c r="B61" s="52" t="s">
        <v>142</v>
      </c>
      <c r="C61" s="50" t="s">
        <v>143</v>
      </c>
      <c r="D61" s="659">
        <f t="shared" si="2"/>
        <v>5237</v>
      </c>
      <c r="E61" s="659">
        <f t="shared" si="3"/>
        <v>0</v>
      </c>
      <c r="F61" s="659">
        <v>0</v>
      </c>
      <c r="G61" s="659">
        <v>0</v>
      </c>
      <c r="H61" s="659">
        <f t="shared" si="4"/>
        <v>5237</v>
      </c>
      <c r="I61" s="662">
        <v>605</v>
      </c>
      <c r="J61" s="662">
        <v>508</v>
      </c>
      <c r="K61" s="662">
        <v>4124</v>
      </c>
      <c r="L61" s="664">
        <f t="shared" si="5"/>
        <v>0</v>
      </c>
      <c r="M61" s="664">
        <v>0</v>
      </c>
      <c r="N61" s="664">
        <v>0</v>
      </c>
      <c r="O61" s="706"/>
    </row>
    <row r="62" spans="1:15" x14ac:dyDescent="0.2">
      <c r="A62" s="161">
        <v>52</v>
      </c>
      <c r="B62" s="167" t="s">
        <v>144</v>
      </c>
      <c r="C62" s="50" t="s">
        <v>145</v>
      </c>
      <c r="D62" s="659">
        <f t="shared" si="2"/>
        <v>0</v>
      </c>
      <c r="E62" s="659">
        <f t="shared" si="3"/>
        <v>0</v>
      </c>
      <c r="F62" s="659">
        <v>0</v>
      </c>
      <c r="G62" s="659">
        <v>0</v>
      </c>
      <c r="H62" s="659">
        <v>0</v>
      </c>
      <c r="I62" s="662">
        <v>0</v>
      </c>
      <c r="J62" s="662">
        <v>0</v>
      </c>
      <c r="K62" s="662">
        <v>0</v>
      </c>
      <c r="L62" s="664">
        <f t="shared" si="5"/>
        <v>0</v>
      </c>
      <c r="M62" s="664">
        <v>0</v>
      </c>
      <c r="N62" s="664">
        <v>0</v>
      </c>
      <c r="O62" s="706"/>
    </row>
    <row r="63" spans="1:15" x14ac:dyDescent="0.2">
      <c r="A63" s="161">
        <v>53</v>
      </c>
      <c r="B63" s="167" t="s">
        <v>146</v>
      </c>
      <c r="C63" s="50" t="s">
        <v>147</v>
      </c>
      <c r="D63" s="659">
        <f t="shared" si="2"/>
        <v>0</v>
      </c>
      <c r="E63" s="659">
        <f t="shared" si="3"/>
        <v>0</v>
      </c>
      <c r="F63" s="659">
        <v>0</v>
      </c>
      <c r="G63" s="659">
        <v>0</v>
      </c>
      <c r="H63" s="659">
        <v>0</v>
      </c>
      <c r="I63" s="662">
        <v>0</v>
      </c>
      <c r="J63" s="662">
        <v>0</v>
      </c>
      <c r="K63" s="662">
        <v>0</v>
      </c>
      <c r="L63" s="664">
        <f t="shared" si="5"/>
        <v>0</v>
      </c>
      <c r="M63" s="664">
        <v>0</v>
      </c>
      <c r="N63" s="664">
        <v>0</v>
      </c>
      <c r="O63" s="706"/>
    </row>
    <row r="64" spans="1:15" x14ac:dyDescent="0.2">
      <c r="A64" s="161">
        <v>54</v>
      </c>
      <c r="B64" s="167" t="s">
        <v>148</v>
      </c>
      <c r="C64" s="50" t="s">
        <v>149</v>
      </c>
      <c r="D64" s="659">
        <f t="shared" si="2"/>
        <v>73400</v>
      </c>
      <c r="E64" s="659">
        <f t="shared" si="3"/>
        <v>0</v>
      </c>
      <c r="F64" s="659">
        <v>0</v>
      </c>
      <c r="G64" s="659">
        <v>0</v>
      </c>
      <c r="H64" s="659">
        <f t="shared" si="4"/>
        <v>73400</v>
      </c>
      <c r="I64" s="662">
        <v>800</v>
      </c>
      <c r="J64" s="662">
        <v>0</v>
      </c>
      <c r="K64" s="662">
        <v>72600</v>
      </c>
      <c r="L64" s="664">
        <f t="shared" si="5"/>
        <v>0</v>
      </c>
      <c r="M64" s="664">
        <v>0</v>
      </c>
      <c r="N64" s="664">
        <v>0</v>
      </c>
      <c r="O64" s="706"/>
    </row>
    <row r="65" spans="1:15" x14ac:dyDescent="0.2">
      <c r="A65" s="161">
        <v>55</v>
      </c>
      <c r="B65" s="52" t="s">
        <v>150</v>
      </c>
      <c r="C65" s="50" t="s">
        <v>151</v>
      </c>
      <c r="D65" s="659">
        <f t="shared" si="2"/>
        <v>60060</v>
      </c>
      <c r="E65" s="659">
        <f t="shared" si="3"/>
        <v>0</v>
      </c>
      <c r="F65" s="659">
        <v>0</v>
      </c>
      <c r="G65" s="659">
        <v>0</v>
      </c>
      <c r="H65" s="659">
        <f t="shared" si="4"/>
        <v>60060</v>
      </c>
      <c r="I65" s="662">
        <v>460</v>
      </c>
      <c r="J65" s="662">
        <v>0</v>
      </c>
      <c r="K65" s="662">
        <v>59600</v>
      </c>
      <c r="L65" s="664">
        <f t="shared" si="5"/>
        <v>0</v>
      </c>
      <c r="M65" s="664">
        <v>0</v>
      </c>
      <c r="N65" s="664">
        <v>0</v>
      </c>
      <c r="O65" s="706"/>
    </row>
    <row r="66" spans="1:15" x14ac:dyDescent="0.2">
      <c r="A66" s="161">
        <v>56</v>
      </c>
      <c r="B66" s="52" t="s">
        <v>154</v>
      </c>
      <c r="C66" s="50" t="s">
        <v>155</v>
      </c>
      <c r="D66" s="659">
        <f t="shared" si="2"/>
        <v>115000</v>
      </c>
      <c r="E66" s="659">
        <f t="shared" si="3"/>
        <v>0</v>
      </c>
      <c r="F66" s="659">
        <v>0</v>
      </c>
      <c r="G66" s="659">
        <v>0</v>
      </c>
      <c r="H66" s="659">
        <f t="shared" si="4"/>
        <v>105652</v>
      </c>
      <c r="I66" s="662">
        <v>2111</v>
      </c>
      <c r="J66" s="662">
        <v>0</v>
      </c>
      <c r="K66" s="662">
        <v>103541</v>
      </c>
      <c r="L66" s="664">
        <f t="shared" si="5"/>
        <v>9348</v>
      </c>
      <c r="M66" s="664">
        <v>7478</v>
      </c>
      <c r="N66" s="664">
        <v>1870</v>
      </c>
      <c r="O66" s="706"/>
    </row>
    <row r="67" spans="1:15" ht="24" x14ac:dyDescent="0.2">
      <c r="A67" s="161">
        <v>57</v>
      </c>
      <c r="B67" s="49" t="s">
        <v>158</v>
      </c>
      <c r="C67" s="50" t="s">
        <v>159</v>
      </c>
      <c r="D67" s="659">
        <f t="shared" si="2"/>
        <v>0</v>
      </c>
      <c r="E67" s="659">
        <f t="shared" si="3"/>
        <v>0</v>
      </c>
      <c r="F67" s="659">
        <v>0</v>
      </c>
      <c r="G67" s="659">
        <v>0</v>
      </c>
      <c r="H67" s="659">
        <f t="shared" si="4"/>
        <v>0</v>
      </c>
      <c r="I67" s="662">
        <v>0</v>
      </c>
      <c r="J67" s="662">
        <v>0</v>
      </c>
      <c r="K67" s="662">
        <v>0</v>
      </c>
      <c r="L67" s="664">
        <f t="shared" si="5"/>
        <v>0</v>
      </c>
      <c r="M67" s="664">
        <v>0</v>
      </c>
      <c r="N67" s="664">
        <v>0</v>
      </c>
      <c r="O67" s="706"/>
    </row>
    <row r="68" spans="1:15" ht="24" x14ac:dyDescent="0.2">
      <c r="A68" s="161">
        <v>58</v>
      </c>
      <c r="B68" s="49" t="s">
        <v>160</v>
      </c>
      <c r="C68" s="50" t="s">
        <v>161</v>
      </c>
      <c r="D68" s="659">
        <f t="shared" si="2"/>
        <v>0</v>
      </c>
      <c r="E68" s="659">
        <f t="shared" si="3"/>
        <v>0</v>
      </c>
      <c r="F68" s="659">
        <v>0</v>
      </c>
      <c r="G68" s="659">
        <v>0</v>
      </c>
      <c r="H68" s="659">
        <f t="shared" si="4"/>
        <v>0</v>
      </c>
      <c r="I68" s="662">
        <v>0</v>
      </c>
      <c r="J68" s="662">
        <v>0</v>
      </c>
      <c r="K68" s="662">
        <v>0</v>
      </c>
      <c r="L68" s="664">
        <f t="shared" si="5"/>
        <v>0</v>
      </c>
      <c r="M68" s="664">
        <v>0</v>
      </c>
      <c r="N68" s="664">
        <v>0</v>
      </c>
      <c r="O68" s="706"/>
    </row>
    <row r="69" spans="1:15" x14ac:dyDescent="0.2">
      <c r="A69" s="161">
        <v>59</v>
      </c>
      <c r="B69" s="52" t="s">
        <v>162</v>
      </c>
      <c r="C69" s="50" t="s">
        <v>163</v>
      </c>
      <c r="D69" s="659">
        <f t="shared" si="2"/>
        <v>15884</v>
      </c>
      <c r="E69" s="659">
        <f t="shared" si="3"/>
        <v>0</v>
      </c>
      <c r="F69" s="659">
        <v>0</v>
      </c>
      <c r="G69" s="659">
        <v>0</v>
      </c>
      <c r="H69" s="659">
        <f t="shared" si="4"/>
        <v>15884</v>
      </c>
      <c r="I69" s="662">
        <v>2250</v>
      </c>
      <c r="J69" s="662">
        <v>0</v>
      </c>
      <c r="K69" s="662">
        <v>13634</v>
      </c>
      <c r="L69" s="664">
        <f t="shared" si="5"/>
        <v>0</v>
      </c>
      <c r="M69" s="664">
        <v>0</v>
      </c>
      <c r="N69" s="664">
        <v>0</v>
      </c>
      <c r="O69" s="706"/>
    </row>
    <row r="70" spans="1:15" x14ac:dyDescent="0.2">
      <c r="A70" s="161">
        <v>60</v>
      </c>
      <c r="B70" s="52" t="s">
        <v>164</v>
      </c>
      <c r="C70" s="50" t="s">
        <v>165</v>
      </c>
      <c r="D70" s="659">
        <f t="shared" si="2"/>
        <v>7892</v>
      </c>
      <c r="E70" s="659">
        <f t="shared" si="3"/>
        <v>0</v>
      </c>
      <c r="F70" s="659">
        <v>0</v>
      </c>
      <c r="G70" s="659">
        <v>0</v>
      </c>
      <c r="H70" s="659">
        <f t="shared" si="4"/>
        <v>7892</v>
      </c>
      <c r="I70" s="662">
        <v>1000</v>
      </c>
      <c r="J70" s="662">
        <v>0</v>
      </c>
      <c r="K70" s="662">
        <v>6892</v>
      </c>
      <c r="L70" s="664">
        <f t="shared" si="5"/>
        <v>0</v>
      </c>
      <c r="M70" s="664">
        <v>0</v>
      </c>
      <c r="N70" s="664">
        <v>0</v>
      </c>
      <c r="O70" s="706"/>
    </row>
    <row r="71" spans="1:15" x14ac:dyDescent="0.2">
      <c r="A71" s="161">
        <v>61</v>
      </c>
      <c r="B71" s="52" t="s">
        <v>166</v>
      </c>
      <c r="C71" s="50" t="s">
        <v>167</v>
      </c>
      <c r="D71" s="659">
        <f t="shared" si="2"/>
        <v>13858</v>
      </c>
      <c r="E71" s="659">
        <f t="shared" si="3"/>
        <v>0</v>
      </c>
      <c r="F71" s="659">
        <v>0</v>
      </c>
      <c r="G71" s="659">
        <v>0</v>
      </c>
      <c r="H71" s="659">
        <f t="shared" si="4"/>
        <v>13858</v>
      </c>
      <c r="I71" s="662">
        <v>8259</v>
      </c>
      <c r="J71" s="662">
        <v>0</v>
      </c>
      <c r="K71" s="662">
        <v>5599</v>
      </c>
      <c r="L71" s="664">
        <f t="shared" si="5"/>
        <v>0</v>
      </c>
      <c r="M71" s="664">
        <v>0</v>
      </c>
      <c r="N71" s="664">
        <v>0</v>
      </c>
      <c r="O71" s="706"/>
    </row>
    <row r="72" spans="1:15" ht="24" x14ac:dyDescent="0.2">
      <c r="A72" s="901">
        <v>62</v>
      </c>
      <c r="B72" s="49" t="s">
        <v>170</v>
      </c>
      <c r="C72" s="57" t="s">
        <v>774</v>
      </c>
      <c r="D72" s="659">
        <f t="shared" si="2"/>
        <v>2746</v>
      </c>
      <c r="E72" s="659">
        <f t="shared" si="3"/>
        <v>0</v>
      </c>
      <c r="F72" s="659">
        <v>0</v>
      </c>
      <c r="G72" s="659">
        <v>0</v>
      </c>
      <c r="H72" s="659">
        <f t="shared" si="4"/>
        <v>2746</v>
      </c>
      <c r="I72" s="662">
        <v>0</v>
      </c>
      <c r="J72" s="662">
        <v>2746</v>
      </c>
      <c r="K72" s="662">
        <v>0</v>
      </c>
      <c r="L72" s="664">
        <f t="shared" si="5"/>
        <v>0</v>
      </c>
      <c r="M72" s="664">
        <v>0</v>
      </c>
      <c r="N72" s="664">
        <v>0</v>
      </c>
      <c r="O72" s="706"/>
    </row>
    <row r="73" spans="1:15" x14ac:dyDescent="0.2">
      <c r="A73" s="902"/>
      <c r="B73" s="52" t="s">
        <v>168</v>
      </c>
      <c r="C73" s="50" t="s">
        <v>169</v>
      </c>
      <c r="D73" s="659">
        <f t="shared" si="2"/>
        <v>361</v>
      </c>
      <c r="E73" s="659">
        <f t="shared" si="3"/>
        <v>0</v>
      </c>
      <c r="F73" s="659">
        <v>0</v>
      </c>
      <c r="G73" s="659">
        <v>0</v>
      </c>
      <c r="H73" s="659">
        <f t="shared" si="4"/>
        <v>361</v>
      </c>
      <c r="I73" s="662">
        <v>0</v>
      </c>
      <c r="J73" s="662">
        <v>361</v>
      </c>
      <c r="K73" s="662">
        <v>0</v>
      </c>
      <c r="L73" s="664">
        <f t="shared" si="5"/>
        <v>0</v>
      </c>
      <c r="M73" s="664">
        <v>0</v>
      </c>
      <c r="N73" s="664">
        <v>0</v>
      </c>
      <c r="O73" s="706"/>
    </row>
    <row r="74" spans="1:15" x14ac:dyDescent="0.2">
      <c r="A74" s="903"/>
      <c r="B74" s="52" t="s">
        <v>174</v>
      </c>
      <c r="C74" s="50" t="s">
        <v>175</v>
      </c>
      <c r="D74" s="659">
        <f t="shared" si="2"/>
        <v>554</v>
      </c>
      <c r="E74" s="659">
        <f t="shared" si="3"/>
        <v>0</v>
      </c>
      <c r="F74" s="659">
        <v>0</v>
      </c>
      <c r="G74" s="659">
        <v>0</v>
      </c>
      <c r="H74" s="659">
        <f t="shared" si="4"/>
        <v>554</v>
      </c>
      <c r="I74" s="662">
        <v>0</v>
      </c>
      <c r="J74" s="662">
        <v>554</v>
      </c>
      <c r="K74" s="662">
        <v>0</v>
      </c>
      <c r="L74" s="664">
        <f t="shared" si="5"/>
        <v>0</v>
      </c>
      <c r="M74" s="664">
        <v>0</v>
      </c>
      <c r="N74" s="664">
        <v>0</v>
      </c>
      <c r="O74" s="706"/>
    </row>
    <row r="75" spans="1:15" ht="24" x14ac:dyDescent="0.2">
      <c r="A75" s="901">
        <v>63</v>
      </c>
      <c r="B75" s="624" t="s">
        <v>176</v>
      </c>
      <c r="C75" s="57" t="s">
        <v>777</v>
      </c>
      <c r="D75" s="659">
        <f t="shared" ref="D75:D141" si="6">E75+H75+L75</f>
        <v>5781</v>
      </c>
      <c r="E75" s="659">
        <f t="shared" ref="E75:E141" si="7">F75+G75</f>
        <v>0</v>
      </c>
      <c r="F75" s="659">
        <v>0</v>
      </c>
      <c r="G75" s="659">
        <v>0</v>
      </c>
      <c r="H75" s="659">
        <f t="shared" ref="H75:H139" si="8">I75+J75+K75</f>
        <v>5781</v>
      </c>
      <c r="I75" s="662">
        <v>0</v>
      </c>
      <c r="J75" s="662">
        <v>5781</v>
      </c>
      <c r="K75" s="662">
        <v>0</v>
      </c>
      <c r="L75" s="664">
        <f t="shared" ref="L75:L141" si="9">M75+N75</f>
        <v>0</v>
      </c>
      <c r="M75" s="664">
        <v>0</v>
      </c>
      <c r="N75" s="664">
        <v>0</v>
      </c>
      <c r="O75" s="706"/>
    </row>
    <row r="76" spans="1:15" x14ac:dyDescent="0.2">
      <c r="A76" s="902"/>
      <c r="B76" s="52" t="s">
        <v>172</v>
      </c>
      <c r="C76" s="50" t="s">
        <v>173</v>
      </c>
      <c r="D76" s="659">
        <f t="shared" si="6"/>
        <v>95</v>
      </c>
      <c r="E76" s="659">
        <v>0</v>
      </c>
      <c r="F76" s="659">
        <v>0</v>
      </c>
      <c r="G76" s="659">
        <v>0</v>
      </c>
      <c r="H76" s="659">
        <f t="shared" si="8"/>
        <v>95</v>
      </c>
      <c r="I76" s="662">
        <v>0</v>
      </c>
      <c r="J76" s="662">
        <v>95</v>
      </c>
      <c r="K76" s="662">
        <v>0</v>
      </c>
      <c r="L76" s="664">
        <v>0</v>
      </c>
      <c r="M76" s="664">
        <v>0</v>
      </c>
      <c r="N76" s="664">
        <v>0</v>
      </c>
      <c r="O76" s="706"/>
    </row>
    <row r="77" spans="1:15" x14ac:dyDescent="0.2">
      <c r="A77" s="902"/>
      <c r="B77" s="49" t="s">
        <v>178</v>
      </c>
      <c r="C77" s="50" t="s">
        <v>179</v>
      </c>
      <c r="D77" s="659">
        <f t="shared" si="6"/>
        <v>214</v>
      </c>
      <c r="E77" s="659">
        <f t="shared" si="7"/>
        <v>0</v>
      </c>
      <c r="F77" s="659">
        <v>0</v>
      </c>
      <c r="G77" s="659">
        <v>0</v>
      </c>
      <c r="H77" s="659">
        <f t="shared" si="8"/>
        <v>214</v>
      </c>
      <c r="I77" s="662">
        <v>0</v>
      </c>
      <c r="J77" s="662">
        <v>214</v>
      </c>
      <c r="K77" s="662">
        <v>0</v>
      </c>
      <c r="L77" s="664">
        <f t="shared" si="9"/>
        <v>0</v>
      </c>
      <c r="M77" s="664">
        <v>0</v>
      </c>
      <c r="N77" s="664">
        <v>0</v>
      </c>
      <c r="O77" s="706"/>
    </row>
    <row r="78" spans="1:15" x14ac:dyDescent="0.2">
      <c r="A78" s="903"/>
      <c r="B78" s="49" t="s">
        <v>180</v>
      </c>
      <c r="C78" s="50" t="s">
        <v>181</v>
      </c>
      <c r="D78" s="659">
        <f t="shared" si="6"/>
        <v>1125</v>
      </c>
      <c r="E78" s="659">
        <f t="shared" si="7"/>
        <v>0</v>
      </c>
      <c r="F78" s="659">
        <v>0</v>
      </c>
      <c r="G78" s="659">
        <v>0</v>
      </c>
      <c r="H78" s="659">
        <f t="shared" si="8"/>
        <v>1125</v>
      </c>
      <c r="I78" s="662">
        <v>0</v>
      </c>
      <c r="J78" s="662">
        <v>1125</v>
      </c>
      <c r="K78" s="662">
        <v>0</v>
      </c>
      <c r="L78" s="664">
        <f t="shared" si="9"/>
        <v>0</v>
      </c>
      <c r="M78" s="664">
        <v>0</v>
      </c>
      <c r="N78" s="664">
        <v>0</v>
      </c>
      <c r="O78" s="706"/>
    </row>
    <row r="79" spans="1:15" x14ac:dyDescent="0.2">
      <c r="A79" s="161">
        <v>64</v>
      </c>
      <c r="B79" s="167" t="s">
        <v>182</v>
      </c>
      <c r="C79" s="50" t="s">
        <v>183</v>
      </c>
      <c r="D79" s="659">
        <f t="shared" si="6"/>
        <v>65688</v>
      </c>
      <c r="E79" s="659">
        <f t="shared" si="7"/>
        <v>0</v>
      </c>
      <c r="F79" s="659">
        <v>0</v>
      </c>
      <c r="G79" s="659">
        <v>0</v>
      </c>
      <c r="H79" s="659">
        <f t="shared" si="8"/>
        <v>65688</v>
      </c>
      <c r="I79" s="662">
        <v>8500</v>
      </c>
      <c r="J79" s="662">
        <v>4936</v>
      </c>
      <c r="K79" s="662">
        <v>52252</v>
      </c>
      <c r="L79" s="664">
        <f t="shared" si="9"/>
        <v>0</v>
      </c>
      <c r="M79" s="664">
        <v>0</v>
      </c>
      <c r="N79" s="664">
        <v>0</v>
      </c>
      <c r="O79" s="706"/>
    </row>
    <row r="80" spans="1:15" x14ac:dyDescent="0.2">
      <c r="A80" s="161">
        <v>65</v>
      </c>
      <c r="B80" s="49" t="s">
        <v>184</v>
      </c>
      <c r="C80" s="50" t="s">
        <v>185</v>
      </c>
      <c r="D80" s="659">
        <f t="shared" si="6"/>
        <v>30752</v>
      </c>
      <c r="E80" s="659">
        <f t="shared" si="7"/>
        <v>0</v>
      </c>
      <c r="F80" s="659">
        <v>0</v>
      </c>
      <c r="G80" s="659">
        <v>0</v>
      </c>
      <c r="H80" s="659">
        <f t="shared" si="8"/>
        <v>30752</v>
      </c>
      <c r="I80" s="662">
        <v>8780</v>
      </c>
      <c r="J80" s="662">
        <v>0</v>
      </c>
      <c r="K80" s="662">
        <v>21972</v>
      </c>
      <c r="L80" s="664">
        <f t="shared" si="9"/>
        <v>0</v>
      </c>
      <c r="M80" s="664">
        <v>0</v>
      </c>
      <c r="N80" s="664">
        <v>0</v>
      </c>
      <c r="O80" s="706"/>
    </row>
    <row r="81" spans="1:15" x14ac:dyDescent="0.2">
      <c r="A81" s="161">
        <v>66</v>
      </c>
      <c r="B81" s="167" t="s">
        <v>186</v>
      </c>
      <c r="C81" s="50" t="s">
        <v>187</v>
      </c>
      <c r="D81" s="659">
        <f t="shared" si="6"/>
        <v>12889</v>
      </c>
      <c r="E81" s="659">
        <f t="shared" si="7"/>
        <v>0</v>
      </c>
      <c r="F81" s="659">
        <v>0</v>
      </c>
      <c r="G81" s="659">
        <v>0</v>
      </c>
      <c r="H81" s="659">
        <f t="shared" si="8"/>
        <v>12889</v>
      </c>
      <c r="I81" s="662">
        <v>1000</v>
      </c>
      <c r="J81" s="662">
        <v>2894</v>
      </c>
      <c r="K81" s="662">
        <v>8995</v>
      </c>
      <c r="L81" s="664">
        <f t="shared" si="9"/>
        <v>0</v>
      </c>
      <c r="M81" s="664">
        <v>0</v>
      </c>
      <c r="N81" s="664">
        <v>0</v>
      </c>
      <c r="O81" s="706"/>
    </row>
    <row r="82" spans="1:15" x14ac:dyDescent="0.2">
      <c r="A82" s="901">
        <v>67</v>
      </c>
      <c r="B82" s="624" t="s">
        <v>188</v>
      </c>
      <c r="C82" s="57" t="s">
        <v>785</v>
      </c>
      <c r="D82" s="659">
        <f t="shared" si="6"/>
        <v>57273</v>
      </c>
      <c r="E82" s="659">
        <f t="shared" si="7"/>
        <v>0</v>
      </c>
      <c r="F82" s="659">
        <v>0</v>
      </c>
      <c r="G82" s="659">
        <v>0</v>
      </c>
      <c r="H82" s="659">
        <f t="shared" si="8"/>
        <v>51374</v>
      </c>
      <c r="I82" s="662">
        <v>2012</v>
      </c>
      <c r="J82" s="662">
        <v>2458</v>
      </c>
      <c r="K82" s="662">
        <v>46904</v>
      </c>
      <c r="L82" s="664">
        <f t="shared" si="9"/>
        <v>5899</v>
      </c>
      <c r="M82" s="664">
        <v>4719</v>
      </c>
      <c r="N82" s="664">
        <v>1180</v>
      </c>
      <c r="O82" s="706"/>
    </row>
    <row r="83" spans="1:15" x14ac:dyDescent="0.2">
      <c r="A83" s="903"/>
      <c r="B83" s="167" t="s">
        <v>156</v>
      </c>
      <c r="C83" s="50" t="s">
        <v>157</v>
      </c>
      <c r="D83" s="659">
        <f t="shared" si="6"/>
        <v>16425</v>
      </c>
      <c r="E83" s="659">
        <f t="shared" si="7"/>
        <v>0</v>
      </c>
      <c r="F83" s="659">
        <v>0</v>
      </c>
      <c r="G83" s="659">
        <v>0</v>
      </c>
      <c r="H83" s="659">
        <f t="shared" si="8"/>
        <v>14814</v>
      </c>
      <c r="I83" s="662">
        <v>447</v>
      </c>
      <c r="J83" s="662">
        <v>444</v>
      </c>
      <c r="K83" s="662">
        <v>13923</v>
      </c>
      <c r="L83" s="664">
        <f t="shared" si="9"/>
        <v>1611</v>
      </c>
      <c r="M83" s="664">
        <v>1557</v>
      </c>
      <c r="N83" s="664">
        <v>54</v>
      </c>
      <c r="O83" s="706"/>
    </row>
    <row r="84" spans="1:15" x14ac:dyDescent="0.2">
      <c r="A84" s="161">
        <v>68</v>
      </c>
      <c r="B84" s="49" t="s">
        <v>190</v>
      </c>
      <c r="C84" s="50" t="s">
        <v>191</v>
      </c>
      <c r="D84" s="659">
        <f t="shared" si="6"/>
        <v>41860</v>
      </c>
      <c r="E84" s="659">
        <f t="shared" si="7"/>
        <v>0</v>
      </c>
      <c r="F84" s="659">
        <v>0</v>
      </c>
      <c r="G84" s="659">
        <v>0</v>
      </c>
      <c r="H84" s="659">
        <f t="shared" si="8"/>
        <v>41860</v>
      </c>
      <c r="I84" s="662">
        <v>10000</v>
      </c>
      <c r="J84" s="662">
        <v>0</v>
      </c>
      <c r="K84" s="662">
        <v>31860</v>
      </c>
      <c r="L84" s="664">
        <f t="shared" si="9"/>
        <v>0</v>
      </c>
      <c r="M84" s="664">
        <v>0</v>
      </c>
      <c r="N84" s="664">
        <v>0</v>
      </c>
      <c r="O84" s="706"/>
    </row>
    <row r="85" spans="1:15" x14ac:dyDescent="0.2">
      <c r="A85" s="901">
        <v>69</v>
      </c>
      <c r="B85" s="624" t="s">
        <v>192</v>
      </c>
      <c r="C85" s="57" t="s">
        <v>776</v>
      </c>
      <c r="D85" s="659">
        <f t="shared" si="6"/>
        <v>126798</v>
      </c>
      <c r="E85" s="659">
        <f t="shared" si="7"/>
        <v>0</v>
      </c>
      <c r="F85" s="659">
        <v>0</v>
      </c>
      <c r="G85" s="659">
        <v>0</v>
      </c>
      <c r="H85" s="659">
        <f t="shared" si="8"/>
        <v>120083</v>
      </c>
      <c r="I85" s="662">
        <v>2060</v>
      </c>
      <c r="J85" s="662">
        <v>507</v>
      </c>
      <c r="K85" s="662">
        <v>117516</v>
      </c>
      <c r="L85" s="664">
        <f t="shared" si="9"/>
        <v>6715</v>
      </c>
      <c r="M85" s="664">
        <v>5372</v>
      </c>
      <c r="N85" s="664">
        <v>1343</v>
      </c>
      <c r="O85" s="706"/>
    </row>
    <row r="86" spans="1:15" x14ac:dyDescent="0.2">
      <c r="A86" s="903"/>
      <c r="B86" s="49" t="s">
        <v>152</v>
      </c>
      <c r="C86" s="50" t="s">
        <v>153</v>
      </c>
      <c r="D86" s="659">
        <f t="shared" si="6"/>
        <v>21599</v>
      </c>
      <c r="E86" s="659"/>
      <c r="F86" s="659"/>
      <c r="G86" s="659"/>
      <c r="H86" s="659">
        <f t="shared" si="8"/>
        <v>21599</v>
      </c>
      <c r="I86" s="662">
        <v>200</v>
      </c>
      <c r="J86" s="662">
        <v>169</v>
      </c>
      <c r="K86" s="662">
        <v>21230</v>
      </c>
      <c r="L86" s="664">
        <f t="shared" si="9"/>
        <v>0</v>
      </c>
      <c r="M86" s="664"/>
      <c r="N86" s="664"/>
      <c r="O86" s="706"/>
    </row>
    <row r="87" spans="1:15" x14ac:dyDescent="0.2">
      <c r="A87" s="161">
        <v>70</v>
      </c>
      <c r="B87" s="49" t="s">
        <v>194</v>
      </c>
      <c r="C87" s="50" t="s">
        <v>195</v>
      </c>
      <c r="D87" s="659">
        <f t="shared" si="6"/>
        <v>25697</v>
      </c>
      <c r="E87" s="659">
        <f t="shared" si="7"/>
        <v>0</v>
      </c>
      <c r="F87" s="659">
        <v>0</v>
      </c>
      <c r="G87" s="659">
        <v>0</v>
      </c>
      <c r="H87" s="659">
        <f t="shared" si="8"/>
        <v>25697</v>
      </c>
      <c r="I87" s="662">
        <v>6427</v>
      </c>
      <c r="J87" s="662">
        <v>538</v>
      </c>
      <c r="K87" s="662">
        <v>18732</v>
      </c>
      <c r="L87" s="664">
        <f t="shared" si="9"/>
        <v>0</v>
      </c>
      <c r="M87" s="664">
        <v>0</v>
      </c>
      <c r="N87" s="664">
        <v>0</v>
      </c>
      <c r="O87" s="706"/>
    </row>
    <row r="88" spans="1:15" x14ac:dyDescent="0.2">
      <c r="A88" s="161">
        <v>71</v>
      </c>
      <c r="B88" s="49" t="s">
        <v>196</v>
      </c>
      <c r="C88" s="50" t="s">
        <v>197</v>
      </c>
      <c r="D88" s="659">
        <f t="shared" si="6"/>
        <v>32748</v>
      </c>
      <c r="E88" s="659">
        <f t="shared" si="7"/>
        <v>32748</v>
      </c>
      <c r="F88" s="659">
        <v>2300</v>
      </c>
      <c r="G88" s="659">
        <v>30448</v>
      </c>
      <c r="H88" s="659">
        <f t="shared" si="8"/>
        <v>0</v>
      </c>
      <c r="I88" s="662">
        <v>0</v>
      </c>
      <c r="J88" s="662">
        <v>0</v>
      </c>
      <c r="K88" s="662">
        <v>0</v>
      </c>
      <c r="L88" s="664">
        <f t="shared" si="9"/>
        <v>0</v>
      </c>
      <c r="M88" s="664">
        <v>0</v>
      </c>
      <c r="N88" s="664">
        <v>0</v>
      </c>
      <c r="O88" s="706"/>
    </row>
    <row r="89" spans="1:15" x14ac:dyDescent="0.2">
      <c r="A89" s="161">
        <v>72</v>
      </c>
      <c r="B89" s="52" t="s">
        <v>30</v>
      </c>
      <c r="C89" s="50" t="s">
        <v>198</v>
      </c>
      <c r="D89" s="659">
        <f t="shared" si="6"/>
        <v>0</v>
      </c>
      <c r="E89" s="659">
        <f t="shared" si="7"/>
        <v>0</v>
      </c>
      <c r="F89" s="659">
        <v>0</v>
      </c>
      <c r="G89" s="659">
        <v>0</v>
      </c>
      <c r="H89" s="659">
        <f t="shared" si="8"/>
        <v>0</v>
      </c>
      <c r="I89" s="662">
        <v>0</v>
      </c>
      <c r="J89" s="662">
        <v>0</v>
      </c>
      <c r="K89" s="662">
        <v>0</v>
      </c>
      <c r="L89" s="664">
        <f t="shared" si="9"/>
        <v>0</v>
      </c>
      <c r="M89" s="664">
        <v>0</v>
      </c>
      <c r="N89" s="664">
        <v>0</v>
      </c>
      <c r="O89" s="706"/>
    </row>
    <row r="90" spans="1:15" ht="25.5" customHeight="1" x14ac:dyDescent="0.2">
      <c r="A90" s="921">
        <v>73</v>
      </c>
      <c r="B90" s="904" t="s">
        <v>199</v>
      </c>
      <c r="C90" s="57" t="s">
        <v>200</v>
      </c>
      <c r="D90" s="659">
        <f t="shared" si="6"/>
        <v>905</v>
      </c>
      <c r="E90" s="659">
        <f t="shared" si="7"/>
        <v>0</v>
      </c>
      <c r="F90" s="659">
        <v>0</v>
      </c>
      <c r="G90" s="659">
        <v>0</v>
      </c>
      <c r="H90" s="659">
        <f t="shared" si="8"/>
        <v>905</v>
      </c>
      <c r="I90" s="662">
        <v>0</v>
      </c>
      <c r="J90" s="662">
        <v>0</v>
      </c>
      <c r="K90" s="662">
        <v>905</v>
      </c>
      <c r="L90" s="664">
        <f t="shared" si="9"/>
        <v>0</v>
      </c>
      <c r="M90" s="664">
        <v>0</v>
      </c>
      <c r="N90" s="664">
        <v>0</v>
      </c>
      <c r="O90" s="706"/>
    </row>
    <row r="91" spans="1:15" ht="33.75" customHeight="1" x14ac:dyDescent="0.2">
      <c r="A91" s="922"/>
      <c r="B91" s="905"/>
      <c r="C91" s="50" t="s">
        <v>201</v>
      </c>
      <c r="D91" s="659">
        <f t="shared" si="6"/>
        <v>905</v>
      </c>
      <c r="E91" s="659">
        <f t="shared" si="7"/>
        <v>0</v>
      </c>
      <c r="F91" s="659">
        <v>0</v>
      </c>
      <c r="G91" s="659">
        <v>0</v>
      </c>
      <c r="H91" s="659">
        <f t="shared" si="8"/>
        <v>905</v>
      </c>
      <c r="I91" s="662">
        <v>0</v>
      </c>
      <c r="J91" s="662">
        <v>0</v>
      </c>
      <c r="K91" s="662">
        <v>905</v>
      </c>
      <c r="L91" s="664">
        <f t="shared" si="9"/>
        <v>0</v>
      </c>
      <c r="M91" s="664">
        <v>0</v>
      </c>
      <c r="N91" s="664">
        <v>0</v>
      </c>
      <c r="O91" s="706"/>
    </row>
    <row r="92" spans="1:15" ht="24" x14ac:dyDescent="0.2">
      <c r="A92" s="922"/>
      <c r="B92" s="905"/>
      <c r="C92" s="50" t="s">
        <v>202</v>
      </c>
      <c r="D92" s="659">
        <f t="shared" si="6"/>
        <v>0</v>
      </c>
      <c r="E92" s="659">
        <f t="shared" si="7"/>
        <v>0</v>
      </c>
      <c r="F92" s="659">
        <v>0</v>
      </c>
      <c r="G92" s="659">
        <v>0</v>
      </c>
      <c r="H92" s="659">
        <f t="shared" si="8"/>
        <v>0</v>
      </c>
      <c r="I92" s="662">
        <v>0</v>
      </c>
      <c r="J92" s="662">
        <v>0</v>
      </c>
      <c r="K92" s="662">
        <v>0</v>
      </c>
      <c r="L92" s="664">
        <f t="shared" si="9"/>
        <v>0</v>
      </c>
      <c r="M92" s="664">
        <v>0</v>
      </c>
      <c r="N92" s="664">
        <v>0</v>
      </c>
      <c r="O92" s="706"/>
    </row>
    <row r="93" spans="1:15" ht="36" x14ac:dyDescent="0.2">
      <c r="A93" s="923"/>
      <c r="B93" s="906"/>
      <c r="C93" s="58" t="s">
        <v>203</v>
      </c>
      <c r="D93" s="659">
        <f t="shared" si="6"/>
        <v>0</v>
      </c>
      <c r="E93" s="659">
        <f t="shared" si="7"/>
        <v>0</v>
      </c>
      <c r="F93" s="659">
        <v>0</v>
      </c>
      <c r="G93" s="659">
        <v>0</v>
      </c>
      <c r="H93" s="659">
        <v>0</v>
      </c>
      <c r="I93" s="662">
        <v>0</v>
      </c>
      <c r="J93" s="662">
        <v>0</v>
      </c>
      <c r="K93" s="662">
        <v>0</v>
      </c>
      <c r="L93" s="664">
        <f t="shared" si="9"/>
        <v>0</v>
      </c>
      <c r="M93" s="664">
        <v>0</v>
      </c>
      <c r="N93" s="664">
        <v>0</v>
      </c>
      <c r="O93" s="706"/>
    </row>
    <row r="94" spans="1:15" ht="24" x14ac:dyDescent="0.2">
      <c r="A94" s="161">
        <v>74</v>
      </c>
      <c r="B94" s="52" t="s">
        <v>204</v>
      </c>
      <c r="C94" s="50" t="s">
        <v>205</v>
      </c>
      <c r="D94" s="659">
        <f t="shared" si="6"/>
        <v>0</v>
      </c>
      <c r="E94" s="659">
        <f t="shared" si="7"/>
        <v>0</v>
      </c>
      <c r="F94" s="659">
        <v>0</v>
      </c>
      <c r="G94" s="659">
        <v>0</v>
      </c>
      <c r="H94" s="659">
        <f t="shared" si="8"/>
        <v>0</v>
      </c>
      <c r="I94" s="662">
        <v>0</v>
      </c>
      <c r="J94" s="662">
        <v>0</v>
      </c>
      <c r="K94" s="662">
        <v>0</v>
      </c>
      <c r="L94" s="664">
        <f t="shared" si="9"/>
        <v>0</v>
      </c>
      <c r="M94" s="664">
        <v>0</v>
      </c>
      <c r="N94" s="664">
        <v>0</v>
      </c>
      <c r="O94" s="706"/>
    </row>
    <row r="95" spans="1:15" x14ac:dyDescent="0.2">
      <c r="A95" s="161">
        <v>75</v>
      </c>
      <c r="B95" s="52" t="s">
        <v>206</v>
      </c>
      <c r="C95" s="50" t="s">
        <v>207</v>
      </c>
      <c r="D95" s="659">
        <f t="shared" si="6"/>
        <v>1987</v>
      </c>
      <c r="E95" s="659">
        <f t="shared" si="7"/>
        <v>0</v>
      </c>
      <c r="F95" s="659">
        <v>0</v>
      </c>
      <c r="G95" s="659">
        <v>0</v>
      </c>
      <c r="H95" s="659">
        <f t="shared" si="8"/>
        <v>1987</v>
      </c>
      <c r="I95" s="662">
        <v>100</v>
      </c>
      <c r="J95" s="662">
        <v>128</v>
      </c>
      <c r="K95" s="662">
        <v>1759</v>
      </c>
      <c r="L95" s="664">
        <f t="shared" si="9"/>
        <v>0</v>
      </c>
      <c r="M95" s="664">
        <v>0</v>
      </c>
      <c r="N95" s="664">
        <v>0</v>
      </c>
      <c r="O95" s="706"/>
    </row>
    <row r="96" spans="1:15" x14ac:dyDescent="0.2">
      <c r="A96" s="161">
        <v>76</v>
      </c>
      <c r="B96" s="167" t="s">
        <v>208</v>
      </c>
      <c r="C96" s="50" t="s">
        <v>209</v>
      </c>
      <c r="D96" s="659">
        <f t="shared" si="6"/>
        <v>3571</v>
      </c>
      <c r="E96" s="659">
        <f t="shared" si="7"/>
        <v>0</v>
      </c>
      <c r="F96" s="659">
        <v>0</v>
      </c>
      <c r="G96" s="659">
        <v>0</v>
      </c>
      <c r="H96" s="659">
        <f t="shared" si="8"/>
        <v>3571</v>
      </c>
      <c r="I96" s="662">
        <v>460</v>
      </c>
      <c r="J96" s="662">
        <v>816</v>
      </c>
      <c r="K96" s="662">
        <v>2295</v>
      </c>
      <c r="L96" s="664">
        <f t="shared" si="9"/>
        <v>0</v>
      </c>
      <c r="M96" s="664">
        <v>0</v>
      </c>
      <c r="N96" s="664">
        <v>0</v>
      </c>
      <c r="O96" s="706"/>
    </row>
    <row r="97" spans="1:15" x14ac:dyDescent="0.2">
      <c r="A97" s="161">
        <v>77</v>
      </c>
      <c r="B97" s="52" t="s">
        <v>210</v>
      </c>
      <c r="C97" s="50" t="s">
        <v>211</v>
      </c>
      <c r="D97" s="659">
        <f t="shared" si="6"/>
        <v>6597</v>
      </c>
      <c r="E97" s="659">
        <f t="shared" si="7"/>
        <v>0</v>
      </c>
      <c r="F97" s="659">
        <v>0</v>
      </c>
      <c r="G97" s="659">
        <v>0</v>
      </c>
      <c r="H97" s="659">
        <f t="shared" si="8"/>
        <v>6597</v>
      </c>
      <c r="I97" s="662">
        <v>150</v>
      </c>
      <c r="J97" s="662">
        <v>985</v>
      </c>
      <c r="K97" s="662">
        <v>5462</v>
      </c>
      <c r="L97" s="664">
        <f t="shared" si="9"/>
        <v>0</v>
      </c>
      <c r="M97" s="664">
        <v>0</v>
      </c>
      <c r="N97" s="664">
        <v>0</v>
      </c>
      <c r="O97" s="706"/>
    </row>
    <row r="98" spans="1:15" x14ac:dyDescent="0.2">
      <c r="A98" s="161">
        <v>78</v>
      </c>
      <c r="B98" s="167" t="s">
        <v>212</v>
      </c>
      <c r="C98" s="50" t="s">
        <v>213</v>
      </c>
      <c r="D98" s="659">
        <f t="shared" si="6"/>
        <v>8088</v>
      </c>
      <c r="E98" s="659">
        <f t="shared" si="7"/>
        <v>0</v>
      </c>
      <c r="F98" s="659">
        <v>0</v>
      </c>
      <c r="G98" s="659">
        <v>0</v>
      </c>
      <c r="H98" s="659">
        <f t="shared" si="8"/>
        <v>8088</v>
      </c>
      <c r="I98" s="662">
        <v>0</v>
      </c>
      <c r="J98" s="662">
        <v>311</v>
      </c>
      <c r="K98" s="662">
        <v>7777</v>
      </c>
      <c r="L98" s="664">
        <f t="shared" si="9"/>
        <v>0</v>
      </c>
      <c r="M98" s="664">
        <v>0</v>
      </c>
      <c r="N98" s="664">
        <v>0</v>
      </c>
      <c r="O98" s="706"/>
    </row>
    <row r="99" spans="1:15" x14ac:dyDescent="0.2">
      <c r="A99" s="161">
        <v>79</v>
      </c>
      <c r="B99" s="167" t="s">
        <v>214</v>
      </c>
      <c r="C99" s="50" t="s">
        <v>215</v>
      </c>
      <c r="D99" s="659">
        <f t="shared" si="6"/>
        <v>29616</v>
      </c>
      <c r="E99" s="659">
        <f t="shared" si="7"/>
        <v>0</v>
      </c>
      <c r="F99" s="659">
        <v>0</v>
      </c>
      <c r="G99" s="659">
        <v>0</v>
      </c>
      <c r="H99" s="659">
        <f t="shared" si="8"/>
        <v>29616</v>
      </c>
      <c r="I99" s="662">
        <v>2000</v>
      </c>
      <c r="J99" s="662">
        <v>1810</v>
      </c>
      <c r="K99" s="662">
        <v>25806</v>
      </c>
      <c r="L99" s="664">
        <f t="shared" si="9"/>
        <v>0</v>
      </c>
      <c r="M99" s="664">
        <v>0</v>
      </c>
      <c r="N99" s="664">
        <v>0</v>
      </c>
      <c r="O99" s="706"/>
    </row>
    <row r="100" spans="1:15" x14ac:dyDescent="0.2">
      <c r="A100" s="161">
        <v>80</v>
      </c>
      <c r="B100" s="52" t="s">
        <v>216</v>
      </c>
      <c r="C100" s="50" t="s">
        <v>217</v>
      </c>
      <c r="D100" s="659">
        <f t="shared" si="6"/>
        <v>8356</v>
      </c>
      <c r="E100" s="659">
        <f t="shared" si="7"/>
        <v>0</v>
      </c>
      <c r="F100" s="659">
        <v>0</v>
      </c>
      <c r="G100" s="659">
        <v>0</v>
      </c>
      <c r="H100" s="659">
        <f t="shared" si="8"/>
        <v>8356</v>
      </c>
      <c r="I100" s="662">
        <v>1333</v>
      </c>
      <c r="J100" s="662">
        <v>1346</v>
      </c>
      <c r="K100" s="662">
        <v>5677</v>
      </c>
      <c r="L100" s="664">
        <f t="shared" si="9"/>
        <v>0</v>
      </c>
      <c r="M100" s="664">
        <v>0</v>
      </c>
      <c r="N100" s="664">
        <v>0</v>
      </c>
      <c r="O100" s="706"/>
    </row>
    <row r="101" spans="1:15" x14ac:dyDescent="0.2">
      <c r="A101" s="161">
        <v>81</v>
      </c>
      <c r="B101" s="49" t="s">
        <v>218</v>
      </c>
      <c r="C101" s="50" t="s">
        <v>219</v>
      </c>
      <c r="D101" s="659">
        <f t="shared" si="6"/>
        <v>40042</v>
      </c>
      <c r="E101" s="659">
        <f t="shared" si="7"/>
        <v>0</v>
      </c>
      <c r="F101" s="659">
        <v>0</v>
      </c>
      <c r="G101" s="659">
        <v>0</v>
      </c>
      <c r="H101" s="659">
        <f t="shared" si="8"/>
        <v>40042</v>
      </c>
      <c r="I101" s="662">
        <v>721</v>
      </c>
      <c r="J101" s="662">
        <v>2536</v>
      </c>
      <c r="K101" s="662">
        <v>36785</v>
      </c>
      <c r="L101" s="664">
        <f t="shared" si="9"/>
        <v>0</v>
      </c>
      <c r="M101" s="664">
        <v>0</v>
      </c>
      <c r="N101" s="664">
        <v>0</v>
      </c>
      <c r="O101" s="706"/>
    </row>
    <row r="102" spans="1:15" x14ac:dyDescent="0.2">
      <c r="A102" s="161">
        <v>82</v>
      </c>
      <c r="B102" s="49" t="s">
        <v>220</v>
      </c>
      <c r="C102" s="50" t="s">
        <v>221</v>
      </c>
      <c r="D102" s="659">
        <f t="shared" si="6"/>
        <v>23305</v>
      </c>
      <c r="E102" s="659">
        <f t="shared" si="7"/>
        <v>0</v>
      </c>
      <c r="F102" s="659">
        <v>0</v>
      </c>
      <c r="G102" s="659">
        <v>0</v>
      </c>
      <c r="H102" s="659">
        <f t="shared" si="8"/>
        <v>23305</v>
      </c>
      <c r="I102" s="662">
        <v>2540</v>
      </c>
      <c r="J102" s="662">
        <v>716</v>
      </c>
      <c r="K102" s="662">
        <v>20049</v>
      </c>
      <c r="L102" s="664">
        <f t="shared" si="9"/>
        <v>0</v>
      </c>
      <c r="M102" s="664">
        <v>0</v>
      </c>
      <c r="N102" s="664">
        <v>0</v>
      </c>
      <c r="O102" s="706"/>
    </row>
    <row r="103" spans="1:15" x14ac:dyDescent="0.2">
      <c r="A103" s="161">
        <v>83</v>
      </c>
      <c r="B103" s="167" t="s">
        <v>222</v>
      </c>
      <c r="C103" s="50" t="s">
        <v>223</v>
      </c>
      <c r="D103" s="659">
        <f t="shared" si="6"/>
        <v>5555</v>
      </c>
      <c r="E103" s="659">
        <f t="shared" si="7"/>
        <v>0</v>
      </c>
      <c r="F103" s="659">
        <v>0</v>
      </c>
      <c r="G103" s="659">
        <v>0</v>
      </c>
      <c r="H103" s="659">
        <f t="shared" si="8"/>
        <v>5555</v>
      </c>
      <c r="I103" s="662">
        <v>800</v>
      </c>
      <c r="J103" s="662">
        <v>124</v>
      </c>
      <c r="K103" s="662">
        <v>4631</v>
      </c>
      <c r="L103" s="664">
        <f t="shared" si="9"/>
        <v>0</v>
      </c>
      <c r="M103" s="664">
        <v>0</v>
      </c>
      <c r="N103" s="664">
        <v>0</v>
      </c>
      <c r="O103" s="706"/>
    </row>
    <row r="104" spans="1:15" x14ac:dyDescent="0.2">
      <c r="A104" s="161">
        <v>84</v>
      </c>
      <c r="B104" s="49" t="s">
        <v>224</v>
      </c>
      <c r="C104" s="50" t="s">
        <v>225</v>
      </c>
      <c r="D104" s="659">
        <f t="shared" si="6"/>
        <v>10593</v>
      </c>
      <c r="E104" s="659">
        <f t="shared" si="7"/>
        <v>0</v>
      </c>
      <c r="F104" s="659">
        <v>0</v>
      </c>
      <c r="G104" s="659">
        <v>0</v>
      </c>
      <c r="H104" s="659">
        <f t="shared" si="8"/>
        <v>10593</v>
      </c>
      <c r="I104" s="662">
        <v>840</v>
      </c>
      <c r="J104" s="662">
        <v>1030</v>
      </c>
      <c r="K104" s="662">
        <v>8723</v>
      </c>
      <c r="L104" s="664">
        <f t="shared" si="9"/>
        <v>0</v>
      </c>
      <c r="M104" s="664">
        <v>0</v>
      </c>
      <c r="N104" s="664">
        <v>0</v>
      </c>
      <c r="O104" s="706"/>
    </row>
    <row r="105" spans="1:15" x14ac:dyDescent="0.2">
      <c r="A105" s="161">
        <v>85</v>
      </c>
      <c r="B105" s="49" t="s">
        <v>226</v>
      </c>
      <c r="C105" s="50" t="s">
        <v>227</v>
      </c>
      <c r="D105" s="659">
        <f t="shared" si="6"/>
        <v>8829</v>
      </c>
      <c r="E105" s="659">
        <f t="shared" si="7"/>
        <v>0</v>
      </c>
      <c r="F105" s="659">
        <v>0</v>
      </c>
      <c r="G105" s="659">
        <v>0</v>
      </c>
      <c r="H105" s="659">
        <f t="shared" si="8"/>
        <v>8829</v>
      </c>
      <c r="I105" s="662">
        <v>720</v>
      </c>
      <c r="J105" s="662">
        <v>686</v>
      </c>
      <c r="K105" s="662">
        <v>7423</v>
      </c>
      <c r="L105" s="664">
        <f t="shared" si="9"/>
        <v>0</v>
      </c>
      <c r="M105" s="664">
        <v>0</v>
      </c>
      <c r="N105" s="664">
        <v>0</v>
      </c>
      <c r="O105" s="706"/>
    </row>
    <row r="106" spans="1:15" x14ac:dyDescent="0.2">
      <c r="A106" s="161">
        <v>86</v>
      </c>
      <c r="B106" s="52" t="s">
        <v>32</v>
      </c>
      <c r="C106" s="50" t="s">
        <v>33</v>
      </c>
      <c r="D106" s="659">
        <f t="shared" si="6"/>
        <v>20917</v>
      </c>
      <c r="E106" s="659">
        <f t="shared" si="7"/>
        <v>0</v>
      </c>
      <c r="F106" s="659">
        <v>0</v>
      </c>
      <c r="G106" s="659">
        <v>0</v>
      </c>
      <c r="H106" s="659">
        <f t="shared" si="8"/>
        <v>19509</v>
      </c>
      <c r="I106" s="662">
        <v>2345</v>
      </c>
      <c r="J106" s="662">
        <v>187</v>
      </c>
      <c r="K106" s="662">
        <v>16977</v>
      </c>
      <c r="L106" s="664">
        <f t="shared" si="9"/>
        <v>1408</v>
      </c>
      <c r="M106" s="664">
        <v>1126</v>
      </c>
      <c r="N106" s="664">
        <v>282</v>
      </c>
      <c r="O106" s="706"/>
    </row>
    <row r="107" spans="1:15" x14ac:dyDescent="0.2">
      <c r="A107" s="161">
        <v>87</v>
      </c>
      <c r="B107" s="167" t="s">
        <v>228</v>
      </c>
      <c r="C107" s="50" t="s">
        <v>229</v>
      </c>
      <c r="D107" s="659">
        <f t="shared" si="6"/>
        <v>11082</v>
      </c>
      <c r="E107" s="659">
        <f t="shared" si="7"/>
        <v>0</v>
      </c>
      <c r="F107" s="659">
        <v>0</v>
      </c>
      <c r="G107" s="659">
        <v>0</v>
      </c>
      <c r="H107" s="659">
        <f t="shared" si="8"/>
        <v>11082</v>
      </c>
      <c r="I107" s="662">
        <v>1110</v>
      </c>
      <c r="J107" s="662">
        <v>296</v>
      </c>
      <c r="K107" s="662">
        <v>9676</v>
      </c>
      <c r="L107" s="664">
        <f t="shared" si="9"/>
        <v>0</v>
      </c>
      <c r="M107" s="664">
        <v>0</v>
      </c>
      <c r="N107" s="664">
        <v>0</v>
      </c>
      <c r="O107" s="706"/>
    </row>
    <row r="108" spans="1:15" x14ac:dyDescent="0.2">
      <c r="A108" s="161">
        <v>88</v>
      </c>
      <c r="B108" s="49" t="s">
        <v>230</v>
      </c>
      <c r="C108" s="50" t="s">
        <v>231</v>
      </c>
      <c r="D108" s="659">
        <f t="shared" si="6"/>
        <v>24640</v>
      </c>
      <c r="E108" s="659">
        <f t="shared" si="7"/>
        <v>0</v>
      </c>
      <c r="F108" s="659">
        <v>0</v>
      </c>
      <c r="G108" s="659">
        <v>0</v>
      </c>
      <c r="H108" s="659">
        <f t="shared" si="8"/>
        <v>24640</v>
      </c>
      <c r="I108" s="662">
        <v>620</v>
      </c>
      <c r="J108" s="662">
        <v>1539</v>
      </c>
      <c r="K108" s="662">
        <v>22481</v>
      </c>
      <c r="L108" s="664">
        <f t="shared" si="9"/>
        <v>0</v>
      </c>
      <c r="M108" s="664">
        <v>0</v>
      </c>
      <c r="N108" s="664">
        <v>0</v>
      </c>
      <c r="O108" s="706"/>
    </row>
    <row r="109" spans="1:15" x14ac:dyDescent="0.2">
      <c r="A109" s="161">
        <v>89</v>
      </c>
      <c r="B109" s="49" t="s">
        <v>232</v>
      </c>
      <c r="C109" s="50" t="s">
        <v>233</v>
      </c>
      <c r="D109" s="659">
        <f t="shared" si="6"/>
        <v>0</v>
      </c>
      <c r="E109" s="659">
        <f t="shared" si="7"/>
        <v>0</v>
      </c>
      <c r="F109" s="659">
        <v>0</v>
      </c>
      <c r="G109" s="659">
        <v>0</v>
      </c>
      <c r="H109" s="659">
        <f t="shared" si="8"/>
        <v>0</v>
      </c>
      <c r="I109" s="662">
        <v>0</v>
      </c>
      <c r="J109" s="662">
        <v>0</v>
      </c>
      <c r="K109" s="662">
        <v>0</v>
      </c>
      <c r="L109" s="664">
        <f t="shared" si="9"/>
        <v>0</v>
      </c>
      <c r="M109" s="664">
        <v>0</v>
      </c>
      <c r="N109" s="664">
        <v>0</v>
      </c>
      <c r="O109" s="706"/>
    </row>
    <row r="110" spans="1:15" x14ac:dyDescent="0.2">
      <c r="A110" s="161">
        <v>90</v>
      </c>
      <c r="B110" s="49" t="s">
        <v>234</v>
      </c>
      <c r="C110" s="50" t="s">
        <v>235</v>
      </c>
      <c r="D110" s="659">
        <f t="shared" si="6"/>
        <v>0</v>
      </c>
      <c r="E110" s="659">
        <f t="shared" si="7"/>
        <v>0</v>
      </c>
      <c r="F110" s="659">
        <v>0</v>
      </c>
      <c r="G110" s="659">
        <v>0</v>
      </c>
      <c r="H110" s="659">
        <v>0</v>
      </c>
      <c r="I110" s="662">
        <v>0</v>
      </c>
      <c r="J110" s="662">
        <v>0</v>
      </c>
      <c r="K110" s="662">
        <v>0</v>
      </c>
      <c r="L110" s="664">
        <f t="shared" si="9"/>
        <v>0</v>
      </c>
      <c r="M110" s="664">
        <v>0</v>
      </c>
      <c r="N110" s="664">
        <v>0</v>
      </c>
      <c r="O110" s="706"/>
    </row>
    <row r="111" spans="1:15" x14ac:dyDescent="0.2">
      <c r="A111" s="161">
        <v>91</v>
      </c>
      <c r="B111" s="167" t="s">
        <v>236</v>
      </c>
      <c r="C111" s="50" t="s">
        <v>237</v>
      </c>
      <c r="D111" s="659">
        <f t="shared" si="6"/>
        <v>0</v>
      </c>
      <c r="E111" s="659">
        <f t="shared" si="7"/>
        <v>0</v>
      </c>
      <c r="F111" s="659">
        <v>0</v>
      </c>
      <c r="G111" s="659">
        <v>0</v>
      </c>
      <c r="H111" s="659">
        <v>0</v>
      </c>
      <c r="I111" s="662">
        <v>0</v>
      </c>
      <c r="J111" s="662">
        <v>0</v>
      </c>
      <c r="K111" s="662">
        <v>0</v>
      </c>
      <c r="L111" s="664">
        <f t="shared" si="9"/>
        <v>0</v>
      </c>
      <c r="M111" s="664">
        <v>0</v>
      </c>
      <c r="N111" s="664">
        <v>0</v>
      </c>
      <c r="O111" s="706"/>
    </row>
    <row r="112" spans="1:15" x14ac:dyDescent="0.2">
      <c r="A112" s="161">
        <v>92</v>
      </c>
      <c r="B112" s="167" t="s">
        <v>238</v>
      </c>
      <c r="C112" s="50" t="s">
        <v>239</v>
      </c>
      <c r="D112" s="659">
        <f t="shared" si="6"/>
        <v>0</v>
      </c>
      <c r="E112" s="659">
        <f t="shared" si="7"/>
        <v>0</v>
      </c>
      <c r="F112" s="659">
        <v>0</v>
      </c>
      <c r="G112" s="659">
        <v>0</v>
      </c>
      <c r="H112" s="659">
        <v>0</v>
      </c>
      <c r="I112" s="662">
        <v>0</v>
      </c>
      <c r="J112" s="662">
        <v>0</v>
      </c>
      <c r="K112" s="662">
        <v>0</v>
      </c>
      <c r="L112" s="664">
        <f t="shared" si="9"/>
        <v>0</v>
      </c>
      <c r="M112" s="664">
        <v>0</v>
      </c>
      <c r="N112" s="664">
        <v>0</v>
      </c>
      <c r="O112" s="706"/>
    </row>
    <row r="113" spans="1:15" x14ac:dyDescent="0.2">
      <c r="A113" s="161">
        <v>93</v>
      </c>
      <c r="B113" s="167" t="s">
        <v>240</v>
      </c>
      <c r="C113" s="50" t="s">
        <v>241</v>
      </c>
      <c r="D113" s="659">
        <f t="shared" si="6"/>
        <v>0</v>
      </c>
      <c r="E113" s="659">
        <f t="shared" si="7"/>
        <v>0</v>
      </c>
      <c r="F113" s="659">
        <v>0</v>
      </c>
      <c r="G113" s="659">
        <v>0</v>
      </c>
      <c r="H113" s="659">
        <v>0</v>
      </c>
      <c r="I113" s="662">
        <v>0</v>
      </c>
      <c r="J113" s="662">
        <v>0</v>
      </c>
      <c r="K113" s="662">
        <v>0</v>
      </c>
      <c r="L113" s="664">
        <f t="shared" si="9"/>
        <v>0</v>
      </c>
      <c r="M113" s="664">
        <v>0</v>
      </c>
      <c r="N113" s="664">
        <v>0</v>
      </c>
      <c r="O113" s="706"/>
    </row>
    <row r="114" spans="1:15" x14ac:dyDescent="0.2">
      <c r="A114" s="161">
        <v>94</v>
      </c>
      <c r="B114" s="167" t="s">
        <v>242</v>
      </c>
      <c r="C114" s="50" t="s">
        <v>243</v>
      </c>
      <c r="D114" s="659">
        <f t="shared" si="6"/>
        <v>0</v>
      </c>
      <c r="E114" s="659">
        <f t="shared" si="7"/>
        <v>0</v>
      </c>
      <c r="F114" s="659">
        <v>0</v>
      </c>
      <c r="G114" s="659">
        <v>0</v>
      </c>
      <c r="H114" s="659">
        <v>0</v>
      </c>
      <c r="I114" s="662">
        <v>0</v>
      </c>
      <c r="J114" s="662">
        <v>0</v>
      </c>
      <c r="K114" s="662">
        <v>0</v>
      </c>
      <c r="L114" s="664">
        <f t="shared" si="9"/>
        <v>0</v>
      </c>
      <c r="M114" s="664">
        <v>0</v>
      </c>
      <c r="N114" s="664">
        <v>0</v>
      </c>
      <c r="O114" s="706"/>
    </row>
    <row r="115" spans="1:15" x14ac:dyDescent="0.2">
      <c r="A115" s="161">
        <v>95</v>
      </c>
      <c r="B115" s="167" t="s">
        <v>244</v>
      </c>
      <c r="C115" s="50" t="s">
        <v>245</v>
      </c>
      <c r="D115" s="659">
        <f t="shared" si="6"/>
        <v>0</v>
      </c>
      <c r="E115" s="659">
        <f t="shared" si="7"/>
        <v>0</v>
      </c>
      <c r="F115" s="659">
        <v>0</v>
      </c>
      <c r="G115" s="659">
        <v>0</v>
      </c>
      <c r="H115" s="659">
        <f t="shared" si="8"/>
        <v>0</v>
      </c>
      <c r="I115" s="662">
        <v>0</v>
      </c>
      <c r="J115" s="662">
        <v>0</v>
      </c>
      <c r="K115" s="662">
        <v>0</v>
      </c>
      <c r="L115" s="664">
        <f t="shared" si="9"/>
        <v>0</v>
      </c>
      <c r="M115" s="664">
        <v>0</v>
      </c>
      <c r="N115" s="664">
        <v>0</v>
      </c>
      <c r="O115" s="706"/>
    </row>
    <row r="116" spans="1:15" x14ac:dyDescent="0.2">
      <c r="A116" s="161">
        <v>96</v>
      </c>
      <c r="B116" s="163" t="s">
        <v>246</v>
      </c>
      <c r="C116" s="625" t="s">
        <v>247</v>
      </c>
      <c r="D116" s="659">
        <f t="shared" si="6"/>
        <v>0</v>
      </c>
      <c r="E116" s="659">
        <f t="shared" si="7"/>
        <v>0</v>
      </c>
      <c r="F116" s="659">
        <v>0</v>
      </c>
      <c r="G116" s="659">
        <v>0</v>
      </c>
      <c r="H116" s="659">
        <v>0</v>
      </c>
      <c r="I116" s="662">
        <v>0</v>
      </c>
      <c r="J116" s="662">
        <v>0</v>
      </c>
      <c r="K116" s="662">
        <v>0</v>
      </c>
      <c r="L116" s="664">
        <f t="shared" si="9"/>
        <v>0</v>
      </c>
      <c r="M116" s="664">
        <v>0</v>
      </c>
      <c r="N116" s="664">
        <v>0</v>
      </c>
      <c r="O116" s="706"/>
    </row>
    <row r="117" spans="1:15" x14ac:dyDescent="0.2">
      <c r="A117" s="161">
        <v>97</v>
      </c>
      <c r="B117" s="52" t="s">
        <v>248</v>
      </c>
      <c r="C117" s="50" t="s">
        <v>249</v>
      </c>
      <c r="D117" s="659">
        <f t="shared" si="6"/>
        <v>0</v>
      </c>
      <c r="E117" s="659">
        <f t="shared" si="7"/>
        <v>0</v>
      </c>
      <c r="F117" s="659">
        <v>0</v>
      </c>
      <c r="G117" s="659">
        <v>0</v>
      </c>
      <c r="H117" s="659">
        <v>0</v>
      </c>
      <c r="I117" s="662">
        <v>0</v>
      </c>
      <c r="J117" s="662">
        <v>0</v>
      </c>
      <c r="K117" s="662">
        <v>0</v>
      </c>
      <c r="L117" s="664">
        <f t="shared" si="9"/>
        <v>0</v>
      </c>
      <c r="M117" s="664">
        <v>0</v>
      </c>
      <c r="N117" s="664">
        <v>0</v>
      </c>
      <c r="O117" s="706"/>
    </row>
    <row r="118" spans="1:15" x14ac:dyDescent="0.2">
      <c r="A118" s="161">
        <v>98</v>
      </c>
      <c r="B118" s="167" t="s">
        <v>250</v>
      </c>
      <c r="C118" s="50" t="s">
        <v>251</v>
      </c>
      <c r="D118" s="659">
        <f t="shared" si="6"/>
        <v>0</v>
      </c>
      <c r="E118" s="659">
        <f t="shared" si="7"/>
        <v>0</v>
      </c>
      <c r="F118" s="659">
        <v>0</v>
      </c>
      <c r="G118" s="659">
        <v>0</v>
      </c>
      <c r="H118" s="659">
        <v>0</v>
      </c>
      <c r="I118" s="662">
        <v>0</v>
      </c>
      <c r="J118" s="662">
        <v>0</v>
      </c>
      <c r="K118" s="662">
        <v>0</v>
      </c>
      <c r="L118" s="664">
        <f t="shared" si="9"/>
        <v>0</v>
      </c>
      <c r="M118" s="664">
        <v>0</v>
      </c>
      <c r="N118" s="664">
        <v>0</v>
      </c>
      <c r="O118" s="706"/>
    </row>
    <row r="119" spans="1:15" x14ac:dyDescent="0.2">
      <c r="A119" s="161">
        <v>99</v>
      </c>
      <c r="B119" s="49" t="s">
        <v>252</v>
      </c>
      <c r="C119" s="60" t="s">
        <v>253</v>
      </c>
      <c r="D119" s="659">
        <f t="shared" si="6"/>
        <v>0</v>
      </c>
      <c r="E119" s="659">
        <f t="shared" si="7"/>
        <v>0</v>
      </c>
      <c r="F119" s="659">
        <v>0</v>
      </c>
      <c r="G119" s="659">
        <v>0</v>
      </c>
      <c r="H119" s="659">
        <v>0</v>
      </c>
      <c r="I119" s="662">
        <v>0</v>
      </c>
      <c r="J119" s="662">
        <v>0</v>
      </c>
      <c r="K119" s="662">
        <v>0</v>
      </c>
      <c r="L119" s="664">
        <f t="shared" si="9"/>
        <v>0</v>
      </c>
      <c r="M119" s="664">
        <v>0</v>
      </c>
      <c r="N119" s="664">
        <v>0</v>
      </c>
      <c r="O119" s="706"/>
    </row>
    <row r="120" spans="1:15" x14ac:dyDescent="0.2">
      <c r="A120" s="161">
        <v>100</v>
      </c>
      <c r="B120" s="167" t="s">
        <v>254</v>
      </c>
      <c r="C120" s="50" t="s">
        <v>255</v>
      </c>
      <c r="D120" s="659">
        <f t="shared" si="6"/>
        <v>0</v>
      </c>
      <c r="E120" s="659">
        <f t="shared" si="7"/>
        <v>0</v>
      </c>
      <c r="F120" s="659">
        <v>0</v>
      </c>
      <c r="G120" s="659">
        <v>0</v>
      </c>
      <c r="H120" s="659">
        <v>0</v>
      </c>
      <c r="I120" s="662">
        <v>0</v>
      </c>
      <c r="J120" s="662">
        <v>0</v>
      </c>
      <c r="K120" s="662">
        <v>0</v>
      </c>
      <c r="L120" s="664">
        <f t="shared" si="9"/>
        <v>0</v>
      </c>
      <c r="M120" s="664">
        <v>0</v>
      </c>
      <c r="N120" s="664">
        <v>0</v>
      </c>
      <c r="O120" s="706"/>
    </row>
    <row r="121" spans="1:15" x14ac:dyDescent="0.2">
      <c r="A121" s="161">
        <v>101</v>
      </c>
      <c r="B121" s="52" t="s">
        <v>256</v>
      </c>
      <c r="C121" s="50" t="s">
        <v>257</v>
      </c>
      <c r="D121" s="659">
        <f t="shared" si="6"/>
        <v>0</v>
      </c>
      <c r="E121" s="659">
        <f t="shared" si="7"/>
        <v>0</v>
      </c>
      <c r="F121" s="659">
        <v>0</v>
      </c>
      <c r="G121" s="659">
        <v>0</v>
      </c>
      <c r="H121" s="659">
        <v>0</v>
      </c>
      <c r="I121" s="662">
        <v>0</v>
      </c>
      <c r="J121" s="662">
        <v>0</v>
      </c>
      <c r="K121" s="662">
        <v>0</v>
      </c>
      <c r="L121" s="664">
        <f t="shared" si="9"/>
        <v>0</v>
      </c>
      <c r="M121" s="664">
        <v>0</v>
      </c>
      <c r="N121" s="664">
        <v>0</v>
      </c>
      <c r="O121" s="706"/>
    </row>
    <row r="122" spans="1:15" x14ac:dyDescent="0.2">
      <c r="A122" s="161">
        <v>102</v>
      </c>
      <c r="B122" s="49" t="s">
        <v>258</v>
      </c>
      <c r="C122" s="50" t="s">
        <v>259</v>
      </c>
      <c r="D122" s="659">
        <f t="shared" si="6"/>
        <v>0</v>
      </c>
      <c r="E122" s="659">
        <f t="shared" si="7"/>
        <v>0</v>
      </c>
      <c r="F122" s="659">
        <v>0</v>
      </c>
      <c r="G122" s="659">
        <v>0</v>
      </c>
      <c r="H122" s="659">
        <v>0</v>
      </c>
      <c r="I122" s="662">
        <v>0</v>
      </c>
      <c r="J122" s="662">
        <v>0</v>
      </c>
      <c r="K122" s="662">
        <v>0</v>
      </c>
      <c r="L122" s="664">
        <f t="shared" si="9"/>
        <v>0</v>
      </c>
      <c r="M122" s="664">
        <v>0</v>
      </c>
      <c r="N122" s="664">
        <v>0</v>
      </c>
      <c r="O122" s="706"/>
    </row>
    <row r="123" spans="1:15" x14ac:dyDescent="0.2">
      <c r="A123" s="161">
        <v>103</v>
      </c>
      <c r="B123" s="165" t="s">
        <v>543</v>
      </c>
      <c r="C123" s="164" t="s">
        <v>544</v>
      </c>
      <c r="D123" s="659">
        <f t="shared" si="6"/>
        <v>0</v>
      </c>
      <c r="E123" s="659">
        <f t="shared" si="7"/>
        <v>0</v>
      </c>
      <c r="F123" s="659">
        <v>0</v>
      </c>
      <c r="G123" s="659">
        <v>0</v>
      </c>
      <c r="H123" s="659">
        <v>0</v>
      </c>
      <c r="I123" s="662">
        <v>0</v>
      </c>
      <c r="J123" s="662">
        <v>0</v>
      </c>
      <c r="K123" s="662">
        <v>0</v>
      </c>
      <c r="L123" s="664">
        <f t="shared" si="9"/>
        <v>0</v>
      </c>
      <c r="M123" s="664">
        <v>0</v>
      </c>
      <c r="N123" s="664">
        <v>0</v>
      </c>
      <c r="O123" s="706"/>
    </row>
    <row r="124" spans="1:15" x14ac:dyDescent="0.2">
      <c r="A124" s="161">
        <v>104</v>
      </c>
      <c r="B124" s="52" t="s">
        <v>260</v>
      </c>
      <c r="C124" s="50" t="s">
        <v>261</v>
      </c>
      <c r="D124" s="659">
        <f t="shared" si="6"/>
        <v>0</v>
      </c>
      <c r="E124" s="659">
        <f t="shared" si="7"/>
        <v>0</v>
      </c>
      <c r="F124" s="659">
        <v>0</v>
      </c>
      <c r="G124" s="659">
        <v>0</v>
      </c>
      <c r="H124" s="659">
        <v>0</v>
      </c>
      <c r="I124" s="662">
        <v>0</v>
      </c>
      <c r="J124" s="662">
        <v>0</v>
      </c>
      <c r="K124" s="662">
        <v>0</v>
      </c>
      <c r="L124" s="664">
        <f t="shared" si="9"/>
        <v>0</v>
      </c>
      <c r="M124" s="664">
        <v>0</v>
      </c>
      <c r="N124" s="664">
        <v>0</v>
      </c>
      <c r="O124" s="706"/>
    </row>
    <row r="125" spans="1:15" x14ac:dyDescent="0.2">
      <c r="A125" s="161">
        <v>105</v>
      </c>
      <c r="B125" s="167" t="s">
        <v>262</v>
      </c>
      <c r="C125" s="50" t="s">
        <v>263</v>
      </c>
      <c r="D125" s="659">
        <f t="shared" si="6"/>
        <v>0</v>
      </c>
      <c r="E125" s="659">
        <f t="shared" si="7"/>
        <v>0</v>
      </c>
      <c r="F125" s="659">
        <v>0</v>
      </c>
      <c r="G125" s="659">
        <v>0</v>
      </c>
      <c r="H125" s="659">
        <f t="shared" si="8"/>
        <v>0</v>
      </c>
      <c r="I125" s="662">
        <v>0</v>
      </c>
      <c r="J125" s="662">
        <v>0</v>
      </c>
      <c r="K125" s="662">
        <v>0</v>
      </c>
      <c r="L125" s="664">
        <f t="shared" si="9"/>
        <v>0</v>
      </c>
      <c r="M125" s="664">
        <v>0</v>
      </c>
      <c r="N125" s="664">
        <v>0</v>
      </c>
      <c r="O125" s="706"/>
    </row>
    <row r="126" spans="1:15" x14ac:dyDescent="0.2">
      <c r="A126" s="161">
        <v>106</v>
      </c>
      <c r="B126" s="167" t="s">
        <v>264</v>
      </c>
      <c r="C126" s="54" t="s">
        <v>265</v>
      </c>
      <c r="D126" s="659">
        <f t="shared" si="6"/>
        <v>0</v>
      </c>
      <c r="E126" s="659">
        <f t="shared" si="7"/>
        <v>0</v>
      </c>
      <c r="F126" s="659">
        <v>0</v>
      </c>
      <c r="G126" s="659">
        <v>0</v>
      </c>
      <c r="H126" s="659">
        <f t="shared" si="8"/>
        <v>0</v>
      </c>
      <c r="I126" s="662">
        <v>0</v>
      </c>
      <c r="J126" s="662">
        <v>0</v>
      </c>
      <c r="K126" s="662">
        <v>0</v>
      </c>
      <c r="L126" s="664">
        <f t="shared" si="9"/>
        <v>0</v>
      </c>
      <c r="M126" s="664">
        <v>0</v>
      </c>
      <c r="N126" s="664">
        <v>0</v>
      </c>
      <c r="O126" s="706"/>
    </row>
    <row r="127" spans="1:15" x14ac:dyDescent="0.2">
      <c r="A127" s="161">
        <v>107</v>
      </c>
      <c r="B127" s="167" t="s">
        <v>266</v>
      </c>
      <c r="C127" s="50" t="s">
        <v>267</v>
      </c>
      <c r="D127" s="659">
        <f t="shared" si="6"/>
        <v>0</v>
      </c>
      <c r="E127" s="659">
        <f t="shared" si="7"/>
        <v>0</v>
      </c>
      <c r="F127" s="659">
        <v>0</v>
      </c>
      <c r="G127" s="659">
        <v>0</v>
      </c>
      <c r="H127" s="659">
        <f t="shared" si="8"/>
        <v>0</v>
      </c>
      <c r="I127" s="662">
        <v>0</v>
      </c>
      <c r="J127" s="662">
        <v>0</v>
      </c>
      <c r="K127" s="662">
        <v>0</v>
      </c>
      <c r="L127" s="664">
        <f t="shared" si="9"/>
        <v>0</v>
      </c>
      <c r="M127" s="664">
        <v>0</v>
      </c>
      <c r="N127" s="664">
        <v>0</v>
      </c>
      <c r="O127" s="706"/>
    </row>
    <row r="128" spans="1:15" x14ac:dyDescent="0.2">
      <c r="A128" s="161">
        <v>108</v>
      </c>
      <c r="B128" s="167" t="s">
        <v>268</v>
      </c>
      <c r="C128" s="50" t="s">
        <v>269</v>
      </c>
      <c r="D128" s="659">
        <f t="shared" si="6"/>
        <v>0</v>
      </c>
      <c r="E128" s="659">
        <f t="shared" si="7"/>
        <v>0</v>
      </c>
      <c r="F128" s="659">
        <v>0</v>
      </c>
      <c r="G128" s="659">
        <v>0</v>
      </c>
      <c r="H128" s="659">
        <f t="shared" si="8"/>
        <v>0</v>
      </c>
      <c r="I128" s="662">
        <v>0</v>
      </c>
      <c r="J128" s="662">
        <v>0</v>
      </c>
      <c r="K128" s="662">
        <v>0</v>
      </c>
      <c r="L128" s="664">
        <f t="shared" si="9"/>
        <v>0</v>
      </c>
      <c r="M128" s="664">
        <v>0</v>
      </c>
      <c r="N128" s="664">
        <v>0</v>
      </c>
      <c r="O128" s="706"/>
    </row>
    <row r="129" spans="1:15" x14ac:dyDescent="0.2">
      <c r="A129" s="161">
        <v>109</v>
      </c>
      <c r="B129" s="167" t="s">
        <v>270</v>
      </c>
      <c r="C129" s="50" t="s">
        <v>271</v>
      </c>
      <c r="D129" s="659">
        <f t="shared" si="6"/>
        <v>0</v>
      </c>
      <c r="E129" s="659">
        <f t="shared" si="7"/>
        <v>0</v>
      </c>
      <c r="F129" s="659">
        <v>0</v>
      </c>
      <c r="G129" s="659">
        <v>0</v>
      </c>
      <c r="H129" s="659">
        <f t="shared" si="8"/>
        <v>0</v>
      </c>
      <c r="I129" s="662">
        <v>0</v>
      </c>
      <c r="J129" s="662">
        <v>0</v>
      </c>
      <c r="K129" s="662">
        <v>0</v>
      </c>
      <c r="L129" s="664">
        <f t="shared" si="9"/>
        <v>0</v>
      </c>
      <c r="M129" s="664">
        <v>0</v>
      </c>
      <c r="N129" s="664">
        <v>0</v>
      </c>
      <c r="O129" s="706"/>
    </row>
    <row r="130" spans="1:15" x14ac:dyDescent="0.2">
      <c r="A130" s="161">
        <v>110</v>
      </c>
      <c r="B130" s="49" t="s">
        <v>272</v>
      </c>
      <c r="C130" s="50" t="s">
        <v>273</v>
      </c>
      <c r="D130" s="659">
        <f t="shared" si="6"/>
        <v>0</v>
      </c>
      <c r="E130" s="659">
        <f t="shared" si="7"/>
        <v>0</v>
      </c>
      <c r="F130" s="659">
        <v>0</v>
      </c>
      <c r="G130" s="659">
        <v>0</v>
      </c>
      <c r="H130" s="659">
        <f t="shared" si="8"/>
        <v>0</v>
      </c>
      <c r="I130" s="662">
        <v>0</v>
      </c>
      <c r="J130" s="662">
        <v>0</v>
      </c>
      <c r="K130" s="662">
        <v>0</v>
      </c>
      <c r="L130" s="664">
        <f t="shared" si="9"/>
        <v>0</v>
      </c>
      <c r="M130" s="664">
        <v>0</v>
      </c>
      <c r="N130" s="664">
        <v>0</v>
      </c>
      <c r="O130" s="706"/>
    </row>
    <row r="131" spans="1:15" x14ac:dyDescent="0.2">
      <c r="A131" s="161">
        <v>111</v>
      </c>
      <c r="B131" s="49" t="s">
        <v>274</v>
      </c>
      <c r="C131" s="50" t="s">
        <v>275</v>
      </c>
      <c r="D131" s="659">
        <f t="shared" si="6"/>
        <v>11800</v>
      </c>
      <c r="E131" s="659">
        <f t="shared" si="7"/>
        <v>11800</v>
      </c>
      <c r="F131" s="659">
        <v>0</v>
      </c>
      <c r="G131" s="659">
        <v>11800</v>
      </c>
      <c r="H131" s="659">
        <f t="shared" si="8"/>
        <v>0</v>
      </c>
      <c r="I131" s="662">
        <v>0</v>
      </c>
      <c r="J131" s="662">
        <v>0</v>
      </c>
      <c r="K131" s="662">
        <v>0</v>
      </c>
      <c r="L131" s="664">
        <f t="shared" si="9"/>
        <v>0</v>
      </c>
      <c r="M131" s="664">
        <v>0</v>
      </c>
      <c r="N131" s="664">
        <v>0</v>
      </c>
      <c r="O131" s="706"/>
    </row>
    <row r="132" spans="1:15" x14ac:dyDescent="0.2">
      <c r="A132" s="161">
        <v>112</v>
      </c>
      <c r="B132" s="49" t="s">
        <v>276</v>
      </c>
      <c r="C132" s="50" t="s">
        <v>277</v>
      </c>
      <c r="D132" s="659">
        <f t="shared" si="6"/>
        <v>23130</v>
      </c>
      <c r="E132" s="659">
        <f t="shared" si="7"/>
        <v>23130</v>
      </c>
      <c r="F132" s="659">
        <v>0</v>
      </c>
      <c r="G132" s="659">
        <v>23130</v>
      </c>
      <c r="H132" s="659">
        <f t="shared" si="8"/>
        <v>0</v>
      </c>
      <c r="I132" s="662">
        <v>0</v>
      </c>
      <c r="J132" s="662">
        <v>0</v>
      </c>
      <c r="K132" s="662">
        <v>0</v>
      </c>
      <c r="L132" s="664">
        <f t="shared" si="9"/>
        <v>0</v>
      </c>
      <c r="M132" s="664">
        <v>0</v>
      </c>
      <c r="N132" s="664">
        <v>0</v>
      </c>
      <c r="O132" s="706"/>
    </row>
    <row r="133" spans="1:15" x14ac:dyDescent="0.2">
      <c r="A133" s="161">
        <v>113</v>
      </c>
      <c r="B133" s="167" t="s">
        <v>278</v>
      </c>
      <c r="C133" s="50" t="s">
        <v>279</v>
      </c>
      <c r="D133" s="659">
        <f t="shared" si="6"/>
        <v>0</v>
      </c>
      <c r="E133" s="659">
        <f t="shared" si="7"/>
        <v>0</v>
      </c>
      <c r="F133" s="659">
        <v>0</v>
      </c>
      <c r="G133" s="659">
        <v>0</v>
      </c>
      <c r="H133" s="659">
        <f t="shared" si="8"/>
        <v>0</v>
      </c>
      <c r="I133" s="662">
        <v>0</v>
      </c>
      <c r="J133" s="662">
        <v>0</v>
      </c>
      <c r="K133" s="662">
        <v>0</v>
      </c>
      <c r="L133" s="664">
        <f t="shared" si="9"/>
        <v>0</v>
      </c>
      <c r="M133" s="664">
        <v>0</v>
      </c>
      <c r="N133" s="664">
        <v>0</v>
      </c>
      <c r="O133" s="706"/>
    </row>
    <row r="134" spans="1:15" x14ac:dyDescent="0.2">
      <c r="A134" s="161">
        <v>114</v>
      </c>
      <c r="B134" s="167" t="s">
        <v>280</v>
      </c>
      <c r="C134" s="50" t="s">
        <v>493</v>
      </c>
      <c r="D134" s="659">
        <f t="shared" si="6"/>
        <v>0</v>
      </c>
      <c r="E134" s="659">
        <f t="shared" si="7"/>
        <v>0</v>
      </c>
      <c r="F134" s="659">
        <v>0</v>
      </c>
      <c r="G134" s="659">
        <v>0</v>
      </c>
      <c r="H134" s="659">
        <f t="shared" si="8"/>
        <v>0</v>
      </c>
      <c r="I134" s="662">
        <v>0</v>
      </c>
      <c r="J134" s="662">
        <v>0</v>
      </c>
      <c r="K134" s="662">
        <v>0</v>
      </c>
      <c r="L134" s="664">
        <f t="shared" si="9"/>
        <v>0</v>
      </c>
      <c r="M134" s="664">
        <v>0</v>
      </c>
      <c r="N134" s="664">
        <v>0</v>
      </c>
      <c r="O134" s="706"/>
    </row>
    <row r="135" spans="1:15" x14ac:dyDescent="0.2">
      <c r="A135" s="161">
        <v>115</v>
      </c>
      <c r="B135" s="167" t="s">
        <v>282</v>
      </c>
      <c r="C135" s="50" t="s">
        <v>772</v>
      </c>
      <c r="D135" s="659">
        <f t="shared" si="6"/>
        <v>0</v>
      </c>
      <c r="E135" s="659">
        <f t="shared" si="7"/>
        <v>0</v>
      </c>
      <c r="F135" s="659">
        <v>0</v>
      </c>
      <c r="G135" s="659">
        <v>0</v>
      </c>
      <c r="H135" s="659">
        <f t="shared" si="8"/>
        <v>0</v>
      </c>
      <c r="I135" s="662">
        <v>0</v>
      </c>
      <c r="J135" s="662">
        <v>0</v>
      </c>
      <c r="K135" s="662">
        <v>0</v>
      </c>
      <c r="L135" s="664">
        <f t="shared" si="9"/>
        <v>0</v>
      </c>
      <c r="M135" s="664">
        <v>0</v>
      </c>
      <c r="N135" s="664">
        <v>0</v>
      </c>
      <c r="O135" s="706"/>
    </row>
    <row r="136" spans="1:15" x14ac:dyDescent="0.2">
      <c r="A136" s="161">
        <v>116</v>
      </c>
      <c r="B136" s="49" t="s">
        <v>283</v>
      </c>
      <c r="C136" s="50" t="s">
        <v>284</v>
      </c>
      <c r="D136" s="659">
        <f t="shared" si="6"/>
        <v>6889</v>
      </c>
      <c r="E136" s="659">
        <f t="shared" si="7"/>
        <v>0</v>
      </c>
      <c r="F136" s="659">
        <v>0</v>
      </c>
      <c r="G136" s="659">
        <v>0</v>
      </c>
      <c r="H136" s="659">
        <f t="shared" si="8"/>
        <v>6889</v>
      </c>
      <c r="I136" s="662">
        <v>1320</v>
      </c>
      <c r="J136" s="662">
        <v>0</v>
      </c>
      <c r="K136" s="662">
        <v>5569</v>
      </c>
      <c r="L136" s="664">
        <f t="shared" si="9"/>
        <v>0</v>
      </c>
      <c r="M136" s="664">
        <v>0</v>
      </c>
      <c r="N136" s="664">
        <v>0</v>
      </c>
      <c r="O136" s="706"/>
    </row>
    <row r="137" spans="1:15" x14ac:dyDescent="0.2">
      <c r="A137" s="161">
        <v>117</v>
      </c>
      <c r="B137" s="52" t="s">
        <v>285</v>
      </c>
      <c r="C137" s="50" t="s">
        <v>728</v>
      </c>
      <c r="D137" s="659">
        <f t="shared" si="6"/>
        <v>46209</v>
      </c>
      <c r="E137" s="659">
        <f t="shared" si="7"/>
        <v>0</v>
      </c>
      <c r="F137" s="659">
        <v>0</v>
      </c>
      <c r="G137" s="659">
        <v>0</v>
      </c>
      <c r="H137" s="659">
        <f t="shared" si="8"/>
        <v>46209</v>
      </c>
      <c r="I137" s="662">
        <v>2325</v>
      </c>
      <c r="J137" s="662">
        <v>755</v>
      </c>
      <c r="K137" s="662">
        <v>43129</v>
      </c>
      <c r="L137" s="664">
        <f t="shared" si="9"/>
        <v>0</v>
      </c>
      <c r="M137" s="664">
        <v>0</v>
      </c>
      <c r="N137" s="664">
        <v>0</v>
      </c>
      <c r="O137" s="706"/>
    </row>
    <row r="138" spans="1:15" x14ac:dyDescent="0.2">
      <c r="A138" s="161">
        <v>118</v>
      </c>
      <c r="B138" s="167" t="s">
        <v>286</v>
      </c>
      <c r="C138" s="50" t="s">
        <v>287</v>
      </c>
      <c r="D138" s="659">
        <f t="shared" si="6"/>
        <v>0</v>
      </c>
      <c r="E138" s="659">
        <f t="shared" si="7"/>
        <v>0</v>
      </c>
      <c r="F138" s="659">
        <v>0</v>
      </c>
      <c r="G138" s="659">
        <v>0</v>
      </c>
      <c r="H138" s="659">
        <f t="shared" si="8"/>
        <v>0</v>
      </c>
      <c r="I138" s="662">
        <v>0</v>
      </c>
      <c r="J138" s="662">
        <v>0</v>
      </c>
      <c r="K138" s="662">
        <v>0</v>
      </c>
      <c r="L138" s="664">
        <f t="shared" si="9"/>
        <v>0</v>
      </c>
      <c r="M138" s="664">
        <v>0</v>
      </c>
      <c r="N138" s="664">
        <v>0</v>
      </c>
      <c r="O138" s="706"/>
    </row>
    <row r="139" spans="1:15" x14ac:dyDescent="0.2">
      <c r="A139" s="161">
        <v>119</v>
      </c>
      <c r="B139" s="49" t="s">
        <v>288</v>
      </c>
      <c r="C139" s="50" t="s">
        <v>289</v>
      </c>
      <c r="D139" s="659">
        <f t="shared" si="6"/>
        <v>0</v>
      </c>
      <c r="E139" s="659">
        <f t="shared" si="7"/>
        <v>0</v>
      </c>
      <c r="F139" s="659">
        <v>0</v>
      </c>
      <c r="G139" s="659">
        <v>0</v>
      </c>
      <c r="H139" s="659">
        <f t="shared" si="8"/>
        <v>0</v>
      </c>
      <c r="I139" s="662">
        <v>0</v>
      </c>
      <c r="J139" s="662">
        <v>0</v>
      </c>
      <c r="K139" s="662">
        <v>0</v>
      </c>
      <c r="L139" s="664">
        <f t="shared" si="9"/>
        <v>0</v>
      </c>
      <c r="M139" s="664">
        <v>0</v>
      </c>
      <c r="N139" s="664">
        <v>0</v>
      </c>
      <c r="O139" s="706"/>
    </row>
    <row r="140" spans="1:15" ht="12.75" x14ac:dyDescent="0.2">
      <c r="A140" s="161">
        <v>120</v>
      </c>
      <c r="B140" s="341" t="s">
        <v>290</v>
      </c>
      <c r="C140" s="665" t="s">
        <v>291</v>
      </c>
      <c r="D140" s="659">
        <f t="shared" si="6"/>
        <v>0</v>
      </c>
      <c r="E140" s="659">
        <f t="shared" si="7"/>
        <v>0</v>
      </c>
      <c r="F140" s="659">
        <v>0</v>
      </c>
      <c r="G140" s="659">
        <v>0</v>
      </c>
      <c r="H140" s="659">
        <v>0</v>
      </c>
      <c r="I140" s="662">
        <v>0</v>
      </c>
      <c r="J140" s="662">
        <v>0</v>
      </c>
      <c r="K140" s="662">
        <v>0</v>
      </c>
      <c r="L140" s="664">
        <f t="shared" si="9"/>
        <v>0</v>
      </c>
      <c r="M140" s="664">
        <v>0</v>
      </c>
      <c r="N140" s="664">
        <v>0</v>
      </c>
      <c r="O140" s="706"/>
    </row>
    <row r="141" spans="1:15" ht="12.75" x14ac:dyDescent="0.2">
      <c r="A141" s="161">
        <v>121</v>
      </c>
      <c r="B141" s="666" t="s">
        <v>292</v>
      </c>
      <c r="C141" s="667" t="s">
        <v>293</v>
      </c>
      <c r="D141" s="659">
        <f t="shared" si="6"/>
        <v>0</v>
      </c>
      <c r="E141" s="659">
        <f t="shared" si="7"/>
        <v>0</v>
      </c>
      <c r="F141" s="659">
        <v>0</v>
      </c>
      <c r="G141" s="659">
        <v>0</v>
      </c>
      <c r="H141" s="659">
        <v>0</v>
      </c>
      <c r="I141" s="662">
        <v>0</v>
      </c>
      <c r="J141" s="662">
        <v>0</v>
      </c>
      <c r="K141" s="662">
        <v>0</v>
      </c>
      <c r="L141" s="664">
        <f t="shared" si="9"/>
        <v>0</v>
      </c>
      <c r="M141" s="664">
        <v>0</v>
      </c>
      <c r="N141" s="664">
        <v>0</v>
      </c>
      <c r="O141" s="706"/>
    </row>
    <row r="142" spans="1:15" ht="12.75" x14ac:dyDescent="0.2">
      <c r="A142" s="161">
        <v>122</v>
      </c>
      <c r="B142" s="668" t="s">
        <v>294</v>
      </c>
      <c r="C142" s="669" t="s">
        <v>295</v>
      </c>
      <c r="D142" s="659">
        <f t="shared" ref="D142:D147" si="10">E142+H142+L142</f>
        <v>0</v>
      </c>
      <c r="E142" s="659">
        <f t="shared" ref="E142:E145" si="11">F142+G142</f>
        <v>0</v>
      </c>
      <c r="F142" s="659">
        <v>0</v>
      </c>
      <c r="G142" s="659">
        <v>0</v>
      </c>
      <c r="H142" s="659">
        <v>0</v>
      </c>
      <c r="I142" s="662">
        <v>0</v>
      </c>
      <c r="J142" s="662">
        <v>0</v>
      </c>
      <c r="K142" s="662">
        <v>0</v>
      </c>
      <c r="L142" s="664">
        <f t="shared" ref="L142:L147" si="12">M142+N142</f>
        <v>0</v>
      </c>
      <c r="M142" s="664">
        <v>0</v>
      </c>
      <c r="N142" s="664">
        <v>0</v>
      </c>
      <c r="O142" s="706"/>
    </row>
    <row r="143" spans="1:15" ht="12.75" x14ac:dyDescent="0.2">
      <c r="A143" s="161">
        <v>123</v>
      </c>
      <c r="B143" s="671" t="s">
        <v>296</v>
      </c>
      <c r="C143" s="646" t="s">
        <v>461</v>
      </c>
      <c r="D143" s="659">
        <f t="shared" si="10"/>
        <v>0</v>
      </c>
      <c r="E143" s="659">
        <f t="shared" si="11"/>
        <v>0</v>
      </c>
      <c r="F143" s="659">
        <v>0</v>
      </c>
      <c r="G143" s="659">
        <v>0</v>
      </c>
      <c r="H143" s="659">
        <v>0</v>
      </c>
      <c r="I143" s="662">
        <v>0</v>
      </c>
      <c r="J143" s="662">
        <v>0</v>
      </c>
      <c r="K143" s="662">
        <v>0</v>
      </c>
      <c r="L143" s="664">
        <f t="shared" si="12"/>
        <v>0</v>
      </c>
      <c r="M143" s="664">
        <v>0</v>
      </c>
      <c r="N143" s="664">
        <v>0</v>
      </c>
      <c r="O143" s="706"/>
    </row>
    <row r="144" spans="1:15" x14ac:dyDescent="0.2">
      <c r="A144" s="161">
        <v>124</v>
      </c>
      <c r="B144" s="161" t="s">
        <v>298</v>
      </c>
      <c r="C144" s="144" t="s">
        <v>299</v>
      </c>
      <c r="D144" s="659">
        <f t="shared" si="10"/>
        <v>0</v>
      </c>
      <c r="E144" s="659">
        <f t="shared" si="11"/>
        <v>0</v>
      </c>
      <c r="F144" s="659">
        <v>0</v>
      </c>
      <c r="G144" s="659">
        <v>0</v>
      </c>
      <c r="H144" s="659">
        <v>0</v>
      </c>
      <c r="I144" s="662">
        <v>0</v>
      </c>
      <c r="J144" s="662">
        <v>0</v>
      </c>
      <c r="K144" s="662">
        <v>0</v>
      </c>
      <c r="L144" s="664">
        <f t="shared" si="12"/>
        <v>0</v>
      </c>
      <c r="M144" s="664">
        <v>0</v>
      </c>
      <c r="N144" s="664">
        <v>0</v>
      </c>
      <c r="O144" s="706"/>
    </row>
    <row r="145" spans="1:15" x14ac:dyDescent="0.2">
      <c r="A145" s="161">
        <v>125</v>
      </c>
      <c r="B145" s="75" t="s">
        <v>300</v>
      </c>
      <c r="C145" s="144" t="s">
        <v>301</v>
      </c>
      <c r="D145" s="659">
        <f t="shared" si="10"/>
        <v>0</v>
      </c>
      <c r="E145" s="670">
        <f t="shared" si="11"/>
        <v>0</v>
      </c>
      <c r="F145" s="670">
        <v>0</v>
      </c>
      <c r="G145" s="670">
        <v>0</v>
      </c>
      <c r="H145" s="659">
        <v>0</v>
      </c>
      <c r="I145" s="662">
        <v>0</v>
      </c>
      <c r="J145" s="670">
        <v>0</v>
      </c>
      <c r="K145" s="670">
        <v>0</v>
      </c>
      <c r="L145" s="664">
        <f t="shared" si="12"/>
        <v>0</v>
      </c>
      <c r="M145" s="664">
        <v>0</v>
      </c>
      <c r="N145" s="664">
        <v>0</v>
      </c>
      <c r="O145" s="706"/>
    </row>
    <row r="146" spans="1:15" x14ac:dyDescent="0.2">
      <c r="A146" s="161">
        <v>126</v>
      </c>
      <c r="B146" s="673" t="s">
        <v>302</v>
      </c>
      <c r="C146" s="674" t="s">
        <v>303</v>
      </c>
      <c r="D146" s="659">
        <f t="shared" si="10"/>
        <v>0</v>
      </c>
      <c r="E146" s="670">
        <v>0</v>
      </c>
      <c r="F146" s="670">
        <v>0</v>
      </c>
      <c r="G146" s="670">
        <v>0</v>
      </c>
      <c r="H146" s="670">
        <v>0</v>
      </c>
      <c r="I146" s="662">
        <v>0</v>
      </c>
      <c r="J146" s="670">
        <v>0</v>
      </c>
      <c r="K146" s="670">
        <v>0</v>
      </c>
      <c r="L146" s="664">
        <f t="shared" si="12"/>
        <v>0</v>
      </c>
      <c r="M146" s="664">
        <v>0</v>
      </c>
      <c r="N146" s="664">
        <v>0</v>
      </c>
      <c r="O146" s="706"/>
    </row>
    <row r="147" spans="1:15" x14ac:dyDescent="0.2">
      <c r="A147" s="161">
        <v>127</v>
      </c>
      <c r="B147" s="75" t="s">
        <v>304</v>
      </c>
      <c r="C147" s="144" t="s">
        <v>305</v>
      </c>
      <c r="D147" s="659">
        <f t="shared" si="10"/>
        <v>0</v>
      </c>
      <c r="E147" s="670">
        <v>0</v>
      </c>
      <c r="F147" s="670">
        <v>0</v>
      </c>
      <c r="G147" s="670">
        <v>0</v>
      </c>
      <c r="H147" s="670">
        <v>0</v>
      </c>
      <c r="I147" s="662">
        <v>0</v>
      </c>
      <c r="J147" s="670">
        <v>0</v>
      </c>
      <c r="K147" s="670">
        <v>0</v>
      </c>
      <c r="L147" s="664">
        <f t="shared" si="12"/>
        <v>0</v>
      </c>
      <c r="M147" s="664">
        <v>0</v>
      </c>
      <c r="N147" s="664">
        <v>0</v>
      </c>
      <c r="O147" s="706"/>
    </row>
    <row r="148" spans="1:15" x14ac:dyDescent="0.2">
      <c r="A148" s="707"/>
      <c r="B148" s="708"/>
      <c r="C148" s="709"/>
      <c r="D148" s="710"/>
      <c r="E148" s="711"/>
      <c r="F148" s="711"/>
      <c r="G148" s="711"/>
      <c r="H148" s="711"/>
      <c r="I148" s="711"/>
      <c r="J148" s="711"/>
      <c r="K148" s="711"/>
      <c r="L148" s="712"/>
      <c r="M148" s="712"/>
      <c r="N148" s="712"/>
      <c r="O148" s="675"/>
    </row>
    <row r="149" spans="1:15" ht="12.75" customHeight="1" x14ac:dyDescent="0.2">
      <c r="A149" s="713"/>
      <c r="B149" s="713"/>
      <c r="C149" s="713"/>
      <c r="D149" s="713"/>
      <c r="E149" s="713"/>
      <c r="F149" s="713"/>
      <c r="G149" s="713"/>
      <c r="H149" s="713"/>
      <c r="I149" s="714"/>
    </row>
  </sheetData>
  <mergeCells count="27">
    <mergeCell ref="A1:N1"/>
    <mergeCell ref="A2:A5"/>
    <mergeCell ref="B2:B5"/>
    <mergeCell ref="C2:C5"/>
    <mergeCell ref="D2:N2"/>
    <mergeCell ref="D3:D5"/>
    <mergeCell ref="E3:G3"/>
    <mergeCell ref="H3:K3"/>
    <mergeCell ref="L3:L5"/>
    <mergeCell ref="M3:N3"/>
    <mergeCell ref="N4:N5"/>
    <mergeCell ref="J4:K4"/>
    <mergeCell ref="M4:M5"/>
    <mergeCell ref="A72:A74"/>
    <mergeCell ref="E4:E5"/>
    <mergeCell ref="F4:G4"/>
    <mergeCell ref="H4:H5"/>
    <mergeCell ref="I4:I5"/>
    <mergeCell ref="A7:C7"/>
    <mergeCell ref="A8:C8"/>
    <mergeCell ref="A9:C9"/>
    <mergeCell ref="A34:A35"/>
    <mergeCell ref="A75:A78"/>
    <mergeCell ref="A82:A83"/>
    <mergeCell ref="A85:A86"/>
    <mergeCell ref="A90:A93"/>
    <mergeCell ref="B90:B93"/>
  </mergeCells>
  <pageMargins left="0.31496062992125984" right="0.31496062992125984" top="0.35433070866141736" bottom="0.15748031496062992" header="0.31496062992125984" footer="0.31496062992125984"/>
  <pageSetup paperSize="9" scale="75" fitToHeight="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49"/>
  <sheetViews>
    <sheetView workbookViewId="0">
      <pane xSplit="4" ySplit="11" topLeftCell="E139" activePane="bottomRight" state="frozen"/>
      <selection pane="topRight" activeCell="E1" sqref="E1"/>
      <selection pane="bottomLeft" activeCell="A12" sqref="A12"/>
      <selection pane="bottomRight" activeCell="E142" sqref="E142"/>
    </sheetView>
  </sheetViews>
  <sheetFormatPr defaultRowHeight="12" x14ac:dyDescent="0.2"/>
  <cols>
    <col min="1" max="1" width="5.140625" style="160" customWidth="1"/>
    <col min="2" max="2" width="7.5703125" style="160" customWidth="1"/>
    <col min="3" max="3" width="48" style="160" customWidth="1"/>
    <col min="4" max="4" width="8.85546875" style="160" customWidth="1"/>
    <col min="5" max="5" width="23.7109375" style="159" customWidth="1"/>
    <col min="6" max="6" width="11.28515625" style="159" customWidth="1"/>
    <col min="7" max="7" width="26.7109375" style="159" customWidth="1"/>
    <col min="8" max="8" width="8.28515625" style="159" customWidth="1"/>
    <col min="9" max="9" width="10.140625" style="159" customWidth="1"/>
    <col min="10" max="10" width="22.42578125" style="159" customWidth="1"/>
    <col min="11" max="16384" width="9.140625" style="159"/>
  </cols>
  <sheetData>
    <row r="1" spans="1:12" ht="33.75" customHeight="1" x14ac:dyDescent="0.2">
      <c r="A1" s="1066" t="s">
        <v>754</v>
      </c>
      <c r="B1" s="1066"/>
      <c r="C1" s="1066"/>
      <c r="D1" s="1066"/>
      <c r="E1" s="1066"/>
      <c r="F1" s="1066"/>
      <c r="G1" s="1066"/>
      <c r="H1" s="1066"/>
      <c r="I1" s="1066"/>
      <c r="J1" s="1066"/>
    </row>
    <row r="2" spans="1:12" ht="9" customHeight="1" x14ac:dyDescent="0.2"/>
    <row r="3" spans="1:12" ht="15" customHeight="1" x14ac:dyDescent="0.2">
      <c r="A3" s="1057" t="s">
        <v>308</v>
      </c>
      <c r="B3" s="1067" t="s">
        <v>1</v>
      </c>
      <c r="C3" s="1070" t="s">
        <v>309</v>
      </c>
      <c r="D3" s="1065" t="s">
        <v>755</v>
      </c>
      <c r="E3" s="1065"/>
      <c r="F3" s="1065"/>
      <c r="G3" s="1065"/>
      <c r="H3" s="1065"/>
      <c r="I3" s="1065"/>
      <c r="J3" s="1065"/>
    </row>
    <row r="4" spans="1:12" ht="14.25" customHeight="1" x14ac:dyDescent="0.2">
      <c r="A4" s="1058"/>
      <c r="B4" s="1068"/>
      <c r="C4" s="1071"/>
      <c r="D4" s="1070" t="s">
        <v>438</v>
      </c>
      <c r="E4" s="1073" t="s">
        <v>448</v>
      </c>
      <c r="F4" s="1073"/>
      <c r="G4" s="1073"/>
      <c r="H4" s="1073"/>
      <c r="I4" s="1073"/>
      <c r="J4" s="1073"/>
    </row>
    <row r="5" spans="1:12" ht="14.25" customHeight="1" x14ac:dyDescent="0.2">
      <c r="A5" s="1058"/>
      <c r="B5" s="1068"/>
      <c r="C5" s="1071"/>
      <c r="D5" s="1071"/>
      <c r="E5" s="1074" t="s">
        <v>756</v>
      </c>
      <c r="F5" s="1075"/>
      <c r="G5" s="1076"/>
      <c r="H5" s="1074" t="s">
        <v>757</v>
      </c>
      <c r="I5" s="1075"/>
      <c r="J5" s="1076"/>
    </row>
    <row r="6" spans="1:12" ht="66.75" customHeight="1" x14ac:dyDescent="0.2">
      <c r="A6" s="1058"/>
      <c r="B6" s="1068"/>
      <c r="C6" s="1071"/>
      <c r="D6" s="1071"/>
      <c r="E6" s="577" t="s">
        <v>758</v>
      </c>
      <c r="F6" s="1063" t="s">
        <v>759</v>
      </c>
      <c r="G6" s="1064"/>
      <c r="H6" s="1054" t="s">
        <v>760</v>
      </c>
      <c r="I6" s="1055"/>
      <c r="J6" s="1056"/>
    </row>
    <row r="7" spans="1:12" ht="24.75" customHeight="1" x14ac:dyDescent="0.2">
      <c r="A7" s="1058"/>
      <c r="B7" s="1068"/>
      <c r="C7" s="1071"/>
      <c r="D7" s="1071"/>
      <c r="E7" s="1057" t="s">
        <v>761</v>
      </c>
      <c r="F7" s="1057" t="s">
        <v>46</v>
      </c>
      <c r="G7" s="577" t="s">
        <v>762</v>
      </c>
      <c r="H7" s="1060" t="s">
        <v>763</v>
      </c>
      <c r="I7" s="1063" t="s">
        <v>764</v>
      </c>
      <c r="J7" s="1064"/>
    </row>
    <row r="8" spans="1:12" ht="18" customHeight="1" x14ac:dyDescent="0.2">
      <c r="A8" s="1058"/>
      <c r="B8" s="1068"/>
      <c r="C8" s="1071"/>
      <c r="D8" s="1071"/>
      <c r="E8" s="1058"/>
      <c r="F8" s="1058"/>
      <c r="G8" s="1057" t="s">
        <v>748</v>
      </c>
      <c r="H8" s="1061"/>
      <c r="I8" s="1065" t="s">
        <v>46</v>
      </c>
      <c r="J8" s="579" t="s">
        <v>765</v>
      </c>
    </row>
    <row r="9" spans="1:12" ht="66.75" customHeight="1" x14ac:dyDescent="0.2">
      <c r="A9" s="1059"/>
      <c r="B9" s="1069"/>
      <c r="C9" s="1072"/>
      <c r="D9" s="1072"/>
      <c r="E9" s="1059"/>
      <c r="F9" s="1059"/>
      <c r="G9" s="1059"/>
      <c r="H9" s="1062"/>
      <c r="I9" s="1065"/>
      <c r="J9" s="579" t="s">
        <v>749</v>
      </c>
    </row>
    <row r="10" spans="1:12" ht="12.75" customHeight="1" x14ac:dyDescent="0.2">
      <c r="A10" s="580">
        <v>1</v>
      </c>
      <c r="B10" s="580">
        <v>2</v>
      </c>
      <c r="C10" s="580">
        <v>3</v>
      </c>
      <c r="D10" s="580">
        <v>4</v>
      </c>
      <c r="E10" s="565">
        <v>5</v>
      </c>
      <c r="F10" s="565">
        <v>6</v>
      </c>
      <c r="G10" s="565">
        <v>7</v>
      </c>
      <c r="H10" s="565">
        <v>8</v>
      </c>
      <c r="I10" s="565">
        <v>9</v>
      </c>
      <c r="J10" s="565">
        <v>10</v>
      </c>
    </row>
    <row r="11" spans="1:12" ht="21" customHeight="1" x14ac:dyDescent="0.2">
      <c r="A11" s="1052" t="s">
        <v>545</v>
      </c>
      <c r="B11" s="1052"/>
      <c r="C11" s="1053"/>
      <c r="D11" s="581">
        <f>E11+F11+H11+I11</f>
        <v>125941</v>
      </c>
      <c r="E11" s="581">
        <f t="shared" ref="E11:J11" si="0">SUM(E12:E149)-E92</f>
        <v>87403</v>
      </c>
      <c r="F11" s="581">
        <f t="shared" si="0"/>
        <v>37698</v>
      </c>
      <c r="G11" s="581">
        <f t="shared" si="0"/>
        <v>37698</v>
      </c>
      <c r="H11" s="581">
        <f t="shared" si="0"/>
        <v>560</v>
      </c>
      <c r="I11" s="581">
        <f t="shared" si="0"/>
        <v>280</v>
      </c>
      <c r="J11" s="581">
        <f t="shared" si="0"/>
        <v>280</v>
      </c>
      <c r="L11" s="592"/>
    </row>
    <row r="12" spans="1:12" x14ac:dyDescent="0.2">
      <c r="A12" s="161">
        <v>1</v>
      </c>
      <c r="B12" s="49" t="s">
        <v>54</v>
      </c>
      <c r="C12" s="582" t="s">
        <v>55</v>
      </c>
      <c r="D12" s="715">
        <f>E12+F12+H12+I12</f>
        <v>0</v>
      </c>
      <c r="E12" s="715">
        <v>0</v>
      </c>
      <c r="F12" s="715">
        <f>G12</f>
        <v>0</v>
      </c>
      <c r="G12" s="715">
        <v>0</v>
      </c>
      <c r="H12" s="715">
        <v>0</v>
      </c>
      <c r="I12" s="715">
        <v>0</v>
      </c>
      <c r="J12" s="715">
        <v>0</v>
      </c>
    </row>
    <row r="13" spans="1:12" x14ac:dyDescent="0.2">
      <c r="A13" s="161">
        <v>2</v>
      </c>
      <c r="B13" s="52" t="s">
        <v>56</v>
      </c>
      <c r="C13" s="582" t="s">
        <v>57</v>
      </c>
      <c r="D13" s="715">
        <f t="shared" ref="D13:D73" si="1">E13+F13+H13+I13</f>
        <v>0</v>
      </c>
      <c r="E13" s="715">
        <v>0</v>
      </c>
      <c r="F13" s="715">
        <f t="shared" ref="F13:F73" si="2">G13</f>
        <v>0</v>
      </c>
      <c r="G13" s="715">
        <v>0</v>
      </c>
      <c r="H13" s="715">
        <v>0</v>
      </c>
      <c r="I13" s="715">
        <v>0</v>
      </c>
      <c r="J13" s="715">
        <v>0</v>
      </c>
    </row>
    <row r="14" spans="1:12" x14ac:dyDescent="0.2">
      <c r="A14" s="161">
        <v>3</v>
      </c>
      <c r="B14" s="167" t="s">
        <v>16</v>
      </c>
      <c r="C14" s="582" t="s">
        <v>17</v>
      </c>
      <c r="D14" s="715">
        <f t="shared" si="1"/>
        <v>4803</v>
      </c>
      <c r="E14" s="715">
        <v>3354</v>
      </c>
      <c r="F14" s="715">
        <f t="shared" si="2"/>
        <v>1449</v>
      </c>
      <c r="G14" s="715">
        <v>1449</v>
      </c>
      <c r="H14" s="715">
        <v>0</v>
      </c>
      <c r="I14" s="715">
        <v>0</v>
      </c>
      <c r="J14" s="715">
        <v>0</v>
      </c>
    </row>
    <row r="15" spans="1:12" x14ac:dyDescent="0.2">
      <c r="A15" s="161">
        <v>4</v>
      </c>
      <c r="B15" s="49" t="s">
        <v>58</v>
      </c>
      <c r="C15" s="582" t="s">
        <v>59</v>
      </c>
      <c r="D15" s="715">
        <f t="shared" si="1"/>
        <v>0</v>
      </c>
      <c r="E15" s="715">
        <v>0</v>
      </c>
      <c r="F15" s="715">
        <f t="shared" si="2"/>
        <v>0</v>
      </c>
      <c r="G15" s="715">
        <v>0</v>
      </c>
      <c r="H15" s="715">
        <v>0</v>
      </c>
      <c r="I15" s="715">
        <v>0</v>
      </c>
      <c r="J15" s="715">
        <v>0</v>
      </c>
    </row>
    <row r="16" spans="1:12" x14ac:dyDescent="0.2">
      <c r="A16" s="161">
        <v>5</v>
      </c>
      <c r="B16" s="49" t="s">
        <v>60</v>
      </c>
      <c r="C16" s="582" t="s">
        <v>61</v>
      </c>
      <c r="D16" s="715">
        <f t="shared" si="1"/>
        <v>0</v>
      </c>
      <c r="E16" s="715">
        <v>0</v>
      </c>
      <c r="F16" s="715">
        <f t="shared" si="2"/>
        <v>0</v>
      </c>
      <c r="G16" s="715">
        <v>0</v>
      </c>
      <c r="H16" s="715">
        <v>0</v>
      </c>
      <c r="I16" s="715">
        <v>0</v>
      </c>
      <c r="J16" s="715">
        <v>0</v>
      </c>
    </row>
    <row r="17" spans="1:10" x14ac:dyDescent="0.2">
      <c r="A17" s="161">
        <v>6</v>
      </c>
      <c r="B17" s="167" t="s">
        <v>18</v>
      </c>
      <c r="C17" s="582" t="s">
        <v>19</v>
      </c>
      <c r="D17" s="715">
        <f t="shared" si="1"/>
        <v>8461</v>
      </c>
      <c r="E17" s="715">
        <v>5909</v>
      </c>
      <c r="F17" s="715">
        <f t="shared" si="2"/>
        <v>2552</v>
      </c>
      <c r="G17" s="715">
        <v>2552</v>
      </c>
      <c r="H17" s="715">
        <v>0</v>
      </c>
      <c r="I17" s="715">
        <v>0</v>
      </c>
      <c r="J17" s="715">
        <v>0</v>
      </c>
    </row>
    <row r="18" spans="1:10" x14ac:dyDescent="0.2">
      <c r="A18" s="161">
        <v>7</v>
      </c>
      <c r="B18" s="49" t="s">
        <v>62</v>
      </c>
      <c r="C18" s="582" t="s">
        <v>63</v>
      </c>
      <c r="D18" s="715">
        <f t="shared" si="1"/>
        <v>4288</v>
      </c>
      <c r="E18" s="715">
        <v>2995</v>
      </c>
      <c r="F18" s="715">
        <f t="shared" si="2"/>
        <v>1293</v>
      </c>
      <c r="G18" s="715">
        <v>1293</v>
      </c>
      <c r="H18" s="715">
        <v>0</v>
      </c>
      <c r="I18" s="715">
        <v>0</v>
      </c>
      <c r="J18" s="715">
        <v>0</v>
      </c>
    </row>
    <row r="19" spans="1:10" x14ac:dyDescent="0.2">
      <c r="A19" s="161">
        <v>8</v>
      </c>
      <c r="B19" s="167" t="s">
        <v>64</v>
      </c>
      <c r="C19" s="582" t="s">
        <v>65</v>
      </c>
      <c r="D19" s="715">
        <f t="shared" si="1"/>
        <v>0</v>
      </c>
      <c r="E19" s="715">
        <v>0</v>
      </c>
      <c r="F19" s="715">
        <f t="shared" si="2"/>
        <v>0</v>
      </c>
      <c r="G19" s="715">
        <v>0</v>
      </c>
      <c r="H19" s="715">
        <v>0</v>
      </c>
      <c r="I19" s="715">
        <v>0</v>
      </c>
      <c r="J19" s="715">
        <v>0</v>
      </c>
    </row>
    <row r="20" spans="1:10" x14ac:dyDescent="0.2">
      <c r="A20" s="161">
        <v>9</v>
      </c>
      <c r="B20" s="167" t="s">
        <v>66</v>
      </c>
      <c r="C20" s="582" t="s">
        <v>67</v>
      </c>
      <c r="D20" s="715">
        <f t="shared" si="1"/>
        <v>0</v>
      </c>
      <c r="E20" s="715">
        <v>0</v>
      </c>
      <c r="F20" s="715">
        <f t="shared" si="2"/>
        <v>0</v>
      </c>
      <c r="G20" s="715">
        <v>0</v>
      </c>
      <c r="H20" s="715">
        <v>0</v>
      </c>
      <c r="I20" s="715">
        <v>0</v>
      </c>
      <c r="J20" s="715">
        <v>0</v>
      </c>
    </row>
    <row r="21" spans="1:10" x14ac:dyDescent="0.2">
      <c r="A21" s="161">
        <v>10</v>
      </c>
      <c r="B21" s="167" t="s">
        <v>68</v>
      </c>
      <c r="C21" s="582" t="s">
        <v>69</v>
      </c>
      <c r="D21" s="715">
        <f t="shared" si="1"/>
        <v>0</v>
      </c>
      <c r="E21" s="715">
        <v>0</v>
      </c>
      <c r="F21" s="715">
        <f t="shared" si="2"/>
        <v>0</v>
      </c>
      <c r="G21" s="715">
        <v>0</v>
      </c>
      <c r="H21" s="715">
        <v>0</v>
      </c>
      <c r="I21" s="715">
        <v>0</v>
      </c>
      <c r="J21" s="715">
        <v>0</v>
      </c>
    </row>
    <row r="22" spans="1:10" x14ac:dyDescent="0.2">
      <c r="A22" s="161">
        <v>11</v>
      </c>
      <c r="B22" s="167" t="s">
        <v>70</v>
      </c>
      <c r="C22" s="582" t="s">
        <v>71</v>
      </c>
      <c r="D22" s="715">
        <f t="shared" si="1"/>
        <v>0</v>
      </c>
      <c r="E22" s="715">
        <v>0</v>
      </c>
      <c r="F22" s="715">
        <f t="shared" si="2"/>
        <v>0</v>
      </c>
      <c r="G22" s="715">
        <v>0</v>
      </c>
      <c r="H22" s="715">
        <v>0</v>
      </c>
      <c r="I22" s="715">
        <v>0</v>
      </c>
      <c r="J22" s="715">
        <v>0</v>
      </c>
    </row>
    <row r="23" spans="1:10" x14ac:dyDescent="0.2">
      <c r="A23" s="161">
        <v>12</v>
      </c>
      <c r="B23" s="167" t="s">
        <v>72</v>
      </c>
      <c r="C23" s="582" t="s">
        <v>73</v>
      </c>
      <c r="D23" s="715">
        <f t="shared" si="1"/>
        <v>0</v>
      </c>
      <c r="E23" s="715">
        <v>0</v>
      </c>
      <c r="F23" s="715">
        <f t="shared" si="2"/>
        <v>0</v>
      </c>
      <c r="G23" s="715">
        <v>0</v>
      </c>
      <c r="H23" s="715">
        <v>0</v>
      </c>
      <c r="I23" s="715">
        <v>0</v>
      </c>
      <c r="J23" s="715">
        <v>0</v>
      </c>
    </row>
    <row r="24" spans="1:10" x14ac:dyDescent="0.2">
      <c r="A24" s="161">
        <v>13</v>
      </c>
      <c r="B24" s="167" t="s">
        <v>74</v>
      </c>
      <c r="C24" s="582" t="s">
        <v>75</v>
      </c>
      <c r="D24" s="715">
        <f t="shared" si="1"/>
        <v>0</v>
      </c>
      <c r="E24" s="715">
        <v>0</v>
      </c>
      <c r="F24" s="715">
        <f t="shared" si="2"/>
        <v>0</v>
      </c>
      <c r="G24" s="715">
        <v>0</v>
      </c>
      <c r="H24" s="715">
        <v>0</v>
      </c>
      <c r="I24" s="715">
        <v>0</v>
      </c>
      <c r="J24" s="715">
        <v>0</v>
      </c>
    </row>
    <row r="25" spans="1:10" x14ac:dyDescent="0.2">
      <c r="A25" s="161">
        <v>14</v>
      </c>
      <c r="B25" s="167" t="s">
        <v>76</v>
      </c>
      <c r="C25" s="582" t="s">
        <v>77</v>
      </c>
      <c r="D25" s="715">
        <f t="shared" si="1"/>
        <v>0</v>
      </c>
      <c r="E25" s="715">
        <v>0</v>
      </c>
      <c r="F25" s="715">
        <f t="shared" si="2"/>
        <v>0</v>
      </c>
      <c r="G25" s="715">
        <v>0</v>
      </c>
      <c r="H25" s="715">
        <v>0</v>
      </c>
      <c r="I25" s="715">
        <v>0</v>
      </c>
      <c r="J25" s="715">
        <v>0</v>
      </c>
    </row>
    <row r="26" spans="1:10" x14ac:dyDescent="0.2">
      <c r="A26" s="161">
        <v>15</v>
      </c>
      <c r="B26" s="167" t="s">
        <v>78</v>
      </c>
      <c r="C26" s="582" t="s">
        <v>79</v>
      </c>
      <c r="D26" s="715">
        <f t="shared" si="1"/>
        <v>0</v>
      </c>
      <c r="E26" s="715">
        <v>0</v>
      </c>
      <c r="F26" s="715">
        <f t="shared" si="2"/>
        <v>0</v>
      </c>
      <c r="G26" s="715">
        <v>0</v>
      </c>
      <c r="H26" s="715">
        <v>0</v>
      </c>
      <c r="I26" s="715">
        <v>0</v>
      </c>
      <c r="J26" s="715">
        <v>0</v>
      </c>
    </row>
    <row r="27" spans="1:10" x14ac:dyDescent="0.2">
      <c r="A27" s="161">
        <v>16</v>
      </c>
      <c r="B27" s="167" t="s">
        <v>80</v>
      </c>
      <c r="C27" s="582" t="s">
        <v>81</v>
      </c>
      <c r="D27" s="715">
        <f t="shared" si="1"/>
        <v>0</v>
      </c>
      <c r="E27" s="715">
        <v>0</v>
      </c>
      <c r="F27" s="715">
        <f t="shared" si="2"/>
        <v>0</v>
      </c>
      <c r="G27" s="715">
        <v>0</v>
      </c>
      <c r="H27" s="715">
        <v>0</v>
      </c>
      <c r="I27" s="715">
        <v>0</v>
      </c>
      <c r="J27" s="715">
        <v>0</v>
      </c>
    </row>
    <row r="28" spans="1:10" x14ac:dyDescent="0.2">
      <c r="A28" s="161">
        <v>17</v>
      </c>
      <c r="B28" s="167" t="s">
        <v>20</v>
      </c>
      <c r="C28" s="582" t="s">
        <v>21</v>
      </c>
      <c r="D28" s="715">
        <f t="shared" si="1"/>
        <v>7173</v>
      </c>
      <c r="E28" s="715">
        <v>5010</v>
      </c>
      <c r="F28" s="715">
        <f t="shared" si="2"/>
        <v>2163</v>
      </c>
      <c r="G28" s="715">
        <v>2163</v>
      </c>
      <c r="H28" s="715">
        <v>0</v>
      </c>
      <c r="I28" s="715">
        <v>0</v>
      </c>
      <c r="J28" s="715">
        <v>0</v>
      </c>
    </row>
    <row r="29" spans="1:10" x14ac:dyDescent="0.2">
      <c r="A29" s="161">
        <v>18</v>
      </c>
      <c r="B29" s="49" t="s">
        <v>82</v>
      </c>
      <c r="C29" s="582" t="s">
        <v>83</v>
      </c>
      <c r="D29" s="715">
        <f t="shared" si="1"/>
        <v>0</v>
      </c>
      <c r="E29" s="715">
        <v>0</v>
      </c>
      <c r="F29" s="715">
        <f t="shared" si="2"/>
        <v>0</v>
      </c>
      <c r="G29" s="715">
        <v>0</v>
      </c>
      <c r="H29" s="715">
        <v>0</v>
      </c>
      <c r="I29" s="715">
        <v>0</v>
      </c>
      <c r="J29" s="715">
        <v>0</v>
      </c>
    </row>
    <row r="30" spans="1:10" x14ac:dyDescent="0.2">
      <c r="A30" s="161">
        <v>19</v>
      </c>
      <c r="B30" s="49" t="s">
        <v>84</v>
      </c>
      <c r="C30" s="582" t="s">
        <v>85</v>
      </c>
      <c r="D30" s="715">
        <f t="shared" si="1"/>
        <v>0</v>
      </c>
      <c r="E30" s="715">
        <v>0</v>
      </c>
      <c r="F30" s="715">
        <f t="shared" si="2"/>
        <v>0</v>
      </c>
      <c r="G30" s="715">
        <v>0</v>
      </c>
      <c r="H30" s="715">
        <v>0</v>
      </c>
      <c r="I30" s="715">
        <v>0</v>
      </c>
      <c r="J30" s="715">
        <v>0</v>
      </c>
    </row>
    <row r="31" spans="1:10" x14ac:dyDescent="0.2">
      <c r="A31" s="161">
        <v>20</v>
      </c>
      <c r="B31" s="49" t="s">
        <v>86</v>
      </c>
      <c r="C31" s="582" t="s">
        <v>87</v>
      </c>
      <c r="D31" s="715">
        <f t="shared" si="1"/>
        <v>0</v>
      </c>
      <c r="E31" s="715">
        <v>0</v>
      </c>
      <c r="F31" s="715">
        <f t="shared" si="2"/>
        <v>0</v>
      </c>
      <c r="G31" s="715">
        <v>0</v>
      </c>
      <c r="H31" s="715">
        <v>0</v>
      </c>
      <c r="I31" s="715">
        <v>0</v>
      </c>
      <c r="J31" s="715">
        <v>0</v>
      </c>
    </row>
    <row r="32" spans="1:10" x14ac:dyDescent="0.2">
      <c r="A32" s="161">
        <v>21</v>
      </c>
      <c r="B32" s="49" t="s">
        <v>22</v>
      </c>
      <c r="C32" s="582" t="s">
        <v>23</v>
      </c>
      <c r="D32" s="715">
        <f t="shared" si="1"/>
        <v>4547</v>
      </c>
      <c r="E32" s="715">
        <v>3176</v>
      </c>
      <c r="F32" s="715">
        <f t="shared" si="2"/>
        <v>1371</v>
      </c>
      <c r="G32" s="715">
        <v>1371</v>
      </c>
      <c r="H32" s="715">
        <v>0</v>
      </c>
      <c r="I32" s="715">
        <v>0</v>
      </c>
      <c r="J32" s="715">
        <v>0</v>
      </c>
    </row>
    <row r="33" spans="1:10" x14ac:dyDescent="0.2">
      <c r="A33" s="161">
        <v>22</v>
      </c>
      <c r="B33" s="167" t="s">
        <v>24</v>
      </c>
      <c r="C33" s="582" t="s">
        <v>25</v>
      </c>
      <c r="D33" s="715">
        <f t="shared" si="1"/>
        <v>0</v>
      </c>
      <c r="E33" s="715">
        <v>0</v>
      </c>
      <c r="F33" s="715">
        <f t="shared" si="2"/>
        <v>0</v>
      </c>
      <c r="G33" s="715">
        <v>0</v>
      </c>
      <c r="H33" s="715">
        <v>0</v>
      </c>
      <c r="I33" s="715">
        <v>0</v>
      </c>
      <c r="J33" s="715">
        <v>0</v>
      </c>
    </row>
    <row r="34" spans="1:10" x14ac:dyDescent="0.2">
      <c r="A34" s="161">
        <v>23</v>
      </c>
      <c r="B34" s="167" t="s">
        <v>88</v>
      </c>
      <c r="C34" s="582" t="s">
        <v>89</v>
      </c>
      <c r="D34" s="715">
        <f t="shared" si="1"/>
        <v>0</v>
      </c>
      <c r="E34" s="715">
        <v>0</v>
      </c>
      <c r="F34" s="715">
        <f t="shared" si="2"/>
        <v>0</v>
      </c>
      <c r="G34" s="715">
        <v>0</v>
      </c>
      <c r="H34" s="715">
        <v>0</v>
      </c>
      <c r="I34" s="715">
        <v>0</v>
      </c>
      <c r="J34" s="715">
        <v>0</v>
      </c>
    </row>
    <row r="35" spans="1:10" x14ac:dyDescent="0.2">
      <c r="A35" s="161">
        <v>24</v>
      </c>
      <c r="B35" s="167" t="s">
        <v>90</v>
      </c>
      <c r="C35" s="582" t="s">
        <v>91</v>
      </c>
      <c r="D35" s="715">
        <f t="shared" si="1"/>
        <v>0</v>
      </c>
      <c r="E35" s="715">
        <v>0</v>
      </c>
      <c r="F35" s="715">
        <f t="shared" si="2"/>
        <v>0</v>
      </c>
      <c r="G35" s="715">
        <v>0</v>
      </c>
      <c r="H35" s="715">
        <v>0</v>
      </c>
      <c r="I35" s="715">
        <v>0</v>
      </c>
      <c r="J35" s="715">
        <v>0</v>
      </c>
    </row>
    <row r="36" spans="1:10" x14ac:dyDescent="0.2">
      <c r="A36" s="921">
        <v>25</v>
      </c>
      <c r="B36" s="624" t="s">
        <v>92</v>
      </c>
      <c r="C36" s="57" t="s">
        <v>775</v>
      </c>
      <c r="D36" s="715">
        <f t="shared" si="1"/>
        <v>12415</v>
      </c>
      <c r="E36" s="715">
        <v>8671</v>
      </c>
      <c r="F36" s="715">
        <f t="shared" si="2"/>
        <v>3744</v>
      </c>
      <c r="G36" s="715">
        <v>3744</v>
      </c>
      <c r="H36" s="715">
        <v>0</v>
      </c>
      <c r="I36" s="715">
        <v>0</v>
      </c>
      <c r="J36" s="715">
        <v>0</v>
      </c>
    </row>
    <row r="37" spans="1:10" x14ac:dyDescent="0.2">
      <c r="A37" s="923"/>
      <c r="B37" s="167" t="s">
        <v>94</v>
      </c>
      <c r="C37" s="50" t="s">
        <v>95</v>
      </c>
      <c r="D37" s="715">
        <f t="shared" si="1"/>
        <v>0</v>
      </c>
      <c r="E37" s="715">
        <v>0</v>
      </c>
      <c r="F37" s="715">
        <f t="shared" si="2"/>
        <v>0</v>
      </c>
      <c r="G37" s="715">
        <v>0</v>
      </c>
      <c r="H37" s="715">
        <v>0</v>
      </c>
      <c r="I37" s="715">
        <v>0</v>
      </c>
      <c r="J37" s="715">
        <v>0</v>
      </c>
    </row>
    <row r="38" spans="1:10" x14ac:dyDescent="0.2">
      <c r="A38" s="161">
        <v>26</v>
      </c>
      <c r="B38" s="52" t="s">
        <v>96</v>
      </c>
      <c r="C38" s="582" t="s">
        <v>97</v>
      </c>
      <c r="D38" s="715">
        <f t="shared" si="1"/>
        <v>0</v>
      </c>
      <c r="E38" s="715">
        <v>0</v>
      </c>
      <c r="F38" s="715">
        <f t="shared" si="2"/>
        <v>0</v>
      </c>
      <c r="G38" s="715">
        <v>0</v>
      </c>
      <c r="H38" s="715">
        <v>0</v>
      </c>
      <c r="I38" s="715">
        <v>0</v>
      </c>
      <c r="J38" s="715">
        <v>0</v>
      </c>
    </row>
    <row r="39" spans="1:10" x14ac:dyDescent="0.2">
      <c r="A39" s="161">
        <v>27</v>
      </c>
      <c r="B39" s="52" t="s">
        <v>26</v>
      </c>
      <c r="C39" s="582" t="s">
        <v>27</v>
      </c>
      <c r="D39" s="715">
        <f t="shared" si="1"/>
        <v>4125</v>
      </c>
      <c r="E39" s="715">
        <v>2881</v>
      </c>
      <c r="F39" s="715">
        <f t="shared" si="2"/>
        <v>1244</v>
      </c>
      <c r="G39" s="715">
        <v>1244</v>
      </c>
      <c r="H39" s="715">
        <v>0</v>
      </c>
      <c r="I39" s="715">
        <v>0</v>
      </c>
      <c r="J39" s="715">
        <v>0</v>
      </c>
    </row>
    <row r="40" spans="1:10" x14ac:dyDescent="0.2">
      <c r="A40" s="161">
        <v>28</v>
      </c>
      <c r="B40" s="49" t="s">
        <v>98</v>
      </c>
      <c r="C40" s="582" t="s">
        <v>99</v>
      </c>
      <c r="D40" s="715">
        <f t="shared" si="1"/>
        <v>7340</v>
      </c>
      <c r="E40" s="715">
        <v>5127</v>
      </c>
      <c r="F40" s="715">
        <f t="shared" si="2"/>
        <v>2213</v>
      </c>
      <c r="G40" s="715">
        <v>2213</v>
      </c>
      <c r="H40" s="715">
        <v>0</v>
      </c>
      <c r="I40" s="715">
        <v>0</v>
      </c>
      <c r="J40" s="715">
        <v>0</v>
      </c>
    </row>
    <row r="41" spans="1:10" x14ac:dyDescent="0.2">
      <c r="A41" s="161">
        <v>29</v>
      </c>
      <c r="B41" s="52" t="s">
        <v>100</v>
      </c>
      <c r="C41" s="582" t="s">
        <v>101</v>
      </c>
      <c r="D41" s="715">
        <f t="shared" si="1"/>
        <v>0</v>
      </c>
      <c r="E41" s="715">
        <v>0</v>
      </c>
      <c r="F41" s="715">
        <f t="shared" si="2"/>
        <v>0</v>
      </c>
      <c r="G41" s="715">
        <v>0</v>
      </c>
      <c r="H41" s="715">
        <v>0</v>
      </c>
      <c r="I41" s="715">
        <v>0</v>
      </c>
      <c r="J41" s="715">
        <v>0</v>
      </c>
    </row>
    <row r="42" spans="1:10" x14ac:dyDescent="0.2">
      <c r="A42" s="161">
        <v>30</v>
      </c>
      <c r="B42" s="167" t="s">
        <v>102</v>
      </c>
      <c r="C42" s="582" t="s">
        <v>103</v>
      </c>
      <c r="D42" s="715">
        <f t="shared" si="1"/>
        <v>4098</v>
      </c>
      <c r="E42" s="715">
        <v>2862</v>
      </c>
      <c r="F42" s="715">
        <f t="shared" si="2"/>
        <v>1236</v>
      </c>
      <c r="G42" s="715">
        <v>1236</v>
      </c>
      <c r="H42" s="715">
        <v>0</v>
      </c>
      <c r="I42" s="715">
        <v>0</v>
      </c>
      <c r="J42" s="715">
        <v>0</v>
      </c>
    </row>
    <row r="43" spans="1:10" x14ac:dyDescent="0.2">
      <c r="A43" s="161">
        <v>31</v>
      </c>
      <c r="B43" s="52" t="s">
        <v>104</v>
      </c>
      <c r="C43" s="582" t="s">
        <v>105</v>
      </c>
      <c r="D43" s="715">
        <f t="shared" si="1"/>
        <v>0</v>
      </c>
      <c r="E43" s="715">
        <v>0</v>
      </c>
      <c r="F43" s="715">
        <f t="shared" si="2"/>
        <v>0</v>
      </c>
      <c r="G43" s="715">
        <v>0</v>
      </c>
      <c r="H43" s="715">
        <v>0</v>
      </c>
      <c r="I43" s="715">
        <v>0</v>
      </c>
      <c r="J43" s="715">
        <v>0</v>
      </c>
    </row>
    <row r="44" spans="1:10" x14ac:dyDescent="0.2">
      <c r="A44" s="161">
        <v>32</v>
      </c>
      <c r="B44" s="49" t="s">
        <v>106</v>
      </c>
      <c r="C44" s="582" t="s">
        <v>107</v>
      </c>
      <c r="D44" s="715">
        <f t="shared" si="1"/>
        <v>0</v>
      </c>
      <c r="E44" s="715">
        <v>0</v>
      </c>
      <c r="F44" s="715">
        <f t="shared" si="2"/>
        <v>0</v>
      </c>
      <c r="G44" s="715">
        <v>0</v>
      </c>
      <c r="H44" s="715">
        <v>0</v>
      </c>
      <c r="I44" s="715">
        <v>0</v>
      </c>
      <c r="J44" s="715">
        <v>0</v>
      </c>
    </row>
    <row r="45" spans="1:10" x14ac:dyDescent="0.2">
      <c r="A45" s="161">
        <v>33</v>
      </c>
      <c r="B45" s="162" t="s">
        <v>108</v>
      </c>
      <c r="C45" s="583" t="s">
        <v>109</v>
      </c>
      <c r="D45" s="715">
        <f t="shared" si="1"/>
        <v>0</v>
      </c>
      <c r="E45" s="715">
        <v>0</v>
      </c>
      <c r="F45" s="715">
        <f t="shared" si="2"/>
        <v>0</v>
      </c>
      <c r="G45" s="715">
        <v>0</v>
      </c>
      <c r="H45" s="715">
        <v>0</v>
      </c>
      <c r="I45" s="715">
        <v>0</v>
      </c>
      <c r="J45" s="715">
        <v>0</v>
      </c>
    </row>
    <row r="46" spans="1:10" x14ac:dyDescent="0.2">
      <c r="A46" s="161">
        <v>34</v>
      </c>
      <c r="B46" s="49" t="s">
        <v>110</v>
      </c>
      <c r="C46" s="582" t="s">
        <v>111</v>
      </c>
      <c r="D46" s="715">
        <f t="shared" si="1"/>
        <v>0</v>
      </c>
      <c r="E46" s="715">
        <v>0</v>
      </c>
      <c r="F46" s="715">
        <f t="shared" si="2"/>
        <v>0</v>
      </c>
      <c r="G46" s="715">
        <v>0</v>
      </c>
      <c r="H46" s="715">
        <v>0</v>
      </c>
      <c r="I46" s="715">
        <v>0</v>
      </c>
      <c r="J46" s="715">
        <v>0</v>
      </c>
    </row>
    <row r="47" spans="1:10" x14ac:dyDescent="0.2">
      <c r="A47" s="161">
        <v>35</v>
      </c>
      <c r="B47" s="49" t="s">
        <v>112</v>
      </c>
      <c r="C47" s="582" t="s">
        <v>113</v>
      </c>
      <c r="D47" s="715">
        <f t="shared" si="1"/>
        <v>0</v>
      </c>
      <c r="E47" s="715">
        <v>0</v>
      </c>
      <c r="F47" s="715">
        <f t="shared" si="2"/>
        <v>0</v>
      </c>
      <c r="G47" s="715">
        <v>0</v>
      </c>
      <c r="H47" s="715">
        <v>0</v>
      </c>
      <c r="I47" s="715">
        <v>0</v>
      </c>
      <c r="J47" s="715">
        <v>0</v>
      </c>
    </row>
    <row r="48" spans="1:10" x14ac:dyDescent="0.2">
      <c r="A48" s="161">
        <v>36</v>
      </c>
      <c r="B48" s="167" t="s">
        <v>114</v>
      </c>
      <c r="C48" s="582" t="s">
        <v>115</v>
      </c>
      <c r="D48" s="715">
        <f t="shared" si="1"/>
        <v>0</v>
      </c>
      <c r="E48" s="715">
        <v>0</v>
      </c>
      <c r="F48" s="715">
        <f t="shared" si="2"/>
        <v>0</v>
      </c>
      <c r="G48" s="715">
        <v>0</v>
      </c>
      <c r="H48" s="715">
        <v>0</v>
      </c>
      <c r="I48" s="715">
        <v>0</v>
      </c>
      <c r="J48" s="715">
        <v>0</v>
      </c>
    </row>
    <row r="49" spans="1:10" x14ac:dyDescent="0.2">
      <c r="A49" s="161">
        <v>37</v>
      </c>
      <c r="B49" s="52" t="s">
        <v>116</v>
      </c>
      <c r="C49" s="582" t="s">
        <v>117</v>
      </c>
      <c r="D49" s="715">
        <f t="shared" si="1"/>
        <v>0</v>
      </c>
      <c r="E49" s="715">
        <v>0</v>
      </c>
      <c r="F49" s="715">
        <f t="shared" si="2"/>
        <v>0</v>
      </c>
      <c r="G49" s="715">
        <v>0</v>
      </c>
      <c r="H49" s="715">
        <v>0</v>
      </c>
      <c r="I49" s="715">
        <v>0</v>
      </c>
      <c r="J49" s="715">
        <v>0</v>
      </c>
    </row>
    <row r="50" spans="1:10" x14ac:dyDescent="0.2">
      <c r="A50" s="161">
        <v>38</v>
      </c>
      <c r="B50" s="167" t="s">
        <v>28</v>
      </c>
      <c r="C50" s="582" t="s">
        <v>29</v>
      </c>
      <c r="D50" s="715">
        <f t="shared" si="1"/>
        <v>13159</v>
      </c>
      <c r="E50" s="715">
        <v>9191</v>
      </c>
      <c r="F50" s="715">
        <f t="shared" si="2"/>
        <v>3968</v>
      </c>
      <c r="G50" s="715">
        <v>3968</v>
      </c>
      <c r="H50" s="715">
        <v>0</v>
      </c>
      <c r="I50" s="715">
        <v>0</v>
      </c>
      <c r="J50" s="715">
        <v>0</v>
      </c>
    </row>
    <row r="51" spans="1:10" x14ac:dyDescent="0.2">
      <c r="A51" s="161">
        <v>39</v>
      </c>
      <c r="B51" s="49" t="s">
        <v>118</v>
      </c>
      <c r="C51" s="582" t="s">
        <v>119</v>
      </c>
      <c r="D51" s="715">
        <f t="shared" si="1"/>
        <v>0</v>
      </c>
      <c r="E51" s="715">
        <v>0</v>
      </c>
      <c r="F51" s="715">
        <f t="shared" si="2"/>
        <v>0</v>
      </c>
      <c r="G51" s="715">
        <v>0</v>
      </c>
      <c r="H51" s="715">
        <v>0</v>
      </c>
      <c r="I51" s="715">
        <v>0</v>
      </c>
      <c r="J51" s="715">
        <v>0</v>
      </c>
    </row>
    <row r="52" spans="1:10" x14ac:dyDescent="0.2">
      <c r="A52" s="161">
        <v>40</v>
      </c>
      <c r="B52" s="49" t="s">
        <v>120</v>
      </c>
      <c r="C52" s="582" t="s">
        <v>121</v>
      </c>
      <c r="D52" s="715">
        <f t="shared" si="1"/>
        <v>0</v>
      </c>
      <c r="E52" s="715">
        <v>0</v>
      </c>
      <c r="F52" s="715">
        <f t="shared" si="2"/>
        <v>0</v>
      </c>
      <c r="G52" s="715">
        <v>0</v>
      </c>
      <c r="H52" s="715">
        <v>0</v>
      </c>
      <c r="I52" s="715">
        <v>0</v>
      </c>
      <c r="J52" s="715">
        <v>0</v>
      </c>
    </row>
    <row r="53" spans="1:10" x14ac:dyDescent="0.2">
      <c r="A53" s="161">
        <v>41</v>
      </c>
      <c r="B53" s="167" t="s">
        <v>122</v>
      </c>
      <c r="C53" s="582" t="s">
        <v>123</v>
      </c>
      <c r="D53" s="715">
        <f t="shared" si="1"/>
        <v>0</v>
      </c>
      <c r="E53" s="715">
        <v>0</v>
      </c>
      <c r="F53" s="715">
        <f t="shared" si="2"/>
        <v>0</v>
      </c>
      <c r="G53" s="715">
        <v>0</v>
      </c>
      <c r="H53" s="715">
        <v>0</v>
      </c>
      <c r="I53" s="715">
        <v>0</v>
      </c>
      <c r="J53" s="715">
        <v>0</v>
      </c>
    </row>
    <row r="54" spans="1:10" x14ac:dyDescent="0.2">
      <c r="A54" s="161">
        <v>42</v>
      </c>
      <c r="B54" s="52" t="s">
        <v>124</v>
      </c>
      <c r="C54" s="582" t="s">
        <v>125</v>
      </c>
      <c r="D54" s="715">
        <f t="shared" si="1"/>
        <v>0</v>
      </c>
      <c r="E54" s="715">
        <v>0</v>
      </c>
      <c r="F54" s="715">
        <f t="shared" si="2"/>
        <v>0</v>
      </c>
      <c r="G54" s="715">
        <v>0</v>
      </c>
      <c r="H54" s="715">
        <v>0</v>
      </c>
      <c r="I54" s="715">
        <v>0</v>
      </c>
      <c r="J54" s="715">
        <v>0</v>
      </c>
    </row>
    <row r="55" spans="1:10" x14ac:dyDescent="0.2">
      <c r="A55" s="161">
        <v>43</v>
      </c>
      <c r="B55" s="167" t="s">
        <v>126</v>
      </c>
      <c r="C55" s="582" t="s">
        <v>127</v>
      </c>
      <c r="D55" s="715">
        <f t="shared" si="1"/>
        <v>0</v>
      </c>
      <c r="E55" s="715">
        <v>0</v>
      </c>
      <c r="F55" s="715">
        <f t="shared" si="2"/>
        <v>0</v>
      </c>
      <c r="G55" s="715">
        <v>0</v>
      </c>
      <c r="H55" s="715">
        <v>0</v>
      </c>
      <c r="I55" s="715">
        <v>0</v>
      </c>
      <c r="J55" s="715">
        <v>0</v>
      </c>
    </row>
    <row r="56" spans="1:10" x14ac:dyDescent="0.2">
      <c r="A56" s="161">
        <v>44</v>
      </c>
      <c r="B56" s="52" t="s">
        <v>128</v>
      </c>
      <c r="C56" s="582" t="s">
        <v>129</v>
      </c>
      <c r="D56" s="715">
        <f t="shared" si="1"/>
        <v>0</v>
      </c>
      <c r="E56" s="715">
        <v>0</v>
      </c>
      <c r="F56" s="715">
        <f t="shared" si="2"/>
        <v>0</v>
      </c>
      <c r="G56" s="715">
        <v>0</v>
      </c>
      <c r="H56" s="715">
        <v>0</v>
      </c>
      <c r="I56" s="715">
        <v>0</v>
      </c>
      <c r="J56" s="715">
        <v>0</v>
      </c>
    </row>
    <row r="57" spans="1:10" x14ac:dyDescent="0.2">
      <c r="A57" s="161">
        <v>45</v>
      </c>
      <c r="B57" s="167" t="s">
        <v>130</v>
      </c>
      <c r="C57" s="582" t="s">
        <v>131</v>
      </c>
      <c r="D57" s="715">
        <f t="shared" si="1"/>
        <v>0</v>
      </c>
      <c r="E57" s="715">
        <v>0</v>
      </c>
      <c r="F57" s="715">
        <f t="shared" si="2"/>
        <v>0</v>
      </c>
      <c r="G57" s="715">
        <v>0</v>
      </c>
      <c r="H57" s="715">
        <v>0</v>
      </c>
      <c r="I57" s="715">
        <v>0</v>
      </c>
      <c r="J57" s="715">
        <v>0</v>
      </c>
    </row>
    <row r="58" spans="1:10" x14ac:dyDescent="0.2">
      <c r="A58" s="161">
        <v>46</v>
      </c>
      <c r="B58" s="52" t="s">
        <v>132</v>
      </c>
      <c r="C58" s="582" t="s">
        <v>133</v>
      </c>
      <c r="D58" s="715">
        <f t="shared" si="1"/>
        <v>0</v>
      </c>
      <c r="E58" s="715">
        <v>0</v>
      </c>
      <c r="F58" s="715">
        <f t="shared" si="2"/>
        <v>0</v>
      </c>
      <c r="G58" s="715">
        <v>0</v>
      </c>
      <c r="H58" s="715">
        <v>0</v>
      </c>
      <c r="I58" s="715">
        <v>0</v>
      </c>
      <c r="J58" s="715">
        <v>0</v>
      </c>
    </row>
    <row r="59" spans="1:10" x14ac:dyDescent="0.2">
      <c r="A59" s="161">
        <v>47</v>
      </c>
      <c r="B59" s="167" t="s">
        <v>134</v>
      </c>
      <c r="C59" s="582" t="s">
        <v>135</v>
      </c>
      <c r="D59" s="715">
        <f t="shared" si="1"/>
        <v>0</v>
      </c>
      <c r="E59" s="715">
        <v>0</v>
      </c>
      <c r="F59" s="715">
        <f t="shared" si="2"/>
        <v>0</v>
      </c>
      <c r="G59" s="715">
        <v>0</v>
      </c>
      <c r="H59" s="715">
        <v>0</v>
      </c>
      <c r="I59" s="715">
        <v>0</v>
      </c>
      <c r="J59" s="715">
        <v>0</v>
      </c>
    </row>
    <row r="60" spans="1:10" x14ac:dyDescent="0.2">
      <c r="A60" s="161">
        <v>48</v>
      </c>
      <c r="B60" s="167" t="s">
        <v>136</v>
      </c>
      <c r="C60" s="582" t="s">
        <v>137</v>
      </c>
      <c r="D60" s="715">
        <f t="shared" si="1"/>
        <v>0</v>
      </c>
      <c r="E60" s="715">
        <v>0</v>
      </c>
      <c r="F60" s="715">
        <f t="shared" si="2"/>
        <v>0</v>
      </c>
      <c r="G60" s="715">
        <v>0</v>
      </c>
      <c r="H60" s="715">
        <v>0</v>
      </c>
      <c r="I60" s="715">
        <v>0</v>
      </c>
      <c r="J60" s="715">
        <v>0</v>
      </c>
    </row>
    <row r="61" spans="1:10" x14ac:dyDescent="0.2">
      <c r="A61" s="161">
        <v>49</v>
      </c>
      <c r="B61" s="167" t="s">
        <v>138</v>
      </c>
      <c r="C61" s="582" t="s">
        <v>139</v>
      </c>
      <c r="D61" s="715">
        <f t="shared" si="1"/>
        <v>0</v>
      </c>
      <c r="E61" s="715">
        <v>0</v>
      </c>
      <c r="F61" s="715">
        <f t="shared" si="2"/>
        <v>0</v>
      </c>
      <c r="G61" s="715">
        <v>0</v>
      </c>
      <c r="H61" s="715">
        <v>0</v>
      </c>
      <c r="I61" s="715">
        <v>0</v>
      </c>
      <c r="J61" s="715">
        <v>0</v>
      </c>
    </row>
    <row r="62" spans="1:10" x14ac:dyDescent="0.2">
      <c r="A62" s="161">
        <v>50</v>
      </c>
      <c r="B62" s="167" t="s">
        <v>140</v>
      </c>
      <c r="C62" s="582" t="s">
        <v>141</v>
      </c>
      <c r="D62" s="715">
        <f t="shared" si="1"/>
        <v>0</v>
      </c>
      <c r="E62" s="715">
        <v>0</v>
      </c>
      <c r="F62" s="715">
        <f t="shared" si="2"/>
        <v>0</v>
      </c>
      <c r="G62" s="715">
        <v>0</v>
      </c>
      <c r="H62" s="715">
        <v>0</v>
      </c>
      <c r="I62" s="715">
        <v>0</v>
      </c>
      <c r="J62" s="715">
        <v>0</v>
      </c>
    </row>
    <row r="63" spans="1:10" x14ac:dyDescent="0.2">
      <c r="A63" s="161">
        <v>51</v>
      </c>
      <c r="B63" s="52" t="s">
        <v>142</v>
      </c>
      <c r="C63" s="582" t="s">
        <v>143</v>
      </c>
      <c r="D63" s="715">
        <f t="shared" si="1"/>
        <v>0</v>
      </c>
      <c r="E63" s="715">
        <v>0</v>
      </c>
      <c r="F63" s="715">
        <f t="shared" si="2"/>
        <v>0</v>
      </c>
      <c r="G63" s="715">
        <v>0</v>
      </c>
      <c r="H63" s="715">
        <v>0</v>
      </c>
      <c r="I63" s="715">
        <v>0</v>
      </c>
      <c r="J63" s="715">
        <v>0</v>
      </c>
    </row>
    <row r="64" spans="1:10" x14ac:dyDescent="0.2">
      <c r="A64" s="161">
        <v>52</v>
      </c>
      <c r="B64" s="167" t="s">
        <v>144</v>
      </c>
      <c r="C64" s="582" t="s">
        <v>145</v>
      </c>
      <c r="D64" s="715">
        <f t="shared" si="1"/>
        <v>0</v>
      </c>
      <c r="E64" s="715">
        <v>0</v>
      </c>
      <c r="F64" s="715">
        <f t="shared" si="2"/>
        <v>0</v>
      </c>
      <c r="G64" s="715">
        <v>0</v>
      </c>
      <c r="H64" s="715">
        <v>0</v>
      </c>
      <c r="I64" s="715">
        <v>0</v>
      </c>
      <c r="J64" s="715">
        <v>0</v>
      </c>
    </row>
    <row r="65" spans="1:10" x14ac:dyDescent="0.2">
      <c r="A65" s="161">
        <v>53</v>
      </c>
      <c r="B65" s="167" t="s">
        <v>146</v>
      </c>
      <c r="C65" s="582" t="s">
        <v>147</v>
      </c>
      <c r="D65" s="715">
        <f t="shared" si="1"/>
        <v>0</v>
      </c>
      <c r="E65" s="715">
        <v>0</v>
      </c>
      <c r="F65" s="715">
        <f t="shared" si="2"/>
        <v>0</v>
      </c>
      <c r="G65" s="715">
        <v>0</v>
      </c>
      <c r="H65" s="715">
        <v>0</v>
      </c>
      <c r="I65" s="715">
        <v>0</v>
      </c>
      <c r="J65" s="715">
        <v>0</v>
      </c>
    </row>
    <row r="66" spans="1:10" x14ac:dyDescent="0.2">
      <c r="A66" s="161">
        <v>54</v>
      </c>
      <c r="B66" s="167" t="s">
        <v>148</v>
      </c>
      <c r="C66" s="582" t="s">
        <v>149</v>
      </c>
      <c r="D66" s="715">
        <f t="shared" si="1"/>
        <v>0</v>
      </c>
      <c r="E66" s="715">
        <v>0</v>
      </c>
      <c r="F66" s="715">
        <f t="shared" si="2"/>
        <v>0</v>
      </c>
      <c r="G66" s="715">
        <v>0</v>
      </c>
      <c r="H66" s="715">
        <v>0</v>
      </c>
      <c r="I66" s="715">
        <v>0</v>
      </c>
      <c r="J66" s="715">
        <v>0</v>
      </c>
    </row>
    <row r="67" spans="1:10" x14ac:dyDescent="0.2">
      <c r="A67" s="161">
        <v>55</v>
      </c>
      <c r="B67" s="52" t="s">
        <v>150</v>
      </c>
      <c r="C67" s="582" t="s">
        <v>151</v>
      </c>
      <c r="D67" s="715">
        <f t="shared" si="1"/>
        <v>0</v>
      </c>
      <c r="E67" s="715">
        <v>0</v>
      </c>
      <c r="F67" s="715">
        <f t="shared" si="2"/>
        <v>0</v>
      </c>
      <c r="G67" s="715">
        <v>0</v>
      </c>
      <c r="H67" s="715">
        <v>0</v>
      </c>
      <c r="I67" s="715">
        <v>0</v>
      </c>
      <c r="J67" s="715">
        <v>0</v>
      </c>
    </row>
    <row r="68" spans="1:10" x14ac:dyDescent="0.2">
      <c r="A68" s="161">
        <v>56</v>
      </c>
      <c r="B68" s="52" t="s">
        <v>154</v>
      </c>
      <c r="C68" s="582" t="s">
        <v>155</v>
      </c>
      <c r="D68" s="715">
        <f t="shared" si="1"/>
        <v>0</v>
      </c>
      <c r="E68" s="715">
        <v>0</v>
      </c>
      <c r="F68" s="715">
        <f t="shared" si="2"/>
        <v>0</v>
      </c>
      <c r="G68" s="715">
        <v>0</v>
      </c>
      <c r="H68" s="715">
        <v>0</v>
      </c>
      <c r="I68" s="715">
        <v>0</v>
      </c>
      <c r="J68" s="715">
        <v>0</v>
      </c>
    </row>
    <row r="69" spans="1:10" x14ac:dyDescent="0.2">
      <c r="A69" s="161">
        <v>57</v>
      </c>
      <c r="B69" s="49" t="s">
        <v>158</v>
      </c>
      <c r="C69" s="582" t="s">
        <v>159</v>
      </c>
      <c r="D69" s="715">
        <f t="shared" si="1"/>
        <v>0</v>
      </c>
      <c r="E69" s="715">
        <v>0</v>
      </c>
      <c r="F69" s="715">
        <f t="shared" si="2"/>
        <v>0</v>
      </c>
      <c r="G69" s="715">
        <v>0</v>
      </c>
      <c r="H69" s="715">
        <v>0</v>
      </c>
      <c r="I69" s="715">
        <v>0</v>
      </c>
      <c r="J69" s="715">
        <v>0</v>
      </c>
    </row>
    <row r="70" spans="1:10" x14ac:dyDescent="0.2">
      <c r="A70" s="161">
        <v>58</v>
      </c>
      <c r="B70" s="49" t="s">
        <v>160</v>
      </c>
      <c r="C70" s="582" t="s">
        <v>161</v>
      </c>
      <c r="D70" s="715">
        <f t="shared" si="1"/>
        <v>0</v>
      </c>
      <c r="E70" s="715">
        <v>0</v>
      </c>
      <c r="F70" s="715">
        <f t="shared" si="2"/>
        <v>0</v>
      </c>
      <c r="G70" s="715">
        <v>0</v>
      </c>
      <c r="H70" s="715">
        <v>0</v>
      </c>
      <c r="I70" s="715">
        <v>0</v>
      </c>
      <c r="J70" s="715">
        <v>0</v>
      </c>
    </row>
    <row r="71" spans="1:10" x14ac:dyDescent="0.2">
      <c r="A71" s="161">
        <v>59</v>
      </c>
      <c r="B71" s="52" t="s">
        <v>162</v>
      </c>
      <c r="C71" s="582" t="s">
        <v>163</v>
      </c>
      <c r="D71" s="715">
        <f t="shared" si="1"/>
        <v>0</v>
      </c>
      <c r="E71" s="715">
        <v>0</v>
      </c>
      <c r="F71" s="715">
        <f t="shared" si="2"/>
        <v>0</v>
      </c>
      <c r="G71" s="715">
        <v>0</v>
      </c>
      <c r="H71" s="715">
        <v>0</v>
      </c>
      <c r="I71" s="715">
        <v>0</v>
      </c>
      <c r="J71" s="715">
        <v>0</v>
      </c>
    </row>
    <row r="72" spans="1:10" x14ac:dyDescent="0.2">
      <c r="A72" s="161">
        <v>60</v>
      </c>
      <c r="B72" s="52" t="s">
        <v>164</v>
      </c>
      <c r="C72" s="582" t="s">
        <v>165</v>
      </c>
      <c r="D72" s="715">
        <f t="shared" si="1"/>
        <v>3301</v>
      </c>
      <c r="E72" s="715">
        <v>2306</v>
      </c>
      <c r="F72" s="715">
        <f t="shared" si="2"/>
        <v>995</v>
      </c>
      <c r="G72" s="715">
        <v>995</v>
      </c>
      <c r="H72" s="715">
        <v>0</v>
      </c>
      <c r="I72" s="715">
        <v>0</v>
      </c>
      <c r="J72" s="715">
        <v>0</v>
      </c>
    </row>
    <row r="73" spans="1:10" x14ac:dyDescent="0.2">
      <c r="A73" s="161">
        <v>61</v>
      </c>
      <c r="B73" s="52" t="s">
        <v>166</v>
      </c>
      <c r="C73" s="582" t="s">
        <v>167</v>
      </c>
      <c r="D73" s="715">
        <f t="shared" si="1"/>
        <v>0</v>
      </c>
      <c r="E73" s="715">
        <v>0</v>
      </c>
      <c r="F73" s="715">
        <f t="shared" si="2"/>
        <v>0</v>
      </c>
      <c r="G73" s="715">
        <v>0</v>
      </c>
      <c r="H73" s="715">
        <v>0</v>
      </c>
      <c r="I73" s="715">
        <v>0</v>
      </c>
      <c r="J73" s="715">
        <v>0</v>
      </c>
    </row>
    <row r="74" spans="1:10" ht="24" x14ac:dyDescent="0.2">
      <c r="A74" s="901">
        <v>62</v>
      </c>
      <c r="B74" s="49" t="s">
        <v>170</v>
      </c>
      <c r="C74" s="57" t="s">
        <v>774</v>
      </c>
      <c r="D74" s="715">
        <f t="shared" ref="D74:D140" si="3">E74+F74+H74+I74</f>
        <v>0</v>
      </c>
      <c r="E74" s="715">
        <v>0</v>
      </c>
      <c r="F74" s="715">
        <f t="shared" ref="F74:F140" si="4">G74</f>
        <v>0</v>
      </c>
      <c r="G74" s="715">
        <v>0</v>
      </c>
      <c r="H74" s="715">
        <v>0</v>
      </c>
      <c r="I74" s="715">
        <v>0</v>
      </c>
      <c r="J74" s="715">
        <v>0</v>
      </c>
    </row>
    <row r="75" spans="1:10" x14ac:dyDescent="0.2">
      <c r="A75" s="902"/>
      <c r="B75" s="52" t="s">
        <v>168</v>
      </c>
      <c r="C75" s="50" t="s">
        <v>169</v>
      </c>
      <c r="D75" s="715">
        <f t="shared" si="3"/>
        <v>0</v>
      </c>
      <c r="E75" s="715">
        <v>0</v>
      </c>
      <c r="F75" s="715">
        <f t="shared" si="4"/>
        <v>0</v>
      </c>
      <c r="G75" s="715">
        <v>0</v>
      </c>
      <c r="H75" s="715">
        <v>0</v>
      </c>
      <c r="I75" s="715">
        <v>0</v>
      </c>
      <c r="J75" s="715">
        <v>0</v>
      </c>
    </row>
    <row r="76" spans="1:10" x14ac:dyDescent="0.2">
      <c r="A76" s="903"/>
      <c r="B76" s="52" t="s">
        <v>174</v>
      </c>
      <c r="C76" s="50" t="s">
        <v>175</v>
      </c>
      <c r="D76" s="715">
        <f t="shared" si="3"/>
        <v>0</v>
      </c>
      <c r="E76" s="715">
        <v>0</v>
      </c>
      <c r="F76" s="715">
        <f t="shared" si="4"/>
        <v>0</v>
      </c>
      <c r="G76" s="715">
        <v>0</v>
      </c>
      <c r="H76" s="715">
        <v>0</v>
      </c>
      <c r="I76" s="715">
        <v>0</v>
      </c>
      <c r="J76" s="715">
        <v>0</v>
      </c>
    </row>
    <row r="77" spans="1:10" ht="24" x14ac:dyDescent="0.2">
      <c r="A77" s="901">
        <v>63</v>
      </c>
      <c r="B77" s="624" t="s">
        <v>176</v>
      </c>
      <c r="C77" s="57" t="s">
        <v>777</v>
      </c>
      <c r="D77" s="715">
        <f t="shared" si="3"/>
        <v>0</v>
      </c>
      <c r="E77" s="715">
        <v>0</v>
      </c>
      <c r="F77" s="715">
        <f t="shared" si="4"/>
        <v>0</v>
      </c>
      <c r="G77" s="715">
        <v>0</v>
      </c>
      <c r="H77" s="715">
        <v>0</v>
      </c>
      <c r="I77" s="715">
        <v>0</v>
      </c>
      <c r="J77" s="715">
        <v>0</v>
      </c>
    </row>
    <row r="78" spans="1:10" x14ac:dyDescent="0.2">
      <c r="A78" s="902"/>
      <c r="B78" s="52" t="s">
        <v>172</v>
      </c>
      <c r="C78" s="50" t="s">
        <v>173</v>
      </c>
      <c r="D78" s="715">
        <f t="shared" si="3"/>
        <v>0</v>
      </c>
      <c r="E78" s="715"/>
      <c r="F78" s="715">
        <f t="shared" si="4"/>
        <v>0</v>
      </c>
      <c r="G78" s="715"/>
      <c r="H78" s="715"/>
      <c r="I78" s="715"/>
      <c r="J78" s="715"/>
    </row>
    <row r="79" spans="1:10" x14ac:dyDescent="0.2">
      <c r="A79" s="902"/>
      <c r="B79" s="49" t="s">
        <v>178</v>
      </c>
      <c r="C79" s="50" t="s">
        <v>179</v>
      </c>
      <c r="D79" s="715">
        <f t="shared" si="3"/>
        <v>0</v>
      </c>
      <c r="E79" s="715">
        <v>0</v>
      </c>
      <c r="F79" s="715">
        <f t="shared" si="4"/>
        <v>0</v>
      </c>
      <c r="G79" s="715">
        <v>0</v>
      </c>
      <c r="H79" s="715">
        <v>0</v>
      </c>
      <c r="I79" s="715">
        <v>0</v>
      </c>
      <c r="J79" s="715">
        <v>0</v>
      </c>
    </row>
    <row r="80" spans="1:10" x14ac:dyDescent="0.2">
      <c r="A80" s="903"/>
      <c r="B80" s="49" t="s">
        <v>180</v>
      </c>
      <c r="C80" s="50" t="s">
        <v>181</v>
      </c>
      <c r="D80" s="715">
        <f t="shared" si="3"/>
        <v>0</v>
      </c>
      <c r="E80" s="715">
        <v>0</v>
      </c>
      <c r="F80" s="715">
        <f t="shared" si="4"/>
        <v>0</v>
      </c>
      <c r="G80" s="715">
        <v>0</v>
      </c>
      <c r="H80" s="715">
        <v>0</v>
      </c>
      <c r="I80" s="715">
        <v>0</v>
      </c>
      <c r="J80" s="715">
        <v>0</v>
      </c>
    </row>
    <row r="81" spans="1:10" x14ac:dyDescent="0.2">
      <c r="A81" s="161">
        <v>64</v>
      </c>
      <c r="B81" s="167" t="s">
        <v>182</v>
      </c>
      <c r="C81" s="582" t="s">
        <v>183</v>
      </c>
      <c r="D81" s="715">
        <f t="shared" si="3"/>
        <v>5913</v>
      </c>
      <c r="E81" s="715">
        <v>4130</v>
      </c>
      <c r="F81" s="715">
        <f t="shared" si="4"/>
        <v>1783</v>
      </c>
      <c r="G81" s="715">
        <v>1783</v>
      </c>
      <c r="H81" s="715">
        <v>0</v>
      </c>
      <c r="I81" s="715">
        <v>0</v>
      </c>
      <c r="J81" s="715">
        <v>0</v>
      </c>
    </row>
    <row r="82" spans="1:10" x14ac:dyDescent="0.2">
      <c r="A82" s="161">
        <v>65</v>
      </c>
      <c r="B82" s="49" t="s">
        <v>184</v>
      </c>
      <c r="C82" s="582" t="s">
        <v>185</v>
      </c>
      <c r="D82" s="715">
        <f t="shared" si="3"/>
        <v>6649</v>
      </c>
      <c r="E82" s="715">
        <v>4644</v>
      </c>
      <c r="F82" s="715">
        <f t="shared" si="4"/>
        <v>2005</v>
      </c>
      <c r="G82" s="715">
        <v>2005</v>
      </c>
      <c r="H82" s="715">
        <v>0</v>
      </c>
      <c r="I82" s="715">
        <v>0</v>
      </c>
      <c r="J82" s="715">
        <v>0</v>
      </c>
    </row>
    <row r="83" spans="1:10" x14ac:dyDescent="0.2">
      <c r="A83" s="161">
        <v>66</v>
      </c>
      <c r="B83" s="167" t="s">
        <v>186</v>
      </c>
      <c r="C83" s="582" t="s">
        <v>187</v>
      </c>
      <c r="D83" s="715">
        <f t="shared" si="3"/>
        <v>6053</v>
      </c>
      <c r="E83" s="715">
        <v>4228</v>
      </c>
      <c r="F83" s="715">
        <f t="shared" si="4"/>
        <v>1825</v>
      </c>
      <c r="G83" s="715">
        <v>1825</v>
      </c>
      <c r="H83" s="715">
        <v>0</v>
      </c>
      <c r="I83" s="715">
        <v>0</v>
      </c>
      <c r="J83" s="715">
        <v>0</v>
      </c>
    </row>
    <row r="84" spans="1:10" x14ac:dyDescent="0.2">
      <c r="A84" s="901">
        <v>67</v>
      </c>
      <c r="B84" s="624" t="s">
        <v>188</v>
      </c>
      <c r="C84" s="57" t="s">
        <v>785</v>
      </c>
      <c r="D84" s="715">
        <f t="shared" si="3"/>
        <v>0</v>
      </c>
      <c r="E84" s="715">
        <v>0</v>
      </c>
      <c r="F84" s="715">
        <f t="shared" si="4"/>
        <v>0</v>
      </c>
      <c r="G84" s="715">
        <v>0</v>
      </c>
      <c r="H84" s="715">
        <v>0</v>
      </c>
      <c r="I84" s="715">
        <v>0</v>
      </c>
      <c r="J84" s="715">
        <v>0</v>
      </c>
    </row>
    <row r="85" spans="1:10" x14ac:dyDescent="0.2">
      <c r="A85" s="903"/>
      <c r="B85" s="167" t="s">
        <v>156</v>
      </c>
      <c r="C85" s="50" t="s">
        <v>157</v>
      </c>
      <c r="D85" s="715">
        <f t="shared" si="3"/>
        <v>0</v>
      </c>
      <c r="E85" s="715"/>
      <c r="F85" s="715">
        <f t="shared" si="4"/>
        <v>0</v>
      </c>
      <c r="G85" s="715"/>
      <c r="H85" s="715"/>
      <c r="I85" s="715"/>
      <c r="J85" s="715"/>
    </row>
    <row r="86" spans="1:10" x14ac:dyDescent="0.2">
      <c r="A86" s="161">
        <v>68</v>
      </c>
      <c r="B86" s="49" t="s">
        <v>190</v>
      </c>
      <c r="C86" s="582" t="s">
        <v>191</v>
      </c>
      <c r="D86" s="715">
        <f t="shared" si="3"/>
        <v>7790</v>
      </c>
      <c r="E86" s="715">
        <v>5441</v>
      </c>
      <c r="F86" s="715">
        <f t="shared" si="4"/>
        <v>2349</v>
      </c>
      <c r="G86" s="715">
        <v>2349</v>
      </c>
      <c r="H86" s="715">
        <v>0</v>
      </c>
      <c r="I86" s="715">
        <v>0</v>
      </c>
      <c r="J86" s="715">
        <v>0</v>
      </c>
    </row>
    <row r="87" spans="1:10" x14ac:dyDescent="0.2">
      <c r="A87" s="901">
        <v>69</v>
      </c>
      <c r="B87" s="624" t="s">
        <v>192</v>
      </c>
      <c r="C87" s="57" t="s">
        <v>776</v>
      </c>
      <c r="D87" s="715">
        <f t="shared" si="3"/>
        <v>0</v>
      </c>
      <c r="E87" s="715">
        <v>0</v>
      </c>
      <c r="F87" s="715">
        <f t="shared" si="4"/>
        <v>0</v>
      </c>
      <c r="G87" s="715">
        <v>0</v>
      </c>
      <c r="H87" s="715">
        <v>0</v>
      </c>
      <c r="I87" s="715">
        <v>0</v>
      </c>
      <c r="J87" s="715">
        <v>0</v>
      </c>
    </row>
    <row r="88" spans="1:10" x14ac:dyDescent="0.2">
      <c r="A88" s="903"/>
      <c r="B88" s="49" t="s">
        <v>152</v>
      </c>
      <c r="C88" s="50" t="s">
        <v>153</v>
      </c>
      <c r="D88" s="715">
        <f t="shared" si="3"/>
        <v>0</v>
      </c>
      <c r="E88" s="715"/>
      <c r="F88" s="715">
        <f t="shared" si="4"/>
        <v>0</v>
      </c>
      <c r="G88" s="715"/>
      <c r="H88" s="715"/>
      <c r="I88" s="715"/>
      <c r="J88" s="715"/>
    </row>
    <row r="89" spans="1:10" x14ac:dyDescent="0.2">
      <c r="A89" s="161">
        <v>70</v>
      </c>
      <c r="B89" s="49" t="s">
        <v>194</v>
      </c>
      <c r="C89" s="582" t="s">
        <v>195</v>
      </c>
      <c r="D89" s="715">
        <f t="shared" si="3"/>
        <v>22650</v>
      </c>
      <c r="E89" s="715">
        <v>15260</v>
      </c>
      <c r="F89" s="715">
        <f t="shared" si="4"/>
        <v>6550</v>
      </c>
      <c r="G89" s="715">
        <v>6550</v>
      </c>
      <c r="H89" s="715">
        <v>560</v>
      </c>
      <c r="I89" s="715">
        <v>280</v>
      </c>
      <c r="J89" s="715">
        <v>280</v>
      </c>
    </row>
    <row r="90" spans="1:10" x14ac:dyDescent="0.2">
      <c r="A90" s="161">
        <v>71</v>
      </c>
      <c r="B90" s="49" t="s">
        <v>196</v>
      </c>
      <c r="C90" s="582" t="s">
        <v>197</v>
      </c>
      <c r="D90" s="715">
        <f t="shared" si="3"/>
        <v>0</v>
      </c>
      <c r="E90" s="715">
        <v>0</v>
      </c>
      <c r="F90" s="715">
        <f t="shared" si="4"/>
        <v>0</v>
      </c>
      <c r="G90" s="715">
        <v>0</v>
      </c>
      <c r="H90" s="715">
        <v>0</v>
      </c>
      <c r="I90" s="715">
        <v>0</v>
      </c>
      <c r="J90" s="715">
        <v>0</v>
      </c>
    </row>
    <row r="91" spans="1:10" x14ac:dyDescent="0.2">
      <c r="A91" s="161">
        <v>72</v>
      </c>
      <c r="B91" s="52" t="s">
        <v>30</v>
      </c>
      <c r="C91" s="582" t="s">
        <v>198</v>
      </c>
      <c r="D91" s="715">
        <f t="shared" si="3"/>
        <v>0</v>
      </c>
      <c r="E91" s="715">
        <v>0</v>
      </c>
      <c r="F91" s="715">
        <f t="shared" si="4"/>
        <v>0</v>
      </c>
      <c r="G91" s="715">
        <v>0</v>
      </c>
      <c r="H91" s="715">
        <v>0</v>
      </c>
      <c r="I91" s="715">
        <v>0</v>
      </c>
      <c r="J91" s="715">
        <v>0</v>
      </c>
    </row>
    <row r="92" spans="1:10" x14ac:dyDescent="0.2">
      <c r="A92" s="921">
        <v>73</v>
      </c>
      <c r="B92" s="904" t="s">
        <v>199</v>
      </c>
      <c r="C92" s="584" t="s">
        <v>200</v>
      </c>
      <c r="D92" s="715">
        <f t="shared" si="3"/>
        <v>0</v>
      </c>
      <c r="E92" s="715">
        <v>0</v>
      </c>
      <c r="F92" s="715">
        <f t="shared" si="4"/>
        <v>0</v>
      </c>
      <c r="G92" s="715">
        <v>0</v>
      </c>
      <c r="H92" s="715">
        <v>0</v>
      </c>
      <c r="I92" s="715">
        <v>0</v>
      </c>
      <c r="J92" s="715">
        <v>0</v>
      </c>
    </row>
    <row r="93" spans="1:10" ht="24" x14ac:dyDescent="0.2">
      <c r="A93" s="922"/>
      <c r="B93" s="905"/>
      <c r="C93" s="582" t="s">
        <v>201</v>
      </c>
      <c r="D93" s="715">
        <f t="shared" si="3"/>
        <v>0</v>
      </c>
      <c r="E93" s="715">
        <v>0</v>
      </c>
      <c r="F93" s="715">
        <f t="shared" si="4"/>
        <v>0</v>
      </c>
      <c r="G93" s="715">
        <v>0</v>
      </c>
      <c r="H93" s="715">
        <v>0</v>
      </c>
      <c r="I93" s="715">
        <v>0</v>
      </c>
      <c r="J93" s="715">
        <v>0</v>
      </c>
    </row>
    <row r="94" spans="1:10" x14ac:dyDescent="0.2">
      <c r="A94" s="922"/>
      <c r="B94" s="905"/>
      <c r="C94" s="582" t="s">
        <v>202</v>
      </c>
      <c r="D94" s="715">
        <f t="shared" si="3"/>
        <v>0</v>
      </c>
      <c r="E94" s="715">
        <v>0</v>
      </c>
      <c r="F94" s="715">
        <f t="shared" si="4"/>
        <v>0</v>
      </c>
      <c r="G94" s="715">
        <v>0</v>
      </c>
      <c r="H94" s="715">
        <v>0</v>
      </c>
      <c r="I94" s="715">
        <v>0</v>
      </c>
      <c r="J94" s="715">
        <v>0</v>
      </c>
    </row>
    <row r="95" spans="1:10" ht="24" x14ac:dyDescent="0.2">
      <c r="A95" s="923"/>
      <c r="B95" s="906"/>
      <c r="C95" s="585" t="s">
        <v>203</v>
      </c>
      <c r="D95" s="715">
        <f t="shared" si="3"/>
        <v>0</v>
      </c>
      <c r="E95" s="715">
        <v>0</v>
      </c>
      <c r="F95" s="715">
        <f t="shared" si="4"/>
        <v>0</v>
      </c>
      <c r="G95" s="715">
        <v>0</v>
      </c>
      <c r="H95" s="715">
        <v>0</v>
      </c>
      <c r="I95" s="715">
        <v>0</v>
      </c>
      <c r="J95" s="715">
        <v>0</v>
      </c>
    </row>
    <row r="96" spans="1:10" x14ac:dyDescent="0.2">
      <c r="A96" s="161">
        <v>74</v>
      </c>
      <c r="B96" s="52" t="s">
        <v>204</v>
      </c>
      <c r="C96" s="582" t="s">
        <v>205</v>
      </c>
      <c r="D96" s="715">
        <f t="shared" si="3"/>
        <v>0</v>
      </c>
      <c r="E96" s="715">
        <v>0</v>
      </c>
      <c r="F96" s="715">
        <f t="shared" si="4"/>
        <v>0</v>
      </c>
      <c r="G96" s="715">
        <v>0</v>
      </c>
      <c r="H96" s="715">
        <v>0</v>
      </c>
      <c r="I96" s="715">
        <v>0</v>
      </c>
      <c r="J96" s="715">
        <v>0</v>
      </c>
    </row>
    <row r="97" spans="1:10" x14ac:dyDescent="0.2">
      <c r="A97" s="161">
        <v>75</v>
      </c>
      <c r="B97" s="52" t="s">
        <v>206</v>
      </c>
      <c r="C97" s="582" t="s">
        <v>207</v>
      </c>
      <c r="D97" s="715">
        <f t="shared" si="3"/>
        <v>0</v>
      </c>
      <c r="E97" s="715">
        <v>0</v>
      </c>
      <c r="F97" s="715">
        <f t="shared" si="4"/>
        <v>0</v>
      </c>
      <c r="G97" s="715">
        <v>0</v>
      </c>
      <c r="H97" s="715">
        <v>0</v>
      </c>
      <c r="I97" s="715">
        <v>0</v>
      </c>
      <c r="J97" s="715">
        <v>0</v>
      </c>
    </row>
    <row r="98" spans="1:10" x14ac:dyDescent="0.2">
      <c r="A98" s="161">
        <v>76</v>
      </c>
      <c r="B98" s="167" t="s">
        <v>208</v>
      </c>
      <c r="C98" s="582" t="s">
        <v>209</v>
      </c>
      <c r="D98" s="715">
        <f t="shared" si="3"/>
        <v>0</v>
      </c>
      <c r="E98" s="715">
        <v>0</v>
      </c>
      <c r="F98" s="715">
        <f t="shared" si="4"/>
        <v>0</v>
      </c>
      <c r="G98" s="715">
        <v>0</v>
      </c>
      <c r="H98" s="715">
        <v>0</v>
      </c>
      <c r="I98" s="715">
        <v>0</v>
      </c>
      <c r="J98" s="715">
        <v>0</v>
      </c>
    </row>
    <row r="99" spans="1:10" x14ac:dyDescent="0.2">
      <c r="A99" s="161">
        <v>77</v>
      </c>
      <c r="B99" s="52" t="s">
        <v>210</v>
      </c>
      <c r="C99" s="582" t="s">
        <v>211</v>
      </c>
      <c r="D99" s="715">
        <f t="shared" si="3"/>
        <v>0</v>
      </c>
      <c r="E99" s="715">
        <v>0</v>
      </c>
      <c r="F99" s="715">
        <f t="shared" si="4"/>
        <v>0</v>
      </c>
      <c r="G99" s="715">
        <v>0</v>
      </c>
      <c r="H99" s="715">
        <v>0</v>
      </c>
      <c r="I99" s="715">
        <v>0</v>
      </c>
      <c r="J99" s="715">
        <v>0</v>
      </c>
    </row>
    <row r="100" spans="1:10" x14ac:dyDescent="0.2">
      <c r="A100" s="161">
        <v>78</v>
      </c>
      <c r="B100" s="167" t="s">
        <v>212</v>
      </c>
      <c r="C100" s="582" t="s">
        <v>213</v>
      </c>
      <c r="D100" s="715">
        <f t="shared" si="3"/>
        <v>0</v>
      </c>
      <c r="E100" s="715">
        <v>0</v>
      </c>
      <c r="F100" s="715">
        <f t="shared" si="4"/>
        <v>0</v>
      </c>
      <c r="G100" s="715">
        <v>0</v>
      </c>
      <c r="H100" s="715">
        <v>0</v>
      </c>
      <c r="I100" s="715">
        <v>0</v>
      </c>
      <c r="J100" s="715">
        <v>0</v>
      </c>
    </row>
    <row r="101" spans="1:10" x14ac:dyDescent="0.2">
      <c r="A101" s="161">
        <v>79</v>
      </c>
      <c r="B101" s="167" t="s">
        <v>214</v>
      </c>
      <c r="C101" s="582" t="s">
        <v>215</v>
      </c>
      <c r="D101" s="715">
        <f t="shared" si="3"/>
        <v>0</v>
      </c>
      <c r="E101" s="715">
        <v>0</v>
      </c>
      <c r="F101" s="715">
        <f t="shared" si="4"/>
        <v>0</v>
      </c>
      <c r="G101" s="715">
        <v>0</v>
      </c>
      <c r="H101" s="715">
        <v>0</v>
      </c>
      <c r="I101" s="715">
        <v>0</v>
      </c>
      <c r="J101" s="715">
        <v>0</v>
      </c>
    </row>
    <row r="102" spans="1:10" x14ac:dyDescent="0.2">
      <c r="A102" s="161">
        <v>80</v>
      </c>
      <c r="B102" s="52" t="s">
        <v>216</v>
      </c>
      <c r="C102" s="582" t="s">
        <v>217</v>
      </c>
      <c r="D102" s="715">
        <f t="shared" si="3"/>
        <v>0</v>
      </c>
      <c r="E102" s="715">
        <v>0</v>
      </c>
      <c r="F102" s="715">
        <f t="shared" si="4"/>
        <v>0</v>
      </c>
      <c r="G102" s="715">
        <v>0</v>
      </c>
      <c r="H102" s="715">
        <v>0</v>
      </c>
      <c r="I102" s="715">
        <v>0</v>
      </c>
      <c r="J102" s="715">
        <v>0</v>
      </c>
    </row>
    <row r="103" spans="1:10" x14ac:dyDescent="0.2">
      <c r="A103" s="161">
        <v>81</v>
      </c>
      <c r="B103" s="49" t="s">
        <v>218</v>
      </c>
      <c r="C103" s="582" t="s">
        <v>219</v>
      </c>
      <c r="D103" s="715">
        <f t="shared" si="3"/>
        <v>0</v>
      </c>
      <c r="E103" s="715">
        <v>0</v>
      </c>
      <c r="F103" s="715">
        <f t="shared" si="4"/>
        <v>0</v>
      </c>
      <c r="G103" s="715">
        <v>0</v>
      </c>
      <c r="H103" s="715">
        <v>0</v>
      </c>
      <c r="I103" s="715">
        <v>0</v>
      </c>
      <c r="J103" s="715">
        <v>0</v>
      </c>
    </row>
    <row r="104" spans="1:10" x14ac:dyDescent="0.2">
      <c r="A104" s="161">
        <v>82</v>
      </c>
      <c r="B104" s="49" t="s">
        <v>220</v>
      </c>
      <c r="C104" s="582" t="s">
        <v>221</v>
      </c>
      <c r="D104" s="715">
        <f t="shared" si="3"/>
        <v>0</v>
      </c>
      <c r="E104" s="715">
        <v>0</v>
      </c>
      <c r="F104" s="715">
        <f t="shared" si="4"/>
        <v>0</v>
      </c>
      <c r="G104" s="715">
        <v>0</v>
      </c>
      <c r="H104" s="715">
        <v>0</v>
      </c>
      <c r="I104" s="715">
        <v>0</v>
      </c>
      <c r="J104" s="715">
        <v>0</v>
      </c>
    </row>
    <row r="105" spans="1:10" x14ac:dyDescent="0.2">
      <c r="A105" s="161">
        <v>83</v>
      </c>
      <c r="B105" s="167" t="s">
        <v>222</v>
      </c>
      <c r="C105" s="582" t="s">
        <v>223</v>
      </c>
      <c r="D105" s="715">
        <f t="shared" si="3"/>
        <v>0</v>
      </c>
      <c r="E105" s="715">
        <v>0</v>
      </c>
      <c r="F105" s="715">
        <f t="shared" si="4"/>
        <v>0</v>
      </c>
      <c r="G105" s="715">
        <v>0</v>
      </c>
      <c r="H105" s="715">
        <v>0</v>
      </c>
      <c r="I105" s="715">
        <v>0</v>
      </c>
      <c r="J105" s="715">
        <v>0</v>
      </c>
    </row>
    <row r="106" spans="1:10" x14ac:dyDescent="0.2">
      <c r="A106" s="161">
        <v>84</v>
      </c>
      <c r="B106" s="49" t="s">
        <v>224</v>
      </c>
      <c r="C106" s="582" t="s">
        <v>225</v>
      </c>
      <c r="D106" s="715">
        <f t="shared" si="3"/>
        <v>0</v>
      </c>
      <c r="E106" s="715">
        <v>0</v>
      </c>
      <c r="F106" s="715">
        <f t="shared" si="4"/>
        <v>0</v>
      </c>
      <c r="G106" s="715">
        <v>0</v>
      </c>
      <c r="H106" s="715">
        <v>0</v>
      </c>
      <c r="I106" s="715">
        <v>0</v>
      </c>
      <c r="J106" s="715">
        <v>0</v>
      </c>
    </row>
    <row r="107" spans="1:10" x14ac:dyDescent="0.2">
      <c r="A107" s="161">
        <v>85</v>
      </c>
      <c r="B107" s="49" t="s">
        <v>226</v>
      </c>
      <c r="C107" s="582" t="s">
        <v>227</v>
      </c>
      <c r="D107" s="715">
        <f t="shared" si="3"/>
        <v>0</v>
      </c>
      <c r="E107" s="715">
        <v>0</v>
      </c>
      <c r="F107" s="715">
        <f t="shared" si="4"/>
        <v>0</v>
      </c>
      <c r="G107" s="715">
        <v>0</v>
      </c>
      <c r="H107" s="715">
        <v>0</v>
      </c>
      <c r="I107" s="715">
        <v>0</v>
      </c>
      <c r="J107" s="715">
        <v>0</v>
      </c>
    </row>
    <row r="108" spans="1:10" x14ac:dyDescent="0.2">
      <c r="A108" s="161">
        <v>86</v>
      </c>
      <c r="B108" s="52" t="s">
        <v>32</v>
      </c>
      <c r="C108" s="582" t="s">
        <v>33</v>
      </c>
      <c r="D108" s="715">
        <f t="shared" si="3"/>
        <v>3176</v>
      </c>
      <c r="E108" s="715">
        <v>2218</v>
      </c>
      <c r="F108" s="715">
        <f t="shared" si="4"/>
        <v>958</v>
      </c>
      <c r="G108" s="715">
        <v>958</v>
      </c>
      <c r="H108" s="715">
        <v>0</v>
      </c>
      <c r="I108" s="715">
        <v>0</v>
      </c>
      <c r="J108" s="715">
        <v>0</v>
      </c>
    </row>
    <row r="109" spans="1:10" x14ac:dyDescent="0.2">
      <c r="A109" s="161">
        <v>87</v>
      </c>
      <c r="B109" s="167" t="s">
        <v>228</v>
      </c>
      <c r="C109" s="582" t="s">
        <v>229</v>
      </c>
      <c r="D109" s="715">
        <f t="shared" si="3"/>
        <v>0</v>
      </c>
      <c r="E109" s="715">
        <v>0</v>
      </c>
      <c r="F109" s="715">
        <f t="shared" si="4"/>
        <v>0</v>
      </c>
      <c r="G109" s="715">
        <v>0</v>
      </c>
      <c r="H109" s="715">
        <v>0</v>
      </c>
      <c r="I109" s="715">
        <v>0</v>
      </c>
      <c r="J109" s="715">
        <v>0</v>
      </c>
    </row>
    <row r="110" spans="1:10" x14ac:dyDescent="0.2">
      <c r="A110" s="161">
        <v>88</v>
      </c>
      <c r="B110" s="49" t="s">
        <v>230</v>
      </c>
      <c r="C110" s="582" t="s">
        <v>231</v>
      </c>
      <c r="D110" s="715">
        <f t="shared" si="3"/>
        <v>0</v>
      </c>
      <c r="E110" s="715">
        <v>0</v>
      </c>
      <c r="F110" s="715">
        <f t="shared" si="4"/>
        <v>0</v>
      </c>
      <c r="G110" s="715">
        <v>0</v>
      </c>
      <c r="H110" s="715">
        <v>0</v>
      </c>
      <c r="I110" s="715">
        <v>0</v>
      </c>
      <c r="J110" s="715">
        <v>0</v>
      </c>
    </row>
    <row r="111" spans="1:10" x14ac:dyDescent="0.2">
      <c r="A111" s="161">
        <v>89</v>
      </c>
      <c r="B111" s="49" t="s">
        <v>232</v>
      </c>
      <c r="C111" s="582" t="s">
        <v>233</v>
      </c>
      <c r="D111" s="715">
        <f t="shared" si="3"/>
        <v>0</v>
      </c>
      <c r="E111" s="715">
        <v>0</v>
      </c>
      <c r="F111" s="715">
        <f t="shared" si="4"/>
        <v>0</v>
      </c>
      <c r="G111" s="715">
        <v>0</v>
      </c>
      <c r="H111" s="715">
        <v>0</v>
      </c>
      <c r="I111" s="715">
        <v>0</v>
      </c>
      <c r="J111" s="715">
        <v>0</v>
      </c>
    </row>
    <row r="112" spans="1:10" x14ac:dyDescent="0.2">
      <c r="A112" s="161">
        <v>90</v>
      </c>
      <c r="B112" s="49" t="s">
        <v>234</v>
      </c>
      <c r="C112" s="582" t="s">
        <v>235</v>
      </c>
      <c r="D112" s="715">
        <f t="shared" si="3"/>
        <v>0</v>
      </c>
      <c r="E112" s="715">
        <v>0</v>
      </c>
      <c r="F112" s="715">
        <f t="shared" si="4"/>
        <v>0</v>
      </c>
      <c r="G112" s="715">
        <v>0</v>
      </c>
      <c r="H112" s="715">
        <v>0</v>
      </c>
      <c r="I112" s="715">
        <v>0</v>
      </c>
      <c r="J112" s="715">
        <v>0</v>
      </c>
    </row>
    <row r="113" spans="1:10" x14ac:dyDescent="0.2">
      <c r="A113" s="161">
        <v>91</v>
      </c>
      <c r="B113" s="167" t="s">
        <v>236</v>
      </c>
      <c r="C113" s="582" t="s">
        <v>237</v>
      </c>
      <c r="D113" s="715">
        <f t="shared" si="3"/>
        <v>0</v>
      </c>
      <c r="E113" s="715">
        <v>0</v>
      </c>
      <c r="F113" s="715">
        <f t="shared" si="4"/>
        <v>0</v>
      </c>
      <c r="G113" s="715">
        <v>0</v>
      </c>
      <c r="H113" s="715">
        <v>0</v>
      </c>
      <c r="I113" s="715">
        <v>0</v>
      </c>
      <c r="J113" s="715">
        <v>0</v>
      </c>
    </row>
    <row r="114" spans="1:10" x14ac:dyDescent="0.2">
      <c r="A114" s="161">
        <v>92</v>
      </c>
      <c r="B114" s="167" t="s">
        <v>238</v>
      </c>
      <c r="C114" s="582" t="s">
        <v>239</v>
      </c>
      <c r="D114" s="715">
        <f t="shared" si="3"/>
        <v>0</v>
      </c>
      <c r="E114" s="715">
        <v>0</v>
      </c>
      <c r="F114" s="715">
        <f t="shared" si="4"/>
        <v>0</v>
      </c>
      <c r="G114" s="715">
        <v>0</v>
      </c>
      <c r="H114" s="715">
        <v>0</v>
      </c>
      <c r="I114" s="715">
        <v>0</v>
      </c>
      <c r="J114" s="715">
        <v>0</v>
      </c>
    </row>
    <row r="115" spans="1:10" x14ac:dyDescent="0.2">
      <c r="A115" s="161">
        <v>93</v>
      </c>
      <c r="B115" s="167" t="s">
        <v>240</v>
      </c>
      <c r="C115" s="582" t="s">
        <v>241</v>
      </c>
      <c r="D115" s="715">
        <f t="shared" si="3"/>
        <v>0</v>
      </c>
      <c r="E115" s="715">
        <v>0</v>
      </c>
      <c r="F115" s="715">
        <f t="shared" si="4"/>
        <v>0</v>
      </c>
      <c r="G115" s="715">
        <v>0</v>
      </c>
      <c r="H115" s="715">
        <v>0</v>
      </c>
      <c r="I115" s="715">
        <v>0</v>
      </c>
      <c r="J115" s="715">
        <v>0</v>
      </c>
    </row>
    <row r="116" spans="1:10" x14ac:dyDescent="0.2">
      <c r="A116" s="161">
        <v>94</v>
      </c>
      <c r="B116" s="167" t="s">
        <v>242</v>
      </c>
      <c r="C116" s="582" t="s">
        <v>243</v>
      </c>
      <c r="D116" s="715">
        <f t="shared" si="3"/>
        <v>0</v>
      </c>
      <c r="E116" s="715">
        <v>0</v>
      </c>
      <c r="F116" s="715">
        <f t="shared" si="4"/>
        <v>0</v>
      </c>
      <c r="G116" s="715">
        <v>0</v>
      </c>
      <c r="H116" s="715">
        <v>0</v>
      </c>
      <c r="I116" s="715">
        <v>0</v>
      </c>
      <c r="J116" s="715">
        <v>0</v>
      </c>
    </row>
    <row r="117" spans="1:10" x14ac:dyDescent="0.2">
      <c r="A117" s="161">
        <v>95</v>
      </c>
      <c r="B117" s="167" t="s">
        <v>244</v>
      </c>
      <c r="C117" s="582" t="s">
        <v>245</v>
      </c>
      <c r="D117" s="715">
        <f t="shared" si="3"/>
        <v>0</v>
      </c>
      <c r="E117" s="715">
        <v>0</v>
      </c>
      <c r="F117" s="715">
        <f t="shared" si="4"/>
        <v>0</v>
      </c>
      <c r="G117" s="715">
        <v>0</v>
      </c>
      <c r="H117" s="715">
        <v>0</v>
      </c>
      <c r="I117" s="715">
        <v>0</v>
      </c>
      <c r="J117" s="715">
        <v>0</v>
      </c>
    </row>
    <row r="118" spans="1:10" x14ac:dyDescent="0.2">
      <c r="A118" s="161">
        <v>96</v>
      </c>
      <c r="B118" s="163" t="s">
        <v>246</v>
      </c>
      <c r="C118" s="583" t="s">
        <v>247</v>
      </c>
      <c r="D118" s="715">
        <f t="shared" si="3"/>
        <v>0</v>
      </c>
      <c r="E118" s="715">
        <v>0</v>
      </c>
      <c r="F118" s="715">
        <f t="shared" si="4"/>
        <v>0</v>
      </c>
      <c r="G118" s="715">
        <v>0</v>
      </c>
      <c r="H118" s="715">
        <v>0</v>
      </c>
      <c r="I118" s="715">
        <v>0</v>
      </c>
      <c r="J118" s="715">
        <v>0</v>
      </c>
    </row>
    <row r="119" spans="1:10" x14ac:dyDescent="0.2">
      <c r="A119" s="161">
        <v>97</v>
      </c>
      <c r="B119" s="52" t="s">
        <v>248</v>
      </c>
      <c r="C119" s="582" t="s">
        <v>249</v>
      </c>
      <c r="D119" s="715">
        <f t="shared" si="3"/>
        <v>0</v>
      </c>
      <c r="E119" s="715">
        <v>0</v>
      </c>
      <c r="F119" s="715">
        <f t="shared" si="4"/>
        <v>0</v>
      </c>
      <c r="G119" s="715">
        <v>0</v>
      </c>
      <c r="H119" s="715">
        <v>0</v>
      </c>
      <c r="I119" s="715">
        <v>0</v>
      </c>
      <c r="J119" s="715">
        <v>0</v>
      </c>
    </row>
    <row r="120" spans="1:10" x14ac:dyDescent="0.2">
      <c r="A120" s="161">
        <v>98</v>
      </c>
      <c r="B120" s="167" t="s">
        <v>250</v>
      </c>
      <c r="C120" s="582" t="s">
        <v>251</v>
      </c>
      <c r="D120" s="715">
        <f t="shared" si="3"/>
        <v>0</v>
      </c>
      <c r="E120" s="715">
        <v>0</v>
      </c>
      <c r="F120" s="715">
        <f t="shared" si="4"/>
        <v>0</v>
      </c>
      <c r="G120" s="715">
        <v>0</v>
      </c>
      <c r="H120" s="715">
        <v>0</v>
      </c>
      <c r="I120" s="715">
        <v>0</v>
      </c>
      <c r="J120" s="715">
        <v>0</v>
      </c>
    </row>
    <row r="121" spans="1:10" x14ac:dyDescent="0.2">
      <c r="A121" s="161">
        <v>99</v>
      </c>
      <c r="B121" s="49" t="s">
        <v>252</v>
      </c>
      <c r="C121" s="586" t="s">
        <v>253</v>
      </c>
      <c r="D121" s="715">
        <f t="shared" si="3"/>
        <v>0</v>
      </c>
      <c r="E121" s="715">
        <v>0</v>
      </c>
      <c r="F121" s="715">
        <f t="shared" si="4"/>
        <v>0</v>
      </c>
      <c r="G121" s="715">
        <v>0</v>
      </c>
      <c r="H121" s="715">
        <v>0</v>
      </c>
      <c r="I121" s="715">
        <v>0</v>
      </c>
      <c r="J121" s="715">
        <v>0</v>
      </c>
    </row>
    <row r="122" spans="1:10" x14ac:dyDescent="0.2">
      <c r="A122" s="161">
        <v>100</v>
      </c>
      <c r="B122" s="167" t="s">
        <v>254</v>
      </c>
      <c r="C122" s="582" t="s">
        <v>255</v>
      </c>
      <c r="D122" s="715">
        <f t="shared" si="3"/>
        <v>0</v>
      </c>
      <c r="E122" s="715">
        <v>0</v>
      </c>
      <c r="F122" s="715">
        <f t="shared" si="4"/>
        <v>0</v>
      </c>
      <c r="G122" s="715">
        <v>0</v>
      </c>
      <c r="H122" s="715">
        <v>0</v>
      </c>
      <c r="I122" s="715">
        <v>0</v>
      </c>
      <c r="J122" s="715">
        <v>0</v>
      </c>
    </row>
    <row r="123" spans="1:10" x14ac:dyDescent="0.2">
      <c r="A123" s="161">
        <v>101</v>
      </c>
      <c r="B123" s="52" t="s">
        <v>256</v>
      </c>
      <c r="C123" s="582" t="s">
        <v>257</v>
      </c>
      <c r="D123" s="715">
        <f t="shared" si="3"/>
        <v>0</v>
      </c>
      <c r="E123" s="715">
        <v>0</v>
      </c>
      <c r="F123" s="715">
        <f t="shared" si="4"/>
        <v>0</v>
      </c>
      <c r="G123" s="715">
        <v>0</v>
      </c>
      <c r="H123" s="715">
        <v>0</v>
      </c>
      <c r="I123" s="715">
        <v>0</v>
      </c>
      <c r="J123" s="715">
        <v>0</v>
      </c>
    </row>
    <row r="124" spans="1:10" x14ac:dyDescent="0.2">
      <c r="A124" s="161">
        <v>102</v>
      </c>
      <c r="B124" s="49" t="s">
        <v>258</v>
      </c>
      <c r="C124" s="582" t="s">
        <v>259</v>
      </c>
      <c r="D124" s="715">
        <f t="shared" si="3"/>
        <v>0</v>
      </c>
      <c r="E124" s="715">
        <v>0</v>
      </c>
      <c r="F124" s="715">
        <f t="shared" si="4"/>
        <v>0</v>
      </c>
      <c r="G124" s="715">
        <v>0</v>
      </c>
      <c r="H124" s="715">
        <v>0</v>
      </c>
      <c r="I124" s="715">
        <v>0</v>
      </c>
      <c r="J124" s="715">
        <v>0</v>
      </c>
    </row>
    <row r="125" spans="1:10" x14ac:dyDescent="0.2">
      <c r="A125" s="161">
        <v>103</v>
      </c>
      <c r="B125" s="52" t="s">
        <v>543</v>
      </c>
      <c r="C125" s="587" t="s">
        <v>544</v>
      </c>
      <c r="D125" s="715">
        <f t="shared" si="3"/>
        <v>0</v>
      </c>
      <c r="E125" s="715">
        <v>0</v>
      </c>
      <c r="F125" s="715">
        <f t="shared" si="4"/>
        <v>0</v>
      </c>
      <c r="G125" s="715">
        <v>0</v>
      </c>
      <c r="H125" s="715">
        <v>0</v>
      </c>
      <c r="I125" s="715">
        <v>0</v>
      </c>
      <c r="J125" s="715">
        <v>0</v>
      </c>
    </row>
    <row r="126" spans="1:10" x14ac:dyDescent="0.2">
      <c r="A126" s="161">
        <v>104</v>
      </c>
      <c r="B126" s="52" t="s">
        <v>260</v>
      </c>
      <c r="C126" s="582" t="s">
        <v>261</v>
      </c>
      <c r="D126" s="715">
        <f t="shared" si="3"/>
        <v>0</v>
      </c>
      <c r="E126" s="715">
        <v>0</v>
      </c>
      <c r="F126" s="715">
        <f t="shared" si="4"/>
        <v>0</v>
      </c>
      <c r="G126" s="715">
        <v>0</v>
      </c>
      <c r="H126" s="715">
        <v>0</v>
      </c>
      <c r="I126" s="715">
        <v>0</v>
      </c>
      <c r="J126" s="715">
        <v>0</v>
      </c>
    </row>
    <row r="127" spans="1:10" x14ac:dyDescent="0.2">
      <c r="A127" s="161">
        <v>105</v>
      </c>
      <c r="B127" s="167" t="s">
        <v>262</v>
      </c>
      <c r="C127" s="582" t="s">
        <v>263</v>
      </c>
      <c r="D127" s="715">
        <f t="shared" si="3"/>
        <v>0</v>
      </c>
      <c r="E127" s="715">
        <v>0</v>
      </c>
      <c r="F127" s="715">
        <f t="shared" si="4"/>
        <v>0</v>
      </c>
      <c r="G127" s="715">
        <v>0</v>
      </c>
      <c r="H127" s="715">
        <v>0</v>
      </c>
      <c r="I127" s="715">
        <v>0</v>
      </c>
      <c r="J127" s="715">
        <v>0</v>
      </c>
    </row>
    <row r="128" spans="1:10" x14ac:dyDescent="0.2">
      <c r="A128" s="161">
        <v>106</v>
      </c>
      <c r="B128" s="167" t="s">
        <v>264</v>
      </c>
      <c r="C128" s="588" t="s">
        <v>265</v>
      </c>
      <c r="D128" s="715">
        <f t="shared" si="3"/>
        <v>0</v>
      </c>
      <c r="E128" s="715">
        <v>0</v>
      </c>
      <c r="F128" s="715">
        <f t="shared" si="4"/>
        <v>0</v>
      </c>
      <c r="G128" s="715">
        <v>0</v>
      </c>
      <c r="H128" s="715">
        <v>0</v>
      </c>
      <c r="I128" s="715">
        <v>0</v>
      </c>
      <c r="J128" s="715">
        <v>0</v>
      </c>
    </row>
    <row r="129" spans="1:10" x14ac:dyDescent="0.2">
      <c r="A129" s="161">
        <v>107</v>
      </c>
      <c r="B129" s="167" t="s">
        <v>266</v>
      </c>
      <c r="C129" s="582" t="s">
        <v>267</v>
      </c>
      <c r="D129" s="715">
        <f t="shared" si="3"/>
        <v>0</v>
      </c>
      <c r="E129" s="715">
        <v>0</v>
      </c>
      <c r="F129" s="715">
        <f t="shared" si="4"/>
        <v>0</v>
      </c>
      <c r="G129" s="715">
        <v>0</v>
      </c>
      <c r="H129" s="715">
        <v>0</v>
      </c>
      <c r="I129" s="715">
        <v>0</v>
      </c>
      <c r="J129" s="715">
        <v>0</v>
      </c>
    </row>
    <row r="130" spans="1:10" x14ac:dyDescent="0.2">
      <c r="A130" s="161">
        <v>108</v>
      </c>
      <c r="B130" s="167" t="s">
        <v>268</v>
      </c>
      <c r="C130" s="582" t="s">
        <v>269</v>
      </c>
      <c r="D130" s="715">
        <f t="shared" si="3"/>
        <v>0</v>
      </c>
      <c r="E130" s="715">
        <v>0</v>
      </c>
      <c r="F130" s="715">
        <f t="shared" si="4"/>
        <v>0</v>
      </c>
      <c r="G130" s="715">
        <v>0</v>
      </c>
      <c r="H130" s="715">
        <v>0</v>
      </c>
      <c r="I130" s="715">
        <v>0</v>
      </c>
      <c r="J130" s="715">
        <v>0</v>
      </c>
    </row>
    <row r="131" spans="1:10" x14ac:dyDescent="0.2">
      <c r="A131" s="161">
        <v>109</v>
      </c>
      <c r="B131" s="167" t="s">
        <v>270</v>
      </c>
      <c r="C131" s="582" t="s">
        <v>271</v>
      </c>
      <c r="D131" s="715">
        <f t="shared" si="3"/>
        <v>0</v>
      </c>
      <c r="E131" s="715">
        <v>0</v>
      </c>
      <c r="F131" s="715">
        <f t="shared" si="4"/>
        <v>0</v>
      </c>
      <c r="G131" s="715">
        <v>0</v>
      </c>
      <c r="H131" s="715">
        <v>0</v>
      </c>
      <c r="I131" s="715">
        <v>0</v>
      </c>
      <c r="J131" s="715">
        <v>0</v>
      </c>
    </row>
    <row r="132" spans="1:10" x14ac:dyDescent="0.2">
      <c r="A132" s="161">
        <v>110</v>
      </c>
      <c r="B132" s="49" t="s">
        <v>272</v>
      </c>
      <c r="C132" s="582" t="s">
        <v>273</v>
      </c>
      <c r="D132" s="715">
        <f t="shared" si="3"/>
        <v>0</v>
      </c>
      <c r="E132" s="715">
        <v>0</v>
      </c>
      <c r="F132" s="715">
        <f t="shared" si="4"/>
        <v>0</v>
      </c>
      <c r="G132" s="715">
        <v>0</v>
      </c>
      <c r="H132" s="715">
        <v>0</v>
      </c>
      <c r="I132" s="715">
        <v>0</v>
      </c>
      <c r="J132" s="715">
        <v>0</v>
      </c>
    </row>
    <row r="133" spans="1:10" x14ac:dyDescent="0.2">
      <c r="A133" s="161">
        <v>111</v>
      </c>
      <c r="B133" s="49" t="s">
        <v>274</v>
      </c>
      <c r="C133" s="582" t="s">
        <v>275</v>
      </c>
      <c r="D133" s="715">
        <f t="shared" si="3"/>
        <v>0</v>
      </c>
      <c r="E133" s="715">
        <v>0</v>
      </c>
      <c r="F133" s="715">
        <f t="shared" si="4"/>
        <v>0</v>
      </c>
      <c r="G133" s="715">
        <v>0</v>
      </c>
      <c r="H133" s="715">
        <v>0</v>
      </c>
      <c r="I133" s="715">
        <v>0</v>
      </c>
      <c r="J133" s="715">
        <v>0</v>
      </c>
    </row>
    <row r="134" spans="1:10" x14ac:dyDescent="0.2">
      <c r="A134" s="161">
        <v>112</v>
      </c>
      <c r="B134" s="49" t="s">
        <v>276</v>
      </c>
      <c r="C134" s="582" t="s">
        <v>277</v>
      </c>
      <c r="D134" s="715">
        <f t="shared" si="3"/>
        <v>0</v>
      </c>
      <c r="E134" s="715">
        <v>0</v>
      </c>
      <c r="F134" s="715">
        <f t="shared" si="4"/>
        <v>0</v>
      </c>
      <c r="G134" s="715">
        <v>0</v>
      </c>
      <c r="H134" s="715">
        <v>0</v>
      </c>
      <c r="I134" s="715">
        <v>0</v>
      </c>
      <c r="J134" s="715">
        <v>0</v>
      </c>
    </row>
    <row r="135" spans="1:10" x14ac:dyDescent="0.2">
      <c r="A135" s="161">
        <v>113</v>
      </c>
      <c r="B135" s="167" t="s">
        <v>278</v>
      </c>
      <c r="C135" s="582" t="s">
        <v>279</v>
      </c>
      <c r="D135" s="715">
        <f t="shared" si="3"/>
        <v>0</v>
      </c>
      <c r="E135" s="715">
        <v>0</v>
      </c>
      <c r="F135" s="715">
        <f t="shared" si="4"/>
        <v>0</v>
      </c>
      <c r="G135" s="715">
        <v>0</v>
      </c>
      <c r="H135" s="715">
        <v>0</v>
      </c>
      <c r="I135" s="715">
        <v>0</v>
      </c>
      <c r="J135" s="715">
        <v>0</v>
      </c>
    </row>
    <row r="136" spans="1:10" x14ac:dyDescent="0.2">
      <c r="A136" s="161">
        <v>114</v>
      </c>
      <c r="B136" s="167" t="s">
        <v>280</v>
      </c>
      <c r="C136" s="582" t="s">
        <v>281</v>
      </c>
      <c r="D136" s="715">
        <f t="shared" si="3"/>
        <v>0</v>
      </c>
      <c r="E136" s="715">
        <v>0</v>
      </c>
      <c r="F136" s="715">
        <f t="shared" si="4"/>
        <v>0</v>
      </c>
      <c r="G136" s="715">
        <v>0</v>
      </c>
      <c r="H136" s="715">
        <v>0</v>
      </c>
      <c r="I136" s="715">
        <v>0</v>
      </c>
      <c r="J136" s="715">
        <v>0</v>
      </c>
    </row>
    <row r="137" spans="1:10" x14ac:dyDescent="0.2">
      <c r="A137" s="161">
        <v>115</v>
      </c>
      <c r="B137" s="167" t="s">
        <v>282</v>
      </c>
      <c r="C137" s="582" t="s">
        <v>772</v>
      </c>
      <c r="D137" s="715">
        <f t="shared" si="3"/>
        <v>0</v>
      </c>
      <c r="E137" s="715">
        <v>0</v>
      </c>
      <c r="F137" s="715">
        <f t="shared" si="4"/>
        <v>0</v>
      </c>
      <c r="G137" s="715">
        <v>0</v>
      </c>
      <c r="H137" s="715">
        <v>0</v>
      </c>
      <c r="I137" s="715">
        <v>0</v>
      </c>
      <c r="J137" s="715">
        <v>0</v>
      </c>
    </row>
    <row r="138" spans="1:10" x14ac:dyDescent="0.2">
      <c r="A138" s="161">
        <v>116</v>
      </c>
      <c r="B138" s="49" t="s">
        <v>283</v>
      </c>
      <c r="C138" s="582" t="s">
        <v>284</v>
      </c>
      <c r="D138" s="715">
        <f t="shared" si="3"/>
        <v>0</v>
      </c>
      <c r="E138" s="715">
        <v>0</v>
      </c>
      <c r="F138" s="715">
        <f t="shared" si="4"/>
        <v>0</v>
      </c>
      <c r="G138" s="715">
        <v>0</v>
      </c>
      <c r="H138" s="715">
        <v>0</v>
      </c>
      <c r="I138" s="715">
        <v>0</v>
      </c>
      <c r="J138" s="715">
        <v>0</v>
      </c>
    </row>
    <row r="139" spans="1:10" x14ac:dyDescent="0.2">
      <c r="A139" s="161">
        <v>117</v>
      </c>
      <c r="B139" s="52" t="s">
        <v>285</v>
      </c>
      <c r="C139" s="582" t="s">
        <v>728</v>
      </c>
      <c r="D139" s="715">
        <f t="shared" si="3"/>
        <v>0</v>
      </c>
      <c r="E139" s="715">
        <v>0</v>
      </c>
      <c r="F139" s="715">
        <f t="shared" si="4"/>
        <v>0</v>
      </c>
      <c r="G139" s="715">
        <v>0</v>
      </c>
      <c r="H139" s="715">
        <v>0</v>
      </c>
      <c r="I139" s="715">
        <v>0</v>
      </c>
      <c r="J139" s="715">
        <v>0</v>
      </c>
    </row>
    <row r="140" spans="1:10" x14ac:dyDescent="0.2">
      <c r="A140" s="161">
        <v>118</v>
      </c>
      <c r="B140" s="167" t="s">
        <v>286</v>
      </c>
      <c r="C140" s="582" t="s">
        <v>287</v>
      </c>
      <c r="D140" s="715">
        <f t="shared" si="3"/>
        <v>0</v>
      </c>
      <c r="E140" s="715">
        <v>0</v>
      </c>
      <c r="F140" s="715">
        <f t="shared" si="4"/>
        <v>0</v>
      </c>
      <c r="G140" s="715">
        <v>0</v>
      </c>
      <c r="H140" s="715">
        <v>0</v>
      </c>
      <c r="I140" s="715">
        <v>0</v>
      </c>
      <c r="J140" s="715">
        <v>0</v>
      </c>
    </row>
    <row r="141" spans="1:10" x14ac:dyDescent="0.2">
      <c r="A141" s="161">
        <v>119</v>
      </c>
      <c r="B141" s="49" t="s">
        <v>288</v>
      </c>
      <c r="C141" s="582" t="s">
        <v>289</v>
      </c>
      <c r="D141" s="715">
        <f t="shared" ref="D141:D149" si="5">E141+F141+H141+I141</f>
        <v>0</v>
      </c>
      <c r="E141" s="715">
        <v>0</v>
      </c>
      <c r="F141" s="715">
        <f t="shared" ref="F141:F149" si="6">G141</f>
        <v>0</v>
      </c>
      <c r="G141" s="715">
        <v>0</v>
      </c>
      <c r="H141" s="715">
        <v>0</v>
      </c>
      <c r="I141" s="715">
        <v>0</v>
      </c>
      <c r="J141" s="715">
        <v>0</v>
      </c>
    </row>
    <row r="142" spans="1:10" x14ac:dyDescent="0.2">
      <c r="A142" s="161">
        <v>120</v>
      </c>
      <c r="B142" s="167" t="s">
        <v>290</v>
      </c>
      <c r="C142" s="582" t="s">
        <v>291</v>
      </c>
      <c r="D142" s="715">
        <f t="shared" si="5"/>
        <v>0</v>
      </c>
      <c r="E142" s="715">
        <v>0</v>
      </c>
      <c r="F142" s="715">
        <f t="shared" si="6"/>
        <v>0</v>
      </c>
      <c r="G142" s="715">
        <v>0</v>
      </c>
      <c r="H142" s="715">
        <v>0</v>
      </c>
      <c r="I142" s="715">
        <v>0</v>
      </c>
      <c r="J142" s="715">
        <v>0</v>
      </c>
    </row>
    <row r="143" spans="1:10" x14ac:dyDescent="0.2">
      <c r="A143" s="161">
        <v>121</v>
      </c>
      <c r="B143" s="61" t="s">
        <v>292</v>
      </c>
      <c r="C143" s="589" t="s">
        <v>293</v>
      </c>
      <c r="D143" s="715">
        <f t="shared" si="5"/>
        <v>0</v>
      </c>
      <c r="E143" s="715">
        <v>0</v>
      </c>
      <c r="F143" s="715">
        <f t="shared" si="6"/>
        <v>0</v>
      </c>
      <c r="G143" s="715">
        <v>0</v>
      </c>
      <c r="H143" s="715">
        <v>0</v>
      </c>
      <c r="I143" s="715">
        <v>0</v>
      </c>
      <c r="J143" s="715">
        <v>0</v>
      </c>
    </row>
    <row r="144" spans="1:10" x14ac:dyDescent="0.2">
      <c r="A144" s="161">
        <v>122</v>
      </c>
      <c r="B144" s="63" t="s">
        <v>294</v>
      </c>
      <c r="C144" s="590" t="s">
        <v>295</v>
      </c>
      <c r="D144" s="715">
        <f t="shared" si="5"/>
        <v>0</v>
      </c>
      <c r="E144" s="715">
        <v>0</v>
      </c>
      <c r="F144" s="715">
        <f t="shared" si="6"/>
        <v>0</v>
      </c>
      <c r="G144" s="715">
        <v>0</v>
      </c>
      <c r="H144" s="715">
        <v>0</v>
      </c>
      <c r="I144" s="715">
        <v>0</v>
      </c>
      <c r="J144" s="715">
        <v>0</v>
      </c>
    </row>
    <row r="145" spans="1:10" ht="12.75" x14ac:dyDescent="0.2">
      <c r="A145" s="161">
        <v>123</v>
      </c>
      <c r="B145" s="64" t="s">
        <v>296</v>
      </c>
      <c r="C145" s="716" t="s">
        <v>461</v>
      </c>
      <c r="D145" s="715">
        <f t="shared" si="5"/>
        <v>0</v>
      </c>
      <c r="E145" s="715">
        <v>0</v>
      </c>
      <c r="F145" s="715">
        <f t="shared" si="6"/>
        <v>0</v>
      </c>
      <c r="G145" s="715">
        <v>0</v>
      </c>
      <c r="H145" s="715">
        <v>0</v>
      </c>
      <c r="I145" s="715">
        <v>0</v>
      </c>
      <c r="J145" s="715">
        <v>0</v>
      </c>
    </row>
    <row r="146" spans="1:10" x14ac:dyDescent="0.2">
      <c r="A146" s="161">
        <v>124</v>
      </c>
      <c r="B146" s="161" t="s">
        <v>298</v>
      </c>
      <c r="C146" s="591" t="s">
        <v>299</v>
      </c>
      <c r="D146" s="715">
        <f t="shared" si="5"/>
        <v>0</v>
      </c>
      <c r="E146" s="715">
        <v>0</v>
      </c>
      <c r="F146" s="715">
        <f t="shared" si="6"/>
        <v>0</v>
      </c>
      <c r="G146" s="715">
        <v>0</v>
      </c>
      <c r="H146" s="715">
        <v>0</v>
      </c>
      <c r="I146" s="715">
        <v>0</v>
      </c>
      <c r="J146" s="715">
        <v>0</v>
      </c>
    </row>
    <row r="147" spans="1:10" x14ac:dyDescent="0.2">
      <c r="A147" s="161">
        <v>125</v>
      </c>
      <c r="B147" s="75" t="s">
        <v>300</v>
      </c>
      <c r="C147" s="591" t="s">
        <v>301</v>
      </c>
      <c r="D147" s="715">
        <f t="shared" si="5"/>
        <v>0</v>
      </c>
      <c r="E147" s="715">
        <v>0</v>
      </c>
      <c r="F147" s="715">
        <f t="shared" si="6"/>
        <v>0</v>
      </c>
      <c r="G147" s="715">
        <v>0</v>
      </c>
      <c r="H147" s="715">
        <v>0</v>
      </c>
      <c r="I147" s="715">
        <v>0</v>
      </c>
      <c r="J147" s="715">
        <v>0</v>
      </c>
    </row>
    <row r="148" spans="1:10" x14ac:dyDescent="0.2">
      <c r="A148" s="161">
        <v>126</v>
      </c>
      <c r="B148" s="75" t="s">
        <v>302</v>
      </c>
      <c r="C148" s="591" t="s">
        <v>303</v>
      </c>
      <c r="D148" s="715">
        <f t="shared" si="5"/>
        <v>0</v>
      </c>
      <c r="E148" s="715">
        <v>0</v>
      </c>
      <c r="F148" s="715">
        <f t="shared" si="6"/>
        <v>0</v>
      </c>
      <c r="G148" s="715">
        <v>0</v>
      </c>
      <c r="H148" s="715">
        <v>0</v>
      </c>
      <c r="I148" s="715">
        <v>0</v>
      </c>
      <c r="J148" s="715">
        <v>0</v>
      </c>
    </row>
    <row r="149" spans="1:10" x14ac:dyDescent="0.2">
      <c r="A149" s="161">
        <v>127</v>
      </c>
      <c r="B149" s="75" t="s">
        <v>304</v>
      </c>
      <c r="C149" s="583" t="s">
        <v>305</v>
      </c>
      <c r="D149" s="715">
        <f t="shared" si="5"/>
        <v>0</v>
      </c>
      <c r="E149" s="715">
        <v>0</v>
      </c>
      <c r="F149" s="715">
        <f t="shared" si="6"/>
        <v>0</v>
      </c>
      <c r="G149" s="715">
        <v>0</v>
      </c>
      <c r="H149" s="715">
        <v>0</v>
      </c>
      <c r="I149" s="715">
        <v>0</v>
      </c>
      <c r="J149" s="715">
        <v>0</v>
      </c>
    </row>
  </sheetData>
  <mergeCells count="25">
    <mergeCell ref="A1:J1"/>
    <mergeCell ref="A3:A9"/>
    <mergeCell ref="B3:B9"/>
    <mergeCell ref="C3:C9"/>
    <mergeCell ref="D3:J3"/>
    <mergeCell ref="D4:D9"/>
    <mergeCell ref="E4:J4"/>
    <mergeCell ref="E5:G5"/>
    <mergeCell ref="H5:J5"/>
    <mergeCell ref="F6:G6"/>
    <mergeCell ref="A11:C11"/>
    <mergeCell ref="A92:A95"/>
    <mergeCell ref="B92:B95"/>
    <mergeCell ref="H6:J6"/>
    <mergeCell ref="E7:E9"/>
    <mergeCell ref="F7:F9"/>
    <mergeCell ref="H7:H9"/>
    <mergeCell ref="I7:J7"/>
    <mergeCell ref="G8:G9"/>
    <mergeCell ref="I8:I9"/>
    <mergeCell ref="A36:A37"/>
    <mergeCell ref="A74:A76"/>
    <mergeCell ref="A77:A80"/>
    <mergeCell ref="A84:A85"/>
    <mergeCell ref="A87:A88"/>
  </mergeCells>
  <pageMargins left="0.31496062992125984" right="0.31496062992125984" top="0.74803149606299213" bottom="0.74803149606299213" header="0.31496062992125984" footer="0.31496062992125984"/>
  <pageSetup paperSize="9" scale="8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55"/>
  <sheetViews>
    <sheetView zoomScale="90" zoomScaleNormal="9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R31" sqref="R31"/>
    </sheetView>
  </sheetViews>
  <sheetFormatPr defaultRowHeight="12.75" x14ac:dyDescent="0.2"/>
  <cols>
    <col min="1" max="1" width="5.85546875" style="752" customWidth="1"/>
    <col min="2" max="2" width="9.7109375" style="752" customWidth="1"/>
    <col min="3" max="3" width="35.5703125" style="752" customWidth="1"/>
    <col min="4" max="4" width="12.42578125" style="752" customWidth="1"/>
    <col min="5" max="5" width="11.7109375" style="752" customWidth="1"/>
    <col min="6" max="6" width="12.28515625" style="752" customWidth="1"/>
    <col min="7" max="7" width="11.85546875" style="752" customWidth="1"/>
    <col min="8" max="8" width="10.85546875" style="752" customWidth="1"/>
    <col min="9" max="9" width="11.140625" style="752" customWidth="1"/>
    <col min="10" max="10" width="10.85546875" style="752" customWidth="1"/>
    <col min="11" max="11" width="11.28515625" style="752" customWidth="1"/>
    <col min="12" max="12" width="10" style="752" customWidth="1"/>
    <col min="13" max="13" width="11" style="752" customWidth="1"/>
    <col min="14" max="14" width="11.7109375" style="752" customWidth="1"/>
    <col min="15" max="15" width="11.28515625" style="752" customWidth="1"/>
    <col min="16" max="16384" width="9.140625" style="752"/>
  </cols>
  <sheetData>
    <row r="1" spans="1:15" s="766" customFormat="1" ht="21.75" customHeight="1" x14ac:dyDescent="0.2">
      <c r="A1" s="1101" t="s">
        <v>751</v>
      </c>
      <c r="B1" s="1101"/>
      <c r="C1" s="1101"/>
      <c r="D1" s="1101"/>
      <c r="E1" s="1101"/>
      <c r="F1" s="1101"/>
      <c r="G1" s="1101"/>
      <c r="H1" s="1101"/>
      <c r="I1" s="1101"/>
      <c r="J1" s="1101"/>
      <c r="K1" s="1101"/>
      <c r="L1" s="1101"/>
      <c r="M1" s="1101"/>
      <c r="N1" s="1101"/>
      <c r="O1" s="1101"/>
    </row>
    <row r="2" spans="1:15" ht="13.5" thickBot="1" x14ac:dyDescent="0.25"/>
    <row r="3" spans="1:15" s="767" customFormat="1" ht="27.75" customHeight="1" thickBot="1" x14ac:dyDescent="0.25">
      <c r="A3" s="1102" t="s">
        <v>0</v>
      </c>
      <c r="B3" s="1105" t="s">
        <v>326</v>
      </c>
      <c r="C3" s="1108" t="s">
        <v>309</v>
      </c>
      <c r="D3" s="1111" t="s">
        <v>722</v>
      </c>
      <c r="E3" s="1112"/>
      <c r="F3" s="1112"/>
      <c r="G3" s="1112"/>
      <c r="H3" s="1112"/>
      <c r="I3" s="1112"/>
      <c r="J3" s="1112"/>
      <c r="K3" s="1112"/>
      <c r="L3" s="1112"/>
      <c r="M3" s="1112"/>
      <c r="N3" s="1112"/>
      <c r="O3" s="1113"/>
    </row>
    <row r="4" spans="1:15" s="767" customFormat="1" ht="15" customHeight="1" thickBot="1" x14ac:dyDescent="0.25">
      <c r="A4" s="1103"/>
      <c r="B4" s="1106"/>
      <c r="C4" s="1109"/>
      <c r="D4" s="1114" t="s">
        <v>44</v>
      </c>
      <c r="E4" s="1116" t="s">
        <v>448</v>
      </c>
      <c r="F4" s="1117"/>
      <c r="G4" s="1118"/>
      <c r="H4" s="1119" t="s">
        <v>675</v>
      </c>
      <c r="I4" s="1120"/>
      <c r="J4" s="1120"/>
      <c r="K4" s="1120"/>
      <c r="L4" s="1120"/>
      <c r="M4" s="1120"/>
      <c r="N4" s="1120"/>
      <c r="O4" s="1121"/>
    </row>
    <row r="5" spans="1:15" s="769" customFormat="1" ht="21" customHeight="1" x14ac:dyDescent="0.25">
      <c r="A5" s="1103"/>
      <c r="B5" s="1106"/>
      <c r="C5" s="1109"/>
      <c r="D5" s="1114"/>
      <c r="E5" s="1079" t="s">
        <v>426</v>
      </c>
      <c r="F5" s="768" t="s">
        <v>676</v>
      </c>
      <c r="G5" s="1123" t="s">
        <v>677</v>
      </c>
      <c r="H5" s="1125" t="s">
        <v>678</v>
      </c>
      <c r="I5" s="1126"/>
      <c r="J5" s="1077" t="s">
        <v>679</v>
      </c>
      <c r="K5" s="1078"/>
      <c r="L5" s="1077" t="s">
        <v>680</v>
      </c>
      <c r="M5" s="1078"/>
      <c r="N5" s="1077" t="s">
        <v>681</v>
      </c>
      <c r="O5" s="1078"/>
    </row>
    <row r="6" spans="1:15" s="769" customFormat="1" ht="15" customHeight="1" x14ac:dyDescent="0.25">
      <c r="A6" s="1103"/>
      <c r="B6" s="1106"/>
      <c r="C6" s="1109"/>
      <c r="D6" s="1114"/>
      <c r="E6" s="1122"/>
      <c r="F6" s="1079" t="s">
        <v>682</v>
      </c>
      <c r="G6" s="1123"/>
      <c r="H6" s="1081" t="s">
        <v>683</v>
      </c>
      <c r="I6" s="1083" t="s">
        <v>677</v>
      </c>
      <c r="J6" s="1081" t="s">
        <v>683</v>
      </c>
      <c r="K6" s="1085" t="s">
        <v>677</v>
      </c>
      <c r="L6" s="1081" t="s">
        <v>683</v>
      </c>
      <c r="M6" s="1079" t="s">
        <v>677</v>
      </c>
      <c r="N6" s="1081" t="s">
        <v>683</v>
      </c>
      <c r="O6" s="1085" t="s">
        <v>677</v>
      </c>
    </row>
    <row r="7" spans="1:15" s="769" customFormat="1" ht="66.75" customHeight="1" x14ac:dyDescent="0.25">
      <c r="A7" s="1104"/>
      <c r="B7" s="1107"/>
      <c r="C7" s="1110"/>
      <c r="D7" s="1115"/>
      <c r="E7" s="1117"/>
      <c r="F7" s="1080"/>
      <c r="G7" s="1124"/>
      <c r="H7" s="1082"/>
      <c r="I7" s="1084"/>
      <c r="J7" s="1082"/>
      <c r="K7" s="1086"/>
      <c r="L7" s="1082"/>
      <c r="M7" s="1080"/>
      <c r="N7" s="1082"/>
      <c r="O7" s="1086"/>
    </row>
    <row r="8" spans="1:15" s="767" customFormat="1" ht="13.5" thickBot="1" x14ac:dyDescent="0.25">
      <c r="A8" s="770">
        <v>1</v>
      </c>
      <c r="B8" s="771">
        <v>2</v>
      </c>
      <c r="C8" s="772">
        <v>3</v>
      </c>
      <c r="D8" s="773">
        <v>4</v>
      </c>
      <c r="E8" s="774">
        <v>5</v>
      </c>
      <c r="F8" s="775">
        <v>6</v>
      </c>
      <c r="G8" s="776">
        <v>7</v>
      </c>
      <c r="H8" s="777">
        <v>8</v>
      </c>
      <c r="I8" s="776">
        <v>9</v>
      </c>
      <c r="J8" s="777">
        <v>10</v>
      </c>
      <c r="K8" s="778">
        <v>11</v>
      </c>
      <c r="L8" s="777">
        <v>12</v>
      </c>
      <c r="M8" s="779">
        <v>13</v>
      </c>
      <c r="N8" s="777">
        <v>14</v>
      </c>
      <c r="O8" s="779">
        <v>15</v>
      </c>
    </row>
    <row r="9" spans="1:15" s="785" customFormat="1" x14ac:dyDescent="0.2">
      <c r="A9" s="1095" t="s">
        <v>470</v>
      </c>
      <c r="B9" s="1096"/>
      <c r="C9" s="1097"/>
      <c r="D9" s="780">
        <f>D10+D11</f>
        <v>1056860</v>
      </c>
      <c r="E9" s="781">
        <f>E10+E11</f>
        <v>1053516</v>
      </c>
      <c r="F9" s="781">
        <f t="shared" ref="F9:O9" si="0">F10+F11</f>
        <v>58994</v>
      </c>
      <c r="G9" s="782">
        <f t="shared" si="0"/>
        <v>3344</v>
      </c>
      <c r="H9" s="783">
        <f t="shared" si="0"/>
        <v>101787</v>
      </c>
      <c r="I9" s="782">
        <f t="shared" si="0"/>
        <v>4</v>
      </c>
      <c r="J9" s="783">
        <f t="shared" si="0"/>
        <v>209972</v>
      </c>
      <c r="K9" s="784">
        <f t="shared" si="0"/>
        <v>4</v>
      </c>
      <c r="L9" s="780">
        <f t="shared" si="0"/>
        <v>623516</v>
      </c>
      <c r="M9" s="784">
        <f t="shared" si="0"/>
        <v>67</v>
      </c>
      <c r="N9" s="780">
        <f t="shared" si="0"/>
        <v>118241</v>
      </c>
      <c r="O9" s="784">
        <f t="shared" si="0"/>
        <v>3269</v>
      </c>
    </row>
    <row r="10" spans="1:15" x14ac:dyDescent="0.2">
      <c r="A10" s="1092" t="s">
        <v>617</v>
      </c>
      <c r="B10" s="1093"/>
      <c r="C10" s="1094"/>
      <c r="D10" s="748"/>
      <c r="E10" s="751"/>
      <c r="F10" s="751"/>
      <c r="G10" s="746"/>
      <c r="H10" s="745"/>
      <c r="I10" s="746"/>
      <c r="J10" s="745">
        <f>102653-102653</f>
        <v>0</v>
      </c>
      <c r="K10" s="747"/>
      <c r="L10" s="748"/>
      <c r="M10" s="747"/>
      <c r="N10" s="748"/>
      <c r="O10" s="747"/>
    </row>
    <row r="11" spans="1:15" s="785" customFormat="1" x14ac:dyDescent="0.2">
      <c r="A11" s="1092" t="s">
        <v>15</v>
      </c>
      <c r="B11" s="1093"/>
      <c r="C11" s="1094"/>
      <c r="D11" s="786">
        <f>SUM(D12:D149)-D37-D75-D76-D78-D79-D80-D85-D88-D92</f>
        <v>1056860</v>
      </c>
      <c r="E11" s="786">
        <f t="shared" ref="E11:O11" si="1">SUM(E12:E149)-E37-E75-E76-E78-E79-E80-E85-E88-E92</f>
        <v>1053516</v>
      </c>
      <c r="F11" s="786">
        <f t="shared" si="1"/>
        <v>58994</v>
      </c>
      <c r="G11" s="787">
        <f t="shared" si="1"/>
        <v>3344</v>
      </c>
      <c r="H11" s="788">
        <f t="shared" si="1"/>
        <v>101787</v>
      </c>
      <c r="I11" s="787">
        <f t="shared" si="1"/>
        <v>4</v>
      </c>
      <c r="J11" s="788">
        <f t="shared" si="1"/>
        <v>209972</v>
      </c>
      <c r="K11" s="789">
        <f t="shared" si="1"/>
        <v>4</v>
      </c>
      <c r="L11" s="786">
        <f t="shared" si="1"/>
        <v>623516</v>
      </c>
      <c r="M11" s="789">
        <f t="shared" si="1"/>
        <v>67</v>
      </c>
      <c r="N11" s="786">
        <f t="shared" si="1"/>
        <v>118241</v>
      </c>
      <c r="O11" s="789">
        <f t="shared" si="1"/>
        <v>3269</v>
      </c>
    </row>
    <row r="12" spans="1:15" x14ac:dyDescent="0.2">
      <c r="A12" s="740">
        <v>1</v>
      </c>
      <c r="B12" s="332" t="s">
        <v>54</v>
      </c>
      <c r="C12" s="744" t="s">
        <v>55</v>
      </c>
      <c r="D12" s="748">
        <f>H12+I12+J12+K12+L12+M12+N12+O12</f>
        <v>5912</v>
      </c>
      <c r="E12" s="751">
        <f>H12+J12+L12+N12</f>
        <v>5912</v>
      </c>
      <c r="F12" s="751">
        <v>152</v>
      </c>
      <c r="G12" s="746"/>
      <c r="H12" s="745">
        <v>446</v>
      </c>
      <c r="I12" s="746"/>
      <c r="J12" s="745">
        <f>665+421</f>
        <v>1086</v>
      </c>
      <c r="K12" s="747"/>
      <c r="L12" s="748">
        <f>2755+467</f>
        <v>3222</v>
      </c>
      <c r="M12" s="747"/>
      <c r="N12" s="748">
        <v>1158</v>
      </c>
      <c r="O12" s="747"/>
    </row>
    <row r="13" spans="1:15" x14ac:dyDescent="0.2">
      <c r="A13" s="740">
        <v>2</v>
      </c>
      <c r="B13" s="750" t="s">
        <v>56</v>
      </c>
      <c r="C13" s="744" t="s">
        <v>57</v>
      </c>
      <c r="D13" s="748">
        <f t="shared" ref="D13:D74" si="2">H13+I13+J13+K13+L13+M13+N13+O13</f>
        <v>5336</v>
      </c>
      <c r="E13" s="751">
        <f t="shared" ref="E13:E74" si="3">H13+J13+L13+N13</f>
        <v>5326</v>
      </c>
      <c r="F13" s="751">
        <v>110</v>
      </c>
      <c r="G13" s="746">
        <f t="shared" ref="G13:G68" si="4">I13+K13+M13+O13</f>
        <v>10</v>
      </c>
      <c r="H13" s="745">
        <v>548</v>
      </c>
      <c r="I13" s="746"/>
      <c r="J13" s="745">
        <f>585+284</f>
        <v>869</v>
      </c>
      <c r="K13" s="747"/>
      <c r="L13" s="748">
        <f>2753+467</f>
        <v>3220</v>
      </c>
      <c r="M13" s="747"/>
      <c r="N13" s="748">
        <v>689</v>
      </c>
      <c r="O13" s="747">
        <v>10</v>
      </c>
    </row>
    <row r="14" spans="1:15" x14ac:dyDescent="0.2">
      <c r="A14" s="740">
        <v>3</v>
      </c>
      <c r="B14" s="341" t="s">
        <v>16</v>
      </c>
      <c r="C14" s="744" t="s">
        <v>17</v>
      </c>
      <c r="D14" s="748">
        <f t="shared" si="2"/>
        <v>15093</v>
      </c>
      <c r="E14" s="751">
        <f t="shared" si="3"/>
        <v>14748</v>
      </c>
      <c r="F14" s="751">
        <v>1575</v>
      </c>
      <c r="G14" s="746">
        <f t="shared" si="4"/>
        <v>345</v>
      </c>
      <c r="H14" s="745"/>
      <c r="I14" s="746">
        <v>1</v>
      </c>
      <c r="J14" s="745">
        <f>1726+415</f>
        <v>2141</v>
      </c>
      <c r="K14" s="747">
        <v>2</v>
      </c>
      <c r="L14" s="748">
        <f>7080+1201</f>
        <v>8281</v>
      </c>
      <c r="M14" s="747">
        <v>51</v>
      </c>
      <c r="N14" s="748">
        <v>4326</v>
      </c>
      <c r="O14" s="747">
        <v>291</v>
      </c>
    </row>
    <row r="15" spans="1:15" x14ac:dyDescent="0.2">
      <c r="A15" s="740">
        <v>4</v>
      </c>
      <c r="B15" s="332" t="s">
        <v>58</v>
      </c>
      <c r="C15" s="744" t="s">
        <v>59</v>
      </c>
      <c r="D15" s="748">
        <f t="shared" si="2"/>
        <v>6652</v>
      </c>
      <c r="E15" s="751">
        <f t="shared" si="3"/>
        <v>6636</v>
      </c>
      <c r="F15" s="751">
        <v>140</v>
      </c>
      <c r="G15" s="746">
        <f t="shared" si="4"/>
        <v>16</v>
      </c>
      <c r="H15" s="745">
        <v>609</v>
      </c>
      <c r="I15" s="746"/>
      <c r="J15" s="745">
        <f>826+429</f>
        <v>1255</v>
      </c>
      <c r="K15" s="747"/>
      <c r="L15" s="748">
        <f>3309+561</f>
        <v>3870</v>
      </c>
      <c r="M15" s="747"/>
      <c r="N15" s="748">
        <v>902</v>
      </c>
      <c r="O15" s="747">
        <v>16</v>
      </c>
    </row>
    <row r="16" spans="1:15" ht="15" customHeight="1" x14ac:dyDescent="0.2">
      <c r="A16" s="740">
        <v>5</v>
      </c>
      <c r="B16" s="332" t="s">
        <v>60</v>
      </c>
      <c r="C16" s="744" t="s">
        <v>61</v>
      </c>
      <c r="D16" s="748">
        <f t="shared" si="2"/>
        <v>6334</v>
      </c>
      <c r="E16" s="751">
        <f t="shared" si="3"/>
        <v>6326</v>
      </c>
      <c r="F16" s="751">
        <v>504</v>
      </c>
      <c r="G16" s="746">
        <f t="shared" si="4"/>
        <v>8</v>
      </c>
      <c r="H16" s="745">
        <v>530</v>
      </c>
      <c r="I16" s="746"/>
      <c r="J16" s="745">
        <f>626+525</f>
        <v>1151</v>
      </c>
      <c r="K16" s="747"/>
      <c r="L16" s="745">
        <f>3319+563</f>
        <v>3882</v>
      </c>
      <c r="M16" s="747"/>
      <c r="N16" s="748">
        <v>763</v>
      </c>
      <c r="O16" s="747">
        <v>8</v>
      </c>
    </row>
    <row r="17" spans="1:15" x14ac:dyDescent="0.2">
      <c r="A17" s="740">
        <v>6</v>
      </c>
      <c r="B17" s="341" t="s">
        <v>18</v>
      </c>
      <c r="C17" s="744" t="s">
        <v>19</v>
      </c>
      <c r="D17" s="748">
        <f t="shared" si="2"/>
        <v>37753</v>
      </c>
      <c r="E17" s="751">
        <f t="shared" si="3"/>
        <v>37693</v>
      </c>
      <c r="F17" s="751">
        <v>1949</v>
      </c>
      <c r="G17" s="746">
        <f t="shared" si="4"/>
        <v>60</v>
      </c>
      <c r="H17" s="745">
        <v>3622</v>
      </c>
      <c r="I17" s="746"/>
      <c r="J17" s="745">
        <f>4806+1974</f>
        <v>6780</v>
      </c>
      <c r="K17" s="747"/>
      <c r="L17" s="745">
        <f>19893+3375</f>
        <v>23268</v>
      </c>
      <c r="M17" s="747"/>
      <c r="N17" s="748">
        <v>4023</v>
      </c>
      <c r="O17" s="747">
        <v>60</v>
      </c>
    </row>
    <row r="18" spans="1:15" x14ac:dyDescent="0.2">
      <c r="A18" s="740">
        <v>7</v>
      </c>
      <c r="B18" s="332" t="s">
        <v>62</v>
      </c>
      <c r="C18" s="744" t="s">
        <v>63</v>
      </c>
      <c r="D18" s="748">
        <f t="shared" si="2"/>
        <v>17047</v>
      </c>
      <c r="E18" s="751">
        <f t="shared" si="3"/>
        <v>17041</v>
      </c>
      <c r="F18" s="751">
        <v>460</v>
      </c>
      <c r="G18" s="746">
        <f t="shared" si="4"/>
        <v>6</v>
      </c>
      <c r="H18" s="745">
        <v>1401</v>
      </c>
      <c r="I18" s="746"/>
      <c r="J18" s="745">
        <f>1882+2181</f>
        <v>4063</v>
      </c>
      <c r="K18" s="747"/>
      <c r="L18" s="745">
        <f>8134+1380</f>
        <v>9514</v>
      </c>
      <c r="M18" s="747"/>
      <c r="N18" s="748">
        <v>2063</v>
      </c>
      <c r="O18" s="747">
        <v>6</v>
      </c>
    </row>
    <row r="19" spans="1:15" x14ac:dyDescent="0.2">
      <c r="A19" s="740">
        <v>8</v>
      </c>
      <c r="B19" s="341" t="s">
        <v>64</v>
      </c>
      <c r="C19" s="744" t="s">
        <v>65</v>
      </c>
      <c r="D19" s="748">
        <f>H19+I19+J19+K19+L19+M19+N19+O19</f>
        <v>5663</v>
      </c>
      <c r="E19" s="751">
        <f t="shared" si="3"/>
        <v>5633</v>
      </c>
      <c r="F19" s="751">
        <v>472</v>
      </c>
      <c r="G19" s="746">
        <f>I19+K19+M19+O19</f>
        <v>30</v>
      </c>
      <c r="H19" s="745">
        <v>541</v>
      </c>
      <c r="I19" s="746"/>
      <c r="J19" s="745">
        <f>792+394</f>
        <v>1186</v>
      </c>
      <c r="K19" s="747"/>
      <c r="L19" s="745">
        <f>2746+466</f>
        <v>3212</v>
      </c>
      <c r="M19" s="747"/>
      <c r="N19" s="748">
        <v>694</v>
      </c>
      <c r="O19" s="747">
        <v>30</v>
      </c>
    </row>
    <row r="20" spans="1:15" x14ac:dyDescent="0.2">
      <c r="A20" s="740">
        <v>9</v>
      </c>
      <c r="B20" s="341" t="s">
        <v>66</v>
      </c>
      <c r="C20" s="744" t="s">
        <v>67</v>
      </c>
      <c r="D20" s="748">
        <f t="shared" si="2"/>
        <v>7125</v>
      </c>
      <c r="E20" s="751">
        <f t="shared" si="3"/>
        <v>7125</v>
      </c>
      <c r="F20" s="751">
        <v>64</v>
      </c>
      <c r="G20" s="746"/>
      <c r="H20" s="745">
        <v>546</v>
      </c>
      <c r="I20" s="746"/>
      <c r="J20" s="745">
        <f>746+553</f>
        <v>1299</v>
      </c>
      <c r="K20" s="747"/>
      <c r="L20" s="745">
        <f>3612+613</f>
        <v>4225</v>
      </c>
      <c r="M20" s="747"/>
      <c r="N20" s="748">
        <v>1055</v>
      </c>
      <c r="O20" s="747"/>
    </row>
    <row r="21" spans="1:15" x14ac:dyDescent="0.2">
      <c r="A21" s="740">
        <v>10</v>
      </c>
      <c r="B21" s="341" t="s">
        <v>68</v>
      </c>
      <c r="C21" s="744" t="s">
        <v>69</v>
      </c>
      <c r="D21" s="748">
        <f t="shared" si="2"/>
        <v>9662</v>
      </c>
      <c r="E21" s="751">
        <f t="shared" si="3"/>
        <v>9662</v>
      </c>
      <c r="F21" s="751">
        <v>902</v>
      </c>
      <c r="G21" s="746"/>
      <c r="H21" s="745">
        <v>688</v>
      </c>
      <c r="I21" s="746"/>
      <c r="J21" s="745">
        <f>998+1142</f>
        <v>2140</v>
      </c>
      <c r="K21" s="747"/>
      <c r="L21" s="745">
        <f>4705+798</f>
        <v>5503</v>
      </c>
      <c r="M21" s="747"/>
      <c r="N21" s="748">
        <v>1331</v>
      </c>
      <c r="O21" s="747"/>
    </row>
    <row r="22" spans="1:15" x14ac:dyDescent="0.2">
      <c r="A22" s="740">
        <v>11</v>
      </c>
      <c r="B22" s="341" t="s">
        <v>70</v>
      </c>
      <c r="C22" s="744" t="s">
        <v>71</v>
      </c>
      <c r="D22" s="748">
        <f t="shared" si="2"/>
        <v>5940</v>
      </c>
      <c r="E22" s="751">
        <f t="shared" si="3"/>
        <v>5940</v>
      </c>
      <c r="F22" s="751">
        <v>652</v>
      </c>
      <c r="G22" s="746"/>
      <c r="H22" s="745">
        <v>423</v>
      </c>
      <c r="I22" s="746"/>
      <c r="J22" s="745">
        <f>526+341</f>
        <v>867</v>
      </c>
      <c r="K22" s="747"/>
      <c r="L22" s="745">
        <f>3187+541</f>
        <v>3728</v>
      </c>
      <c r="M22" s="747"/>
      <c r="N22" s="748">
        <v>922</v>
      </c>
      <c r="O22" s="747"/>
    </row>
    <row r="23" spans="1:15" x14ac:dyDescent="0.2">
      <c r="A23" s="740">
        <v>12</v>
      </c>
      <c r="B23" s="341" t="s">
        <v>72</v>
      </c>
      <c r="C23" s="744" t="s">
        <v>73</v>
      </c>
      <c r="D23" s="748">
        <f t="shared" si="2"/>
        <v>11519</v>
      </c>
      <c r="E23" s="751">
        <f t="shared" si="3"/>
        <v>11429</v>
      </c>
      <c r="F23" s="751">
        <v>412</v>
      </c>
      <c r="G23" s="746">
        <f t="shared" si="4"/>
        <v>90</v>
      </c>
      <c r="H23" s="745">
        <v>1130</v>
      </c>
      <c r="I23" s="746"/>
      <c r="J23" s="745">
        <f>1132+882</f>
        <v>2014</v>
      </c>
      <c r="K23" s="747"/>
      <c r="L23" s="745">
        <f>6270+1064</f>
        <v>7334</v>
      </c>
      <c r="M23" s="747"/>
      <c r="N23" s="748">
        <v>951</v>
      </c>
      <c r="O23" s="747">
        <v>90</v>
      </c>
    </row>
    <row r="24" spans="1:15" x14ac:dyDescent="0.2">
      <c r="A24" s="740">
        <v>13</v>
      </c>
      <c r="B24" s="341" t="s">
        <v>74</v>
      </c>
      <c r="C24" s="744" t="s">
        <v>75</v>
      </c>
      <c r="D24" s="748"/>
      <c r="E24" s="751"/>
      <c r="F24" s="751"/>
      <c r="G24" s="746"/>
      <c r="H24" s="745"/>
      <c r="I24" s="746"/>
      <c r="J24" s="745"/>
      <c r="K24" s="747"/>
      <c r="L24" s="745"/>
      <c r="M24" s="747"/>
      <c r="N24" s="748"/>
      <c r="O24" s="747"/>
    </row>
    <row r="25" spans="1:15" x14ac:dyDescent="0.2">
      <c r="A25" s="740">
        <v>14</v>
      </c>
      <c r="B25" s="341" t="s">
        <v>76</v>
      </c>
      <c r="C25" s="744" t="s">
        <v>77</v>
      </c>
      <c r="D25" s="748">
        <f t="shared" si="2"/>
        <v>7227</v>
      </c>
      <c r="E25" s="751">
        <f t="shared" si="3"/>
        <v>7227</v>
      </c>
      <c r="F25" s="751">
        <v>1607</v>
      </c>
      <c r="G25" s="746"/>
      <c r="H25" s="745">
        <v>482</v>
      </c>
      <c r="I25" s="746"/>
      <c r="J25" s="745">
        <f>700+602</f>
        <v>1302</v>
      </c>
      <c r="K25" s="747"/>
      <c r="L25" s="745">
        <f>3669+623</f>
        <v>4292</v>
      </c>
      <c r="M25" s="747"/>
      <c r="N25" s="748">
        <v>1151</v>
      </c>
      <c r="O25" s="747"/>
    </row>
    <row r="26" spans="1:15" x14ac:dyDescent="0.2">
      <c r="A26" s="740">
        <v>15</v>
      </c>
      <c r="B26" s="341" t="s">
        <v>78</v>
      </c>
      <c r="C26" s="744" t="s">
        <v>79</v>
      </c>
      <c r="D26" s="748">
        <f t="shared" si="2"/>
        <v>7446</v>
      </c>
      <c r="E26" s="751">
        <f t="shared" si="3"/>
        <v>7441</v>
      </c>
      <c r="F26" s="751">
        <v>895</v>
      </c>
      <c r="G26" s="746">
        <f t="shared" si="4"/>
        <v>5</v>
      </c>
      <c r="H26" s="745">
        <v>595</v>
      </c>
      <c r="I26" s="746"/>
      <c r="J26" s="745">
        <f>894+704</f>
        <v>1598</v>
      </c>
      <c r="K26" s="747"/>
      <c r="L26" s="745">
        <f>4247+720</f>
        <v>4967</v>
      </c>
      <c r="M26" s="747"/>
      <c r="N26" s="748">
        <v>281</v>
      </c>
      <c r="O26" s="747">
        <v>5</v>
      </c>
    </row>
    <row r="27" spans="1:15" x14ac:dyDescent="0.2">
      <c r="A27" s="740">
        <v>16</v>
      </c>
      <c r="B27" s="341" t="s">
        <v>80</v>
      </c>
      <c r="C27" s="744" t="s">
        <v>81</v>
      </c>
      <c r="D27" s="748">
        <f t="shared" si="2"/>
        <v>10932</v>
      </c>
      <c r="E27" s="751">
        <f t="shared" si="3"/>
        <v>10926</v>
      </c>
      <c r="F27" s="751">
        <v>724</v>
      </c>
      <c r="G27" s="746">
        <f t="shared" si="4"/>
        <v>6</v>
      </c>
      <c r="H27" s="745">
        <v>741</v>
      </c>
      <c r="I27" s="746"/>
      <c r="J27" s="745">
        <f>1132+1384</f>
        <v>2516</v>
      </c>
      <c r="K27" s="747"/>
      <c r="L27" s="745">
        <f>5402+916</f>
        <v>6318</v>
      </c>
      <c r="M27" s="747"/>
      <c r="N27" s="748">
        <v>1351</v>
      </c>
      <c r="O27" s="747">
        <v>6</v>
      </c>
    </row>
    <row r="28" spans="1:15" x14ac:dyDescent="0.2">
      <c r="A28" s="740">
        <v>17</v>
      </c>
      <c r="B28" s="341" t="s">
        <v>20</v>
      </c>
      <c r="C28" s="744" t="s">
        <v>21</v>
      </c>
      <c r="D28" s="748">
        <f t="shared" si="2"/>
        <v>20348</v>
      </c>
      <c r="E28" s="751">
        <f t="shared" si="3"/>
        <v>19988</v>
      </c>
      <c r="F28" s="751">
        <v>4250</v>
      </c>
      <c r="G28" s="746">
        <f t="shared" si="4"/>
        <v>360</v>
      </c>
      <c r="H28" s="745"/>
      <c r="I28" s="746"/>
      <c r="J28" s="745">
        <f>2159+1128</f>
        <v>3287</v>
      </c>
      <c r="K28" s="747"/>
      <c r="L28" s="745">
        <f>12413+2106</f>
        <v>14519</v>
      </c>
      <c r="M28" s="747">
        <v>1</v>
      </c>
      <c r="N28" s="748">
        <v>2182</v>
      </c>
      <c r="O28" s="747">
        <v>359</v>
      </c>
    </row>
    <row r="29" spans="1:15" x14ac:dyDescent="0.2">
      <c r="A29" s="740">
        <v>18</v>
      </c>
      <c r="B29" s="332" t="s">
        <v>82</v>
      </c>
      <c r="C29" s="744" t="s">
        <v>83</v>
      </c>
      <c r="D29" s="748">
        <f t="shared" si="2"/>
        <v>3275</v>
      </c>
      <c r="E29" s="751">
        <f t="shared" si="3"/>
        <v>3275</v>
      </c>
      <c r="F29" s="751">
        <v>693</v>
      </c>
      <c r="G29" s="746"/>
      <c r="H29" s="745">
        <v>256</v>
      </c>
      <c r="I29" s="746"/>
      <c r="J29" s="745">
        <f>278+106</f>
        <v>384</v>
      </c>
      <c r="K29" s="747"/>
      <c r="L29" s="745">
        <f>1808+307</f>
        <v>2115</v>
      </c>
      <c r="M29" s="747"/>
      <c r="N29" s="748">
        <v>520</v>
      </c>
      <c r="O29" s="747"/>
    </row>
    <row r="30" spans="1:15" x14ac:dyDescent="0.2">
      <c r="A30" s="740">
        <v>19</v>
      </c>
      <c r="B30" s="332" t="s">
        <v>84</v>
      </c>
      <c r="C30" s="744" t="s">
        <v>85</v>
      </c>
      <c r="D30" s="748">
        <f t="shared" si="2"/>
        <v>4485</v>
      </c>
      <c r="E30" s="751">
        <f t="shared" si="3"/>
        <v>4390</v>
      </c>
      <c r="F30" s="751">
        <v>787</v>
      </c>
      <c r="G30" s="746">
        <f t="shared" si="4"/>
        <v>95</v>
      </c>
      <c r="H30" s="745">
        <v>283</v>
      </c>
      <c r="I30" s="746"/>
      <c r="J30" s="745">
        <f>392+640</f>
        <v>1032</v>
      </c>
      <c r="K30" s="747"/>
      <c r="L30" s="745">
        <f>2037+346</f>
        <v>2383</v>
      </c>
      <c r="M30" s="747"/>
      <c r="N30" s="748">
        <v>692</v>
      </c>
      <c r="O30" s="747">
        <v>95</v>
      </c>
    </row>
    <row r="31" spans="1:15" x14ac:dyDescent="0.2">
      <c r="A31" s="740">
        <v>20</v>
      </c>
      <c r="B31" s="332" t="s">
        <v>86</v>
      </c>
      <c r="C31" s="744" t="s">
        <v>87</v>
      </c>
      <c r="D31" s="748">
        <f t="shared" si="2"/>
        <v>18836</v>
      </c>
      <c r="E31" s="751">
        <f t="shared" si="3"/>
        <v>18798</v>
      </c>
      <c r="F31" s="751">
        <v>389</v>
      </c>
      <c r="G31" s="746">
        <f t="shared" si="4"/>
        <v>38</v>
      </c>
      <c r="H31" s="745">
        <v>1439</v>
      </c>
      <c r="I31" s="746"/>
      <c r="J31" s="745">
        <f>2221+1910</f>
        <v>4131</v>
      </c>
      <c r="K31" s="747"/>
      <c r="L31" s="745">
        <f>10006+1698</f>
        <v>11704</v>
      </c>
      <c r="M31" s="747">
        <v>1</v>
      </c>
      <c r="N31" s="748">
        <v>1524</v>
      </c>
      <c r="O31" s="747">
        <v>37</v>
      </c>
    </row>
    <row r="32" spans="1:15" x14ac:dyDescent="0.2">
      <c r="A32" s="740">
        <v>21</v>
      </c>
      <c r="B32" s="332" t="s">
        <v>22</v>
      </c>
      <c r="C32" s="744" t="s">
        <v>23</v>
      </c>
      <c r="D32" s="748">
        <f t="shared" si="2"/>
        <v>11472</v>
      </c>
      <c r="E32" s="751">
        <f t="shared" si="3"/>
        <v>11439</v>
      </c>
      <c r="F32" s="751">
        <v>435</v>
      </c>
      <c r="G32" s="746">
        <f t="shared" si="4"/>
        <v>33</v>
      </c>
      <c r="H32" s="745"/>
      <c r="I32" s="746"/>
      <c r="J32" s="745">
        <f>1667+445</f>
        <v>2112</v>
      </c>
      <c r="K32" s="747"/>
      <c r="L32" s="745">
        <f>6381+1083</f>
        <v>7464</v>
      </c>
      <c r="M32" s="747"/>
      <c r="N32" s="748">
        <v>1863</v>
      </c>
      <c r="O32" s="747">
        <v>33</v>
      </c>
    </row>
    <row r="33" spans="1:15" x14ac:dyDescent="0.2">
      <c r="A33" s="740">
        <v>22</v>
      </c>
      <c r="B33" s="341" t="s">
        <v>24</v>
      </c>
      <c r="C33" s="744" t="s">
        <v>25</v>
      </c>
      <c r="D33" s="748">
        <f t="shared" si="2"/>
        <v>2991</v>
      </c>
      <c r="E33" s="751">
        <f t="shared" si="3"/>
        <v>2991</v>
      </c>
      <c r="F33" s="751">
        <v>213</v>
      </c>
      <c r="G33" s="746"/>
      <c r="H33" s="745">
        <v>397</v>
      </c>
      <c r="I33" s="746"/>
      <c r="J33" s="745">
        <f>583+229</f>
        <v>812</v>
      </c>
      <c r="K33" s="747"/>
      <c r="L33" s="745">
        <f>1337+227</f>
        <v>1564</v>
      </c>
      <c r="M33" s="747"/>
      <c r="N33" s="748">
        <v>218</v>
      </c>
      <c r="O33" s="747"/>
    </row>
    <row r="34" spans="1:15" x14ac:dyDescent="0.2">
      <c r="A34" s="740">
        <v>23</v>
      </c>
      <c r="B34" s="341" t="s">
        <v>88</v>
      </c>
      <c r="C34" s="744" t="s">
        <v>89</v>
      </c>
      <c r="D34" s="748"/>
      <c r="E34" s="751"/>
      <c r="F34" s="751"/>
      <c r="G34" s="746"/>
      <c r="H34" s="745"/>
      <c r="I34" s="746"/>
      <c r="J34" s="745"/>
      <c r="K34" s="747"/>
      <c r="L34" s="745"/>
      <c r="M34" s="747"/>
      <c r="N34" s="748"/>
      <c r="O34" s="747"/>
    </row>
    <row r="35" spans="1:15" ht="25.5" x14ac:dyDescent="0.2">
      <c r="A35" s="740">
        <v>24</v>
      </c>
      <c r="B35" s="341" t="s">
        <v>90</v>
      </c>
      <c r="C35" s="744" t="s">
        <v>91</v>
      </c>
      <c r="D35" s="748"/>
      <c r="E35" s="751"/>
      <c r="F35" s="751"/>
      <c r="G35" s="746"/>
      <c r="H35" s="745"/>
      <c r="I35" s="746"/>
      <c r="J35" s="745"/>
      <c r="K35" s="747"/>
      <c r="L35" s="745"/>
      <c r="M35" s="747"/>
      <c r="N35" s="748"/>
      <c r="O35" s="747"/>
    </row>
    <row r="36" spans="1:15" ht="25.5" x14ac:dyDescent="0.2">
      <c r="A36" s="1098">
        <v>25</v>
      </c>
      <c r="B36" s="332" t="s">
        <v>92</v>
      </c>
      <c r="C36" s="749" t="s">
        <v>775</v>
      </c>
      <c r="D36" s="786">
        <f t="shared" si="2"/>
        <v>80620</v>
      </c>
      <c r="E36" s="790">
        <f t="shared" si="3"/>
        <v>80354</v>
      </c>
      <c r="F36" s="790">
        <v>9178</v>
      </c>
      <c r="G36" s="791">
        <f t="shared" si="4"/>
        <v>266</v>
      </c>
      <c r="H36" s="788">
        <v>7861</v>
      </c>
      <c r="I36" s="791"/>
      <c r="J36" s="788">
        <f>9786+8630</f>
        <v>18416</v>
      </c>
      <c r="K36" s="792"/>
      <c r="L36" s="788">
        <f>40408+6855</f>
        <v>47263</v>
      </c>
      <c r="M36" s="792"/>
      <c r="N36" s="786">
        <v>6814</v>
      </c>
      <c r="O36" s="792">
        <f>34+155+77</f>
        <v>266</v>
      </c>
    </row>
    <row r="37" spans="1:15" ht="15.75" customHeight="1" x14ac:dyDescent="0.2">
      <c r="A37" s="1099"/>
      <c r="B37" s="341" t="s">
        <v>94</v>
      </c>
      <c r="C37" s="744" t="s">
        <v>95</v>
      </c>
      <c r="D37" s="748">
        <f t="shared" si="2"/>
        <v>56</v>
      </c>
      <c r="E37" s="751"/>
      <c r="F37" s="751"/>
      <c r="G37" s="746">
        <f t="shared" si="4"/>
        <v>56</v>
      </c>
      <c r="H37" s="745"/>
      <c r="I37" s="746"/>
      <c r="J37" s="745"/>
      <c r="K37" s="747"/>
      <c r="L37" s="745"/>
      <c r="M37" s="747"/>
      <c r="N37" s="748"/>
      <c r="O37" s="747">
        <v>56</v>
      </c>
    </row>
    <row r="38" spans="1:15" x14ac:dyDescent="0.2">
      <c r="A38" s="740">
        <v>26</v>
      </c>
      <c r="B38" s="750" t="s">
        <v>96</v>
      </c>
      <c r="C38" s="744" t="s">
        <v>97</v>
      </c>
      <c r="D38" s="748"/>
      <c r="E38" s="751"/>
      <c r="F38" s="751"/>
      <c r="G38" s="746"/>
      <c r="H38" s="745"/>
      <c r="I38" s="746"/>
      <c r="J38" s="745"/>
      <c r="K38" s="747"/>
      <c r="L38" s="745"/>
      <c r="M38" s="747"/>
      <c r="N38" s="748"/>
      <c r="O38" s="747"/>
    </row>
    <row r="39" spans="1:15" x14ac:dyDescent="0.2">
      <c r="A39" s="740">
        <v>27</v>
      </c>
      <c r="B39" s="750" t="s">
        <v>26</v>
      </c>
      <c r="C39" s="744" t="s">
        <v>27</v>
      </c>
      <c r="D39" s="748">
        <f t="shared" si="2"/>
        <v>16503</v>
      </c>
      <c r="E39" s="751">
        <f t="shared" si="3"/>
        <v>16377</v>
      </c>
      <c r="F39" s="751">
        <v>833</v>
      </c>
      <c r="G39" s="746">
        <f t="shared" si="4"/>
        <v>126</v>
      </c>
      <c r="H39" s="745"/>
      <c r="I39" s="746"/>
      <c r="J39" s="745">
        <f>2314+2197</f>
        <v>4511</v>
      </c>
      <c r="K39" s="747"/>
      <c r="L39" s="745">
        <f>9636+1635</f>
        <v>11271</v>
      </c>
      <c r="M39" s="747">
        <v>1</v>
      </c>
      <c r="N39" s="748">
        <v>595</v>
      </c>
      <c r="O39" s="747">
        <v>125</v>
      </c>
    </row>
    <row r="40" spans="1:15" x14ac:dyDescent="0.2">
      <c r="A40" s="740">
        <v>28</v>
      </c>
      <c r="B40" s="332" t="s">
        <v>98</v>
      </c>
      <c r="C40" s="744" t="s">
        <v>99</v>
      </c>
      <c r="D40" s="748">
        <f t="shared" si="2"/>
        <v>29027</v>
      </c>
      <c r="E40" s="751">
        <f t="shared" si="3"/>
        <v>29011</v>
      </c>
      <c r="F40" s="751">
        <v>1047</v>
      </c>
      <c r="G40" s="746">
        <f t="shared" si="4"/>
        <v>16</v>
      </c>
      <c r="H40" s="745"/>
      <c r="I40" s="746"/>
      <c r="J40" s="745">
        <f>4161+2682</f>
        <v>6843</v>
      </c>
      <c r="K40" s="747"/>
      <c r="L40" s="745">
        <f>16276+2761</f>
        <v>19037</v>
      </c>
      <c r="M40" s="747"/>
      <c r="N40" s="748">
        <v>3131</v>
      </c>
      <c r="O40" s="747">
        <v>16</v>
      </c>
    </row>
    <row r="41" spans="1:15" x14ac:dyDescent="0.2">
      <c r="A41" s="740">
        <v>29</v>
      </c>
      <c r="B41" s="750" t="s">
        <v>100</v>
      </c>
      <c r="C41" s="744" t="s">
        <v>101</v>
      </c>
      <c r="D41" s="748">
        <f t="shared" si="2"/>
        <v>5626</v>
      </c>
      <c r="E41" s="751">
        <f t="shared" si="3"/>
        <v>5621</v>
      </c>
      <c r="F41" s="751">
        <v>185</v>
      </c>
      <c r="G41" s="746">
        <f t="shared" si="4"/>
        <v>5</v>
      </c>
      <c r="H41" s="745">
        <v>469</v>
      </c>
      <c r="I41" s="746"/>
      <c r="J41" s="745">
        <f>702+364</f>
        <v>1066</v>
      </c>
      <c r="K41" s="747"/>
      <c r="L41" s="745">
        <f>3076+522</f>
        <v>3598</v>
      </c>
      <c r="M41" s="747"/>
      <c r="N41" s="748">
        <v>488</v>
      </c>
      <c r="O41" s="747">
        <v>5</v>
      </c>
    </row>
    <row r="42" spans="1:15" x14ac:dyDescent="0.2">
      <c r="A42" s="740">
        <v>30</v>
      </c>
      <c r="B42" s="341" t="s">
        <v>102</v>
      </c>
      <c r="C42" s="744" t="s">
        <v>103</v>
      </c>
      <c r="D42" s="748">
        <f t="shared" si="2"/>
        <v>22564</v>
      </c>
      <c r="E42" s="751">
        <f t="shared" si="3"/>
        <v>22489</v>
      </c>
      <c r="F42" s="751">
        <v>923</v>
      </c>
      <c r="G42" s="746">
        <f t="shared" si="4"/>
        <v>75</v>
      </c>
      <c r="H42" s="745">
        <v>1904</v>
      </c>
      <c r="I42" s="746"/>
      <c r="J42" s="745">
        <f>2834+1503</f>
        <v>4337</v>
      </c>
      <c r="K42" s="747"/>
      <c r="L42" s="745">
        <f>10772+1828</f>
        <v>12600</v>
      </c>
      <c r="M42" s="747"/>
      <c r="N42" s="748">
        <v>3648</v>
      </c>
      <c r="O42" s="747">
        <v>75</v>
      </c>
    </row>
    <row r="43" spans="1:15" x14ac:dyDescent="0.2">
      <c r="A43" s="740">
        <v>31</v>
      </c>
      <c r="B43" s="750" t="s">
        <v>104</v>
      </c>
      <c r="C43" s="744" t="s">
        <v>105</v>
      </c>
      <c r="D43" s="748">
        <f t="shared" si="2"/>
        <v>9047</v>
      </c>
      <c r="E43" s="751">
        <f t="shared" si="3"/>
        <v>8992</v>
      </c>
      <c r="F43" s="751">
        <v>207</v>
      </c>
      <c r="G43" s="746">
        <f t="shared" si="4"/>
        <v>55</v>
      </c>
      <c r="H43" s="745">
        <v>670</v>
      </c>
      <c r="I43" s="746"/>
      <c r="J43" s="745">
        <f>1130+1310</f>
        <v>2440</v>
      </c>
      <c r="K43" s="747"/>
      <c r="L43" s="745">
        <f>4634+786</f>
        <v>5420</v>
      </c>
      <c r="M43" s="747"/>
      <c r="N43" s="748">
        <v>462</v>
      </c>
      <c r="O43" s="747">
        <v>55</v>
      </c>
    </row>
    <row r="44" spans="1:15" x14ac:dyDescent="0.2">
      <c r="A44" s="740">
        <v>32</v>
      </c>
      <c r="B44" s="332" t="s">
        <v>106</v>
      </c>
      <c r="C44" s="744" t="s">
        <v>107</v>
      </c>
      <c r="D44" s="748">
        <f t="shared" si="2"/>
        <v>20961</v>
      </c>
      <c r="E44" s="751">
        <f t="shared" si="3"/>
        <v>20887</v>
      </c>
      <c r="F44" s="751">
        <v>1145</v>
      </c>
      <c r="G44" s="746">
        <f t="shared" si="4"/>
        <v>74</v>
      </c>
      <c r="H44" s="745">
        <v>2023</v>
      </c>
      <c r="I44" s="746"/>
      <c r="J44" s="745">
        <f>2954+1024</f>
        <v>3978</v>
      </c>
      <c r="K44" s="747"/>
      <c r="L44" s="745">
        <f>11035+1872</f>
        <v>12907</v>
      </c>
      <c r="M44" s="747"/>
      <c r="N44" s="748">
        <v>1979</v>
      </c>
      <c r="O44" s="747">
        <v>74</v>
      </c>
    </row>
    <row r="45" spans="1:15" x14ac:dyDescent="0.2">
      <c r="A45" s="740">
        <v>33</v>
      </c>
      <c r="B45" s="793" t="s">
        <v>108</v>
      </c>
      <c r="C45" s="794" t="s">
        <v>109</v>
      </c>
      <c r="D45" s="748">
        <f t="shared" si="2"/>
        <v>7045</v>
      </c>
      <c r="E45" s="751">
        <f t="shared" si="3"/>
        <v>7025</v>
      </c>
      <c r="F45" s="751">
        <v>164</v>
      </c>
      <c r="G45" s="746">
        <f t="shared" si="4"/>
        <v>20</v>
      </c>
      <c r="H45" s="745">
        <v>683</v>
      </c>
      <c r="I45" s="746"/>
      <c r="J45" s="745">
        <f>957+265</f>
        <v>1222</v>
      </c>
      <c r="K45" s="747"/>
      <c r="L45" s="745">
        <f>3861+655</f>
        <v>4516</v>
      </c>
      <c r="M45" s="747"/>
      <c r="N45" s="748">
        <v>604</v>
      </c>
      <c r="O45" s="747">
        <v>20</v>
      </c>
    </row>
    <row r="46" spans="1:15" x14ac:dyDescent="0.2">
      <c r="A46" s="740">
        <v>34</v>
      </c>
      <c r="B46" s="332" t="s">
        <v>110</v>
      </c>
      <c r="C46" s="744" t="s">
        <v>111</v>
      </c>
      <c r="D46" s="748">
        <f t="shared" si="2"/>
        <v>5908</v>
      </c>
      <c r="E46" s="751">
        <f t="shared" si="3"/>
        <v>5843</v>
      </c>
      <c r="F46" s="751">
        <v>143</v>
      </c>
      <c r="G46" s="746">
        <f t="shared" si="4"/>
        <v>65</v>
      </c>
      <c r="H46" s="745">
        <v>558</v>
      </c>
      <c r="I46" s="746"/>
      <c r="J46" s="745">
        <f>619+221</f>
        <v>840</v>
      </c>
      <c r="K46" s="747"/>
      <c r="L46" s="745">
        <f>2993+508</f>
        <v>3501</v>
      </c>
      <c r="M46" s="747"/>
      <c r="N46" s="748">
        <v>944</v>
      </c>
      <c r="O46" s="747">
        <v>65</v>
      </c>
    </row>
    <row r="47" spans="1:15" x14ac:dyDescent="0.2">
      <c r="A47" s="740">
        <v>35</v>
      </c>
      <c r="B47" s="332" t="s">
        <v>112</v>
      </c>
      <c r="C47" s="744" t="s">
        <v>113</v>
      </c>
      <c r="D47" s="748">
        <f t="shared" si="2"/>
        <v>10452</v>
      </c>
      <c r="E47" s="751">
        <f t="shared" si="3"/>
        <v>10452</v>
      </c>
      <c r="F47" s="751">
        <v>276</v>
      </c>
      <c r="G47" s="746"/>
      <c r="H47" s="745">
        <v>861</v>
      </c>
      <c r="I47" s="746"/>
      <c r="J47" s="745">
        <f>1013+851</f>
        <v>1864</v>
      </c>
      <c r="K47" s="747"/>
      <c r="L47" s="745">
        <f>5245+890</f>
        <v>6135</v>
      </c>
      <c r="M47" s="747"/>
      <c r="N47" s="748">
        <v>1592</v>
      </c>
      <c r="O47" s="747"/>
    </row>
    <row r="48" spans="1:15" x14ac:dyDescent="0.2">
      <c r="A48" s="740">
        <v>36</v>
      </c>
      <c r="B48" s="341" t="s">
        <v>114</v>
      </c>
      <c r="C48" s="744" t="s">
        <v>115</v>
      </c>
      <c r="D48" s="748">
        <f t="shared" si="2"/>
        <v>3903</v>
      </c>
      <c r="E48" s="751">
        <f t="shared" si="3"/>
        <v>3903</v>
      </c>
      <c r="F48" s="751">
        <v>89</v>
      </c>
      <c r="G48" s="746"/>
      <c r="H48" s="745">
        <v>407</v>
      </c>
      <c r="I48" s="746"/>
      <c r="J48" s="745">
        <f>436+221</f>
        <v>657</v>
      </c>
      <c r="K48" s="747"/>
      <c r="L48" s="745">
        <f>2070+351</f>
        <v>2421</v>
      </c>
      <c r="M48" s="747"/>
      <c r="N48" s="748">
        <v>418</v>
      </c>
      <c r="O48" s="747"/>
    </row>
    <row r="49" spans="1:15" x14ac:dyDescent="0.2">
      <c r="A49" s="740">
        <v>37</v>
      </c>
      <c r="B49" s="750" t="s">
        <v>116</v>
      </c>
      <c r="C49" s="744" t="s">
        <v>117</v>
      </c>
      <c r="D49" s="748">
        <f t="shared" si="2"/>
        <v>5359</v>
      </c>
      <c r="E49" s="751">
        <f t="shared" si="3"/>
        <v>5359</v>
      </c>
      <c r="F49" s="751">
        <v>129</v>
      </c>
      <c r="G49" s="746"/>
      <c r="H49" s="745">
        <v>1105</v>
      </c>
      <c r="I49" s="746"/>
      <c r="J49" s="745">
        <f>1112+581</f>
        <v>1693</v>
      </c>
      <c r="K49" s="747"/>
      <c r="L49" s="745">
        <f>2190+371</f>
        <v>2561</v>
      </c>
      <c r="M49" s="747"/>
      <c r="N49" s="748"/>
      <c r="O49" s="747"/>
    </row>
    <row r="50" spans="1:15" x14ac:dyDescent="0.2">
      <c r="A50" s="740">
        <v>38</v>
      </c>
      <c r="B50" s="341" t="s">
        <v>28</v>
      </c>
      <c r="C50" s="744" t="s">
        <v>29</v>
      </c>
      <c r="D50" s="748">
        <f t="shared" si="2"/>
        <v>26831</v>
      </c>
      <c r="E50" s="751">
        <f t="shared" si="3"/>
        <v>26667</v>
      </c>
      <c r="F50" s="751">
        <v>309</v>
      </c>
      <c r="G50" s="746">
        <f t="shared" si="4"/>
        <v>164</v>
      </c>
      <c r="H50" s="745">
        <v>2786</v>
      </c>
      <c r="I50" s="746">
        <v>1</v>
      </c>
      <c r="J50" s="745">
        <f>3406+2530</f>
        <v>5936</v>
      </c>
      <c r="K50" s="747"/>
      <c r="L50" s="745">
        <f>13493+2289</f>
        <v>15782</v>
      </c>
      <c r="M50" s="747">
        <v>1</v>
      </c>
      <c r="N50" s="748">
        <v>2163</v>
      </c>
      <c r="O50" s="747">
        <v>162</v>
      </c>
    </row>
    <row r="51" spans="1:15" x14ac:dyDescent="0.2">
      <c r="A51" s="740">
        <v>39</v>
      </c>
      <c r="B51" s="332" t="s">
        <v>118</v>
      </c>
      <c r="C51" s="744" t="s">
        <v>119</v>
      </c>
      <c r="D51" s="748">
        <f t="shared" si="2"/>
        <v>9011</v>
      </c>
      <c r="E51" s="751">
        <f t="shared" si="3"/>
        <v>8936</v>
      </c>
      <c r="F51" s="751">
        <v>124</v>
      </c>
      <c r="G51" s="746">
        <f t="shared" si="4"/>
        <v>75</v>
      </c>
      <c r="H51" s="745">
        <v>705</v>
      </c>
      <c r="I51" s="746">
        <v>2</v>
      </c>
      <c r="J51" s="745">
        <f>1090+955</f>
        <v>2045</v>
      </c>
      <c r="K51" s="747"/>
      <c r="L51" s="745">
        <f>4494+762</f>
        <v>5256</v>
      </c>
      <c r="M51" s="747">
        <v>2</v>
      </c>
      <c r="N51" s="748">
        <v>930</v>
      </c>
      <c r="O51" s="747">
        <v>71</v>
      </c>
    </row>
    <row r="52" spans="1:15" x14ac:dyDescent="0.2">
      <c r="A52" s="740">
        <v>40</v>
      </c>
      <c r="B52" s="332" t="s">
        <v>120</v>
      </c>
      <c r="C52" s="744" t="s">
        <v>121</v>
      </c>
      <c r="D52" s="748">
        <f t="shared" si="2"/>
        <v>16395</v>
      </c>
      <c r="E52" s="751">
        <f t="shared" si="3"/>
        <v>16328</v>
      </c>
      <c r="F52" s="751">
        <v>1880</v>
      </c>
      <c r="G52" s="746">
        <f t="shared" si="4"/>
        <v>67</v>
      </c>
      <c r="H52" s="745"/>
      <c r="I52" s="746"/>
      <c r="J52" s="745">
        <f>2698+1501</f>
        <v>4199</v>
      </c>
      <c r="K52" s="747"/>
      <c r="L52" s="745">
        <f>8562+1453</f>
        <v>10015</v>
      </c>
      <c r="M52" s="747"/>
      <c r="N52" s="748">
        <v>2114</v>
      </c>
      <c r="O52" s="747">
        <v>67</v>
      </c>
    </row>
    <row r="53" spans="1:15" x14ac:dyDescent="0.2">
      <c r="A53" s="740">
        <v>41</v>
      </c>
      <c r="B53" s="341" t="s">
        <v>122</v>
      </c>
      <c r="C53" s="744" t="s">
        <v>123</v>
      </c>
      <c r="D53" s="748">
        <f t="shared" si="2"/>
        <v>6478</v>
      </c>
      <c r="E53" s="751">
        <f t="shared" si="3"/>
        <v>6418</v>
      </c>
      <c r="F53" s="751">
        <v>87</v>
      </c>
      <c r="G53" s="746">
        <f t="shared" si="4"/>
        <v>60</v>
      </c>
      <c r="H53" s="745">
        <v>596</v>
      </c>
      <c r="I53" s="746"/>
      <c r="J53" s="745">
        <f>692+432</f>
        <v>1124</v>
      </c>
      <c r="K53" s="747"/>
      <c r="L53" s="745">
        <f>3163+537</f>
        <v>3700</v>
      </c>
      <c r="M53" s="747"/>
      <c r="N53" s="748">
        <v>998</v>
      </c>
      <c r="O53" s="747">
        <v>60</v>
      </c>
    </row>
    <row r="54" spans="1:15" x14ac:dyDescent="0.2">
      <c r="A54" s="740">
        <v>42</v>
      </c>
      <c r="B54" s="750" t="s">
        <v>124</v>
      </c>
      <c r="C54" s="744" t="s">
        <v>125</v>
      </c>
      <c r="D54" s="748">
        <f t="shared" si="2"/>
        <v>7304</v>
      </c>
      <c r="E54" s="751">
        <f t="shared" si="3"/>
        <v>7304</v>
      </c>
      <c r="F54" s="751">
        <v>117</v>
      </c>
      <c r="G54" s="746"/>
      <c r="H54" s="745">
        <v>809</v>
      </c>
      <c r="I54" s="746"/>
      <c r="J54" s="745">
        <f>1101+378</f>
        <v>1479</v>
      </c>
      <c r="K54" s="747"/>
      <c r="L54" s="745">
        <f>3960+672</f>
        <v>4632</v>
      </c>
      <c r="M54" s="747"/>
      <c r="N54" s="748">
        <v>384</v>
      </c>
      <c r="O54" s="747"/>
    </row>
    <row r="55" spans="1:15" ht="15.75" customHeight="1" x14ac:dyDescent="0.2">
      <c r="A55" s="740">
        <v>43</v>
      </c>
      <c r="B55" s="341" t="s">
        <v>126</v>
      </c>
      <c r="C55" s="744" t="s">
        <v>127</v>
      </c>
      <c r="D55" s="748">
        <f t="shared" si="2"/>
        <v>9764</v>
      </c>
      <c r="E55" s="751">
        <f t="shared" si="3"/>
        <v>9699</v>
      </c>
      <c r="F55" s="751">
        <v>220</v>
      </c>
      <c r="G55" s="746">
        <f t="shared" si="4"/>
        <v>65</v>
      </c>
      <c r="H55" s="745">
        <v>897</v>
      </c>
      <c r="I55" s="746"/>
      <c r="J55" s="745">
        <f>1203+1097</f>
        <v>2300</v>
      </c>
      <c r="K55" s="747"/>
      <c r="L55" s="745">
        <f>5258+892</f>
        <v>6150</v>
      </c>
      <c r="M55" s="747"/>
      <c r="N55" s="748">
        <v>352</v>
      </c>
      <c r="O55" s="747">
        <v>65</v>
      </c>
    </row>
    <row r="56" spans="1:15" ht="14.25" customHeight="1" x14ac:dyDescent="0.2">
      <c r="A56" s="740">
        <v>44</v>
      </c>
      <c r="B56" s="750" t="s">
        <v>128</v>
      </c>
      <c r="C56" s="744" t="s">
        <v>129</v>
      </c>
      <c r="D56" s="748">
        <f t="shared" si="2"/>
        <v>9691</v>
      </c>
      <c r="E56" s="751">
        <f t="shared" si="3"/>
        <v>9671</v>
      </c>
      <c r="F56" s="751">
        <v>761</v>
      </c>
      <c r="G56" s="746">
        <f t="shared" si="4"/>
        <v>20</v>
      </c>
      <c r="H56" s="745">
        <v>1039</v>
      </c>
      <c r="I56" s="746"/>
      <c r="J56" s="745">
        <f>1389+488</f>
        <v>1877</v>
      </c>
      <c r="K56" s="747"/>
      <c r="L56" s="745">
        <f>4456+756</f>
        <v>5212</v>
      </c>
      <c r="M56" s="747"/>
      <c r="N56" s="748">
        <v>1543</v>
      </c>
      <c r="O56" s="747">
        <v>20</v>
      </c>
    </row>
    <row r="57" spans="1:15" x14ac:dyDescent="0.2">
      <c r="A57" s="740">
        <v>45</v>
      </c>
      <c r="B57" s="341" t="s">
        <v>130</v>
      </c>
      <c r="C57" s="744" t="s">
        <v>131</v>
      </c>
      <c r="D57" s="748">
        <f t="shared" si="2"/>
        <v>4365</v>
      </c>
      <c r="E57" s="751">
        <f t="shared" si="3"/>
        <v>4359</v>
      </c>
      <c r="F57" s="751">
        <v>378</v>
      </c>
      <c r="G57" s="746">
        <f t="shared" si="4"/>
        <v>6</v>
      </c>
      <c r="H57" s="745">
        <v>341</v>
      </c>
      <c r="I57" s="746"/>
      <c r="J57" s="745">
        <f>460+240</f>
        <v>700</v>
      </c>
      <c r="K57" s="747"/>
      <c r="L57" s="745">
        <f>2125+361</f>
        <v>2486</v>
      </c>
      <c r="M57" s="747"/>
      <c r="N57" s="748">
        <v>832</v>
      </c>
      <c r="O57" s="747">
        <v>6</v>
      </c>
    </row>
    <row r="58" spans="1:15" x14ac:dyDescent="0.2">
      <c r="A58" s="740">
        <v>46</v>
      </c>
      <c r="B58" s="750" t="s">
        <v>132</v>
      </c>
      <c r="C58" s="744" t="s">
        <v>133</v>
      </c>
      <c r="D58" s="748">
        <f t="shared" si="2"/>
        <v>6804</v>
      </c>
      <c r="E58" s="751">
        <f t="shared" si="3"/>
        <v>6804</v>
      </c>
      <c r="F58" s="751">
        <v>2564</v>
      </c>
      <c r="G58" s="746"/>
      <c r="H58" s="745">
        <v>735</v>
      </c>
      <c r="I58" s="746"/>
      <c r="J58" s="745">
        <f>725+532</f>
        <v>1257</v>
      </c>
      <c r="K58" s="747"/>
      <c r="L58" s="745">
        <f>3415+579</f>
        <v>3994</v>
      </c>
      <c r="M58" s="747"/>
      <c r="N58" s="748">
        <v>818</v>
      </c>
      <c r="O58" s="747"/>
    </row>
    <row r="59" spans="1:15" x14ac:dyDescent="0.2">
      <c r="A59" s="740">
        <v>47</v>
      </c>
      <c r="B59" s="341" t="s">
        <v>134</v>
      </c>
      <c r="C59" s="744" t="s">
        <v>135</v>
      </c>
      <c r="D59" s="748">
        <f t="shared" si="2"/>
        <v>13595</v>
      </c>
      <c r="E59" s="751">
        <f t="shared" si="3"/>
        <v>13577</v>
      </c>
      <c r="F59" s="751">
        <v>530</v>
      </c>
      <c r="G59" s="746">
        <f t="shared" si="4"/>
        <v>18</v>
      </c>
      <c r="H59" s="745">
        <v>1154</v>
      </c>
      <c r="I59" s="746"/>
      <c r="J59" s="745">
        <f>1141+1195</f>
        <v>2336</v>
      </c>
      <c r="K59" s="747"/>
      <c r="L59" s="745">
        <f>6484+1100</f>
        <v>7584</v>
      </c>
      <c r="M59" s="747"/>
      <c r="N59" s="748">
        <v>2503</v>
      </c>
      <c r="O59" s="747">
        <v>18</v>
      </c>
    </row>
    <row r="60" spans="1:15" x14ac:dyDescent="0.2">
      <c r="A60" s="740">
        <v>48</v>
      </c>
      <c r="B60" s="341" t="s">
        <v>136</v>
      </c>
      <c r="C60" s="744" t="s">
        <v>137</v>
      </c>
      <c r="D60" s="748">
        <f t="shared" si="2"/>
        <v>35787</v>
      </c>
      <c r="E60" s="751">
        <f t="shared" si="3"/>
        <v>35500</v>
      </c>
      <c r="F60" s="751">
        <v>928</v>
      </c>
      <c r="G60" s="746">
        <f t="shared" si="4"/>
        <v>287</v>
      </c>
      <c r="H60" s="745">
        <v>3136</v>
      </c>
      <c r="I60" s="746"/>
      <c r="J60" s="745">
        <f>3999+2481</f>
        <v>6480</v>
      </c>
      <c r="K60" s="747"/>
      <c r="L60" s="745">
        <f>18514+3142</f>
        <v>21656</v>
      </c>
      <c r="M60" s="747">
        <v>8</v>
      </c>
      <c r="N60" s="748">
        <v>4228</v>
      </c>
      <c r="O60" s="747">
        <v>279</v>
      </c>
    </row>
    <row r="61" spans="1:15" x14ac:dyDescent="0.2">
      <c r="A61" s="740">
        <v>49</v>
      </c>
      <c r="B61" s="341" t="s">
        <v>138</v>
      </c>
      <c r="C61" s="744" t="s">
        <v>139</v>
      </c>
      <c r="D61" s="748">
        <f t="shared" si="2"/>
        <v>8040</v>
      </c>
      <c r="E61" s="751">
        <f t="shared" si="3"/>
        <v>8034</v>
      </c>
      <c r="F61" s="751">
        <v>744</v>
      </c>
      <c r="G61" s="746">
        <f>I61+K61+M61+O61</f>
        <v>6</v>
      </c>
      <c r="H61" s="745">
        <v>819</v>
      </c>
      <c r="I61" s="746"/>
      <c r="J61" s="745">
        <f>845+636</f>
        <v>1481</v>
      </c>
      <c r="K61" s="747"/>
      <c r="L61" s="745">
        <f>4061+689</f>
        <v>4750</v>
      </c>
      <c r="M61" s="747"/>
      <c r="N61" s="748">
        <v>984</v>
      </c>
      <c r="O61" s="747">
        <v>6</v>
      </c>
    </row>
    <row r="62" spans="1:15" x14ac:dyDescent="0.2">
      <c r="A62" s="740">
        <v>50</v>
      </c>
      <c r="B62" s="341" t="s">
        <v>140</v>
      </c>
      <c r="C62" s="744" t="s">
        <v>141</v>
      </c>
      <c r="D62" s="748">
        <f t="shared" si="2"/>
        <v>6101</v>
      </c>
      <c r="E62" s="751">
        <f t="shared" si="3"/>
        <v>6086</v>
      </c>
      <c r="F62" s="751">
        <v>189</v>
      </c>
      <c r="G62" s="746">
        <f t="shared" si="4"/>
        <v>15</v>
      </c>
      <c r="H62" s="745">
        <v>484</v>
      </c>
      <c r="I62" s="746"/>
      <c r="J62" s="745">
        <f>615+292</f>
        <v>907</v>
      </c>
      <c r="K62" s="747"/>
      <c r="L62" s="745">
        <f>2837+481</f>
        <v>3318</v>
      </c>
      <c r="M62" s="747"/>
      <c r="N62" s="748">
        <v>1377</v>
      </c>
      <c r="O62" s="747">
        <v>15</v>
      </c>
    </row>
    <row r="63" spans="1:15" x14ac:dyDescent="0.2">
      <c r="A63" s="740">
        <v>51</v>
      </c>
      <c r="B63" s="750" t="s">
        <v>142</v>
      </c>
      <c r="C63" s="744" t="s">
        <v>143</v>
      </c>
      <c r="D63" s="748">
        <f t="shared" si="2"/>
        <v>7366</v>
      </c>
      <c r="E63" s="751">
        <f t="shared" si="3"/>
        <v>7361</v>
      </c>
      <c r="F63" s="751">
        <v>189</v>
      </c>
      <c r="G63" s="746">
        <f>I63+K63+M63+O63</f>
        <v>5</v>
      </c>
      <c r="H63" s="745">
        <v>658</v>
      </c>
      <c r="I63" s="746"/>
      <c r="J63" s="745">
        <f>800+1021</f>
        <v>1821</v>
      </c>
      <c r="K63" s="747"/>
      <c r="L63" s="745">
        <f>3788+643</f>
        <v>4431</v>
      </c>
      <c r="M63" s="747"/>
      <c r="N63" s="748">
        <v>451</v>
      </c>
      <c r="O63" s="747">
        <v>5</v>
      </c>
    </row>
    <row r="64" spans="1:15" x14ac:dyDescent="0.2">
      <c r="A64" s="740">
        <v>52</v>
      </c>
      <c r="B64" s="341" t="s">
        <v>144</v>
      </c>
      <c r="C64" s="744" t="s">
        <v>145</v>
      </c>
      <c r="D64" s="748"/>
      <c r="E64" s="751"/>
      <c r="F64" s="751"/>
      <c r="G64" s="746"/>
      <c r="H64" s="745"/>
      <c r="I64" s="746"/>
      <c r="J64" s="745"/>
      <c r="K64" s="747"/>
      <c r="L64" s="745"/>
      <c r="M64" s="747"/>
      <c r="N64" s="748"/>
      <c r="O64" s="747"/>
    </row>
    <row r="65" spans="1:15" ht="13.5" customHeight="1" x14ac:dyDescent="0.2">
      <c r="A65" s="740">
        <v>53</v>
      </c>
      <c r="B65" s="341" t="s">
        <v>146</v>
      </c>
      <c r="C65" s="744" t="s">
        <v>147</v>
      </c>
      <c r="D65" s="748"/>
      <c r="E65" s="751"/>
      <c r="F65" s="751"/>
      <c r="G65" s="746"/>
      <c r="H65" s="745"/>
      <c r="I65" s="746"/>
      <c r="J65" s="745"/>
      <c r="K65" s="747"/>
      <c r="L65" s="745"/>
      <c r="M65" s="747"/>
      <c r="N65" s="748"/>
      <c r="O65" s="747"/>
    </row>
    <row r="66" spans="1:15" ht="15.75" customHeight="1" x14ac:dyDescent="0.2">
      <c r="A66" s="740">
        <v>54</v>
      </c>
      <c r="B66" s="341" t="s">
        <v>148</v>
      </c>
      <c r="C66" s="744" t="s">
        <v>149</v>
      </c>
      <c r="D66" s="748">
        <f t="shared" si="2"/>
        <v>135</v>
      </c>
      <c r="E66" s="751"/>
      <c r="F66" s="751"/>
      <c r="G66" s="746">
        <f t="shared" si="4"/>
        <v>135</v>
      </c>
      <c r="H66" s="745"/>
      <c r="I66" s="746"/>
      <c r="J66" s="745"/>
      <c r="K66" s="747"/>
      <c r="L66" s="745"/>
      <c r="M66" s="747"/>
      <c r="N66" s="748"/>
      <c r="O66" s="747">
        <v>135</v>
      </c>
    </row>
    <row r="67" spans="1:15" ht="15.75" customHeight="1" x14ac:dyDescent="0.2">
      <c r="A67" s="740">
        <v>55</v>
      </c>
      <c r="B67" s="750" t="s">
        <v>150</v>
      </c>
      <c r="C67" s="744" t="s">
        <v>151</v>
      </c>
      <c r="D67" s="748">
        <f t="shared" si="2"/>
        <v>194</v>
      </c>
      <c r="E67" s="751"/>
      <c r="F67" s="751"/>
      <c r="G67" s="746">
        <f t="shared" si="4"/>
        <v>194</v>
      </c>
      <c r="H67" s="745"/>
      <c r="I67" s="746"/>
      <c r="J67" s="745"/>
      <c r="K67" s="747"/>
      <c r="L67" s="745"/>
      <c r="M67" s="747"/>
      <c r="N67" s="748"/>
      <c r="O67" s="747">
        <v>194</v>
      </c>
    </row>
    <row r="68" spans="1:15" ht="15.75" customHeight="1" x14ac:dyDescent="0.2">
      <c r="A68" s="740">
        <v>56</v>
      </c>
      <c r="B68" s="750" t="s">
        <v>154</v>
      </c>
      <c r="C68" s="744" t="s">
        <v>155</v>
      </c>
      <c r="D68" s="748">
        <f t="shared" si="2"/>
        <v>60</v>
      </c>
      <c r="E68" s="751"/>
      <c r="F68" s="751"/>
      <c r="G68" s="746">
        <f t="shared" si="4"/>
        <v>60</v>
      </c>
      <c r="H68" s="745"/>
      <c r="I68" s="746"/>
      <c r="J68" s="745"/>
      <c r="K68" s="747">
        <v>2</v>
      </c>
      <c r="L68" s="745"/>
      <c r="M68" s="747">
        <v>1</v>
      </c>
      <c r="N68" s="748"/>
      <c r="O68" s="747">
        <v>57</v>
      </c>
    </row>
    <row r="69" spans="1:15" ht="28.5" customHeight="1" x14ac:dyDescent="0.2">
      <c r="A69" s="740">
        <v>57</v>
      </c>
      <c r="B69" s="332" t="s">
        <v>158</v>
      </c>
      <c r="C69" s="744" t="s">
        <v>159</v>
      </c>
      <c r="D69" s="748"/>
      <c r="E69" s="751"/>
      <c r="F69" s="751"/>
      <c r="G69" s="746"/>
      <c r="H69" s="745"/>
      <c r="I69" s="746"/>
      <c r="J69" s="745"/>
      <c r="K69" s="747"/>
      <c r="L69" s="745"/>
      <c r="M69" s="747"/>
      <c r="N69" s="748"/>
      <c r="O69" s="747"/>
    </row>
    <row r="70" spans="1:15" ht="28.5" customHeight="1" x14ac:dyDescent="0.2">
      <c r="A70" s="740">
        <v>58</v>
      </c>
      <c r="B70" s="332" t="s">
        <v>160</v>
      </c>
      <c r="C70" s="744" t="s">
        <v>161</v>
      </c>
      <c r="D70" s="748"/>
      <c r="E70" s="751"/>
      <c r="F70" s="751"/>
      <c r="G70" s="746"/>
      <c r="H70" s="745"/>
      <c r="I70" s="746"/>
      <c r="J70" s="745"/>
      <c r="K70" s="747"/>
      <c r="L70" s="745"/>
      <c r="M70" s="747"/>
      <c r="N70" s="748"/>
      <c r="O70" s="747"/>
    </row>
    <row r="71" spans="1:15" x14ac:dyDescent="0.2">
      <c r="A71" s="740">
        <v>59</v>
      </c>
      <c r="B71" s="750" t="s">
        <v>162</v>
      </c>
      <c r="C71" s="744" t="s">
        <v>163</v>
      </c>
      <c r="D71" s="748">
        <f t="shared" si="2"/>
        <v>27644</v>
      </c>
      <c r="E71" s="751">
        <f t="shared" si="3"/>
        <v>27644</v>
      </c>
      <c r="F71" s="751">
        <v>925</v>
      </c>
      <c r="G71" s="746"/>
      <c r="H71" s="745">
        <v>3090</v>
      </c>
      <c r="I71" s="746"/>
      <c r="J71" s="745">
        <f>3422+2260</f>
        <v>5682</v>
      </c>
      <c r="K71" s="747"/>
      <c r="L71" s="745">
        <f>14241+2416</f>
        <v>16657</v>
      </c>
      <c r="M71" s="747"/>
      <c r="N71" s="748">
        <v>2215</v>
      </c>
      <c r="O71" s="747"/>
    </row>
    <row r="72" spans="1:15" x14ac:dyDescent="0.2">
      <c r="A72" s="740">
        <v>60</v>
      </c>
      <c r="B72" s="750" t="s">
        <v>164</v>
      </c>
      <c r="C72" s="744" t="s">
        <v>165</v>
      </c>
      <c r="D72" s="748">
        <f t="shared" si="2"/>
        <v>18570</v>
      </c>
      <c r="E72" s="751">
        <f t="shared" si="3"/>
        <v>18570</v>
      </c>
      <c r="F72" s="751">
        <v>60</v>
      </c>
      <c r="G72" s="746"/>
      <c r="H72" s="745">
        <v>1870</v>
      </c>
      <c r="I72" s="746"/>
      <c r="J72" s="745">
        <f>2144+1294</f>
        <v>3438</v>
      </c>
      <c r="K72" s="747"/>
      <c r="L72" s="745">
        <f>9830+1668</f>
        <v>11498</v>
      </c>
      <c r="M72" s="747"/>
      <c r="N72" s="748">
        <v>1764</v>
      </c>
      <c r="O72" s="747"/>
    </row>
    <row r="73" spans="1:15" x14ac:dyDescent="0.2">
      <c r="A73" s="740">
        <v>61</v>
      </c>
      <c r="B73" s="750" t="s">
        <v>166</v>
      </c>
      <c r="C73" s="744" t="s">
        <v>167</v>
      </c>
      <c r="D73" s="748">
        <f t="shared" si="2"/>
        <v>35845</v>
      </c>
      <c r="E73" s="751">
        <f t="shared" si="3"/>
        <v>35845</v>
      </c>
      <c r="F73" s="751">
        <v>245</v>
      </c>
      <c r="G73" s="746"/>
      <c r="H73" s="745">
        <v>4069</v>
      </c>
      <c r="I73" s="746"/>
      <c r="J73" s="745">
        <f>3925+2007</f>
        <v>5932</v>
      </c>
      <c r="K73" s="747"/>
      <c r="L73" s="745">
        <f>18541+3146</f>
        <v>21687</v>
      </c>
      <c r="M73" s="747"/>
      <c r="N73" s="748">
        <v>4157</v>
      </c>
      <c r="O73" s="747"/>
    </row>
    <row r="74" spans="1:15" s="785" customFormat="1" ht="36.75" customHeight="1" x14ac:dyDescent="0.2">
      <c r="A74" s="1098">
        <v>62</v>
      </c>
      <c r="B74" s="332" t="s">
        <v>170</v>
      </c>
      <c r="C74" s="749" t="s">
        <v>774</v>
      </c>
      <c r="D74" s="786">
        <f t="shared" si="2"/>
        <v>45</v>
      </c>
      <c r="E74" s="790">
        <f t="shared" si="3"/>
        <v>45</v>
      </c>
      <c r="F74" s="790"/>
      <c r="G74" s="791"/>
      <c r="H74" s="788"/>
      <c r="I74" s="791"/>
      <c r="J74" s="788"/>
      <c r="K74" s="792"/>
      <c r="L74" s="788"/>
      <c r="M74" s="792"/>
      <c r="N74" s="786">
        <f>9+24+12</f>
        <v>45</v>
      </c>
      <c r="O74" s="792"/>
    </row>
    <row r="75" spans="1:15" ht="27.75" customHeight="1" x14ac:dyDescent="0.2">
      <c r="A75" s="1100"/>
      <c r="B75" s="750" t="s">
        <v>168</v>
      </c>
      <c r="C75" s="744" t="s">
        <v>169</v>
      </c>
      <c r="D75" s="748">
        <f>H75+I75+J75+K75+L75+M75+N75+O75</f>
        <v>7</v>
      </c>
      <c r="E75" s="751">
        <f>H75+J75+L75+N75</f>
        <v>7</v>
      </c>
      <c r="F75" s="751"/>
      <c r="G75" s="746"/>
      <c r="H75" s="745"/>
      <c r="I75" s="746"/>
      <c r="J75" s="745"/>
      <c r="K75" s="747"/>
      <c r="L75" s="745"/>
      <c r="M75" s="747"/>
      <c r="N75" s="748">
        <v>7</v>
      </c>
      <c r="O75" s="747"/>
    </row>
    <row r="76" spans="1:15" ht="27.75" customHeight="1" x14ac:dyDescent="0.2">
      <c r="A76" s="1099"/>
      <c r="B76" s="750" t="s">
        <v>174</v>
      </c>
      <c r="C76" s="744" t="s">
        <v>175</v>
      </c>
      <c r="D76" s="748">
        <f>H76+I76+J76+K76+L76+M76+N76+O76</f>
        <v>3</v>
      </c>
      <c r="E76" s="751">
        <f>H76+J76+L76+N76</f>
        <v>3</v>
      </c>
      <c r="F76" s="751"/>
      <c r="G76" s="746"/>
      <c r="H76" s="745"/>
      <c r="I76" s="746"/>
      <c r="J76" s="745"/>
      <c r="K76" s="747"/>
      <c r="L76" s="745"/>
      <c r="M76" s="747"/>
      <c r="N76" s="748">
        <v>3</v>
      </c>
      <c r="O76" s="747"/>
    </row>
    <row r="77" spans="1:15" s="785" customFormat="1" ht="39.75" customHeight="1" x14ac:dyDescent="0.2">
      <c r="A77" s="1098">
        <v>63</v>
      </c>
      <c r="B77" s="754" t="s">
        <v>176</v>
      </c>
      <c r="C77" s="749" t="s">
        <v>777</v>
      </c>
      <c r="D77" s="786">
        <f>H77+I77+J77+K77+L77+M77+N77+O77</f>
        <v>10</v>
      </c>
      <c r="E77" s="790">
        <f>H77+J77+L77+N77</f>
        <v>10</v>
      </c>
      <c r="F77" s="790"/>
      <c r="G77" s="791"/>
      <c r="H77" s="788"/>
      <c r="I77" s="791"/>
      <c r="J77" s="788"/>
      <c r="K77" s="792"/>
      <c r="L77" s="788"/>
      <c r="M77" s="792"/>
      <c r="N77" s="786">
        <f>3+4+3</f>
        <v>10</v>
      </c>
      <c r="O77" s="792"/>
    </row>
    <row r="78" spans="1:15" ht="25.5" x14ac:dyDescent="0.2">
      <c r="A78" s="1100"/>
      <c r="B78" s="750" t="s">
        <v>172</v>
      </c>
      <c r="C78" s="744" t="s">
        <v>173</v>
      </c>
      <c r="D78" s="748">
        <f t="shared" ref="D78:D139" si="5">H78+I78+J78+K78+L78+M78+N78+O78</f>
        <v>0</v>
      </c>
      <c r="E78" s="751">
        <f t="shared" ref="E78:E139" si="6">H78+J78+L78+N78</f>
        <v>0</v>
      </c>
      <c r="F78" s="751"/>
      <c r="G78" s="746"/>
      <c r="H78" s="745"/>
      <c r="I78" s="746"/>
      <c r="J78" s="745"/>
      <c r="K78" s="747"/>
      <c r="L78" s="745"/>
      <c r="M78" s="747"/>
      <c r="N78" s="748">
        <f>7-4-3</f>
        <v>0</v>
      </c>
      <c r="O78" s="747"/>
    </row>
    <row r="79" spans="1:15" ht="25.5" x14ac:dyDescent="0.2">
      <c r="A79" s="1100"/>
      <c r="B79" s="332" t="s">
        <v>178</v>
      </c>
      <c r="C79" s="744" t="s">
        <v>179</v>
      </c>
      <c r="D79" s="748"/>
      <c r="E79" s="751"/>
      <c r="F79" s="751"/>
      <c r="G79" s="746"/>
      <c r="H79" s="745"/>
      <c r="I79" s="746"/>
      <c r="J79" s="745"/>
      <c r="K79" s="747"/>
      <c r="L79" s="745"/>
      <c r="M79" s="747"/>
      <c r="N79" s="748"/>
      <c r="O79" s="747"/>
    </row>
    <row r="80" spans="1:15" ht="25.5" x14ac:dyDescent="0.2">
      <c r="A80" s="1099"/>
      <c r="B80" s="332" t="s">
        <v>180</v>
      </c>
      <c r="C80" s="744" t="s">
        <v>181</v>
      </c>
      <c r="D80" s="748"/>
      <c r="E80" s="751"/>
      <c r="F80" s="751"/>
      <c r="G80" s="746"/>
      <c r="H80" s="745"/>
      <c r="I80" s="746"/>
      <c r="J80" s="745"/>
      <c r="K80" s="747"/>
      <c r="L80" s="745"/>
      <c r="M80" s="747"/>
      <c r="N80" s="748"/>
      <c r="O80" s="747"/>
    </row>
    <row r="81" spans="1:15" ht="15.75" customHeight="1" x14ac:dyDescent="0.2">
      <c r="A81" s="740">
        <v>64</v>
      </c>
      <c r="B81" s="341" t="s">
        <v>182</v>
      </c>
      <c r="C81" s="744" t="s">
        <v>183</v>
      </c>
      <c r="D81" s="748">
        <f t="shared" si="5"/>
        <v>22663</v>
      </c>
      <c r="E81" s="751">
        <f t="shared" si="6"/>
        <v>22558</v>
      </c>
      <c r="F81" s="751">
        <v>519</v>
      </c>
      <c r="G81" s="746">
        <f t="shared" ref="G81:G110" si="7">I81+K81+M81+O81</f>
        <v>105</v>
      </c>
      <c r="H81" s="745">
        <v>2112</v>
      </c>
      <c r="I81" s="746"/>
      <c r="J81" s="745">
        <f>2858+3058</f>
        <v>5916</v>
      </c>
      <c r="K81" s="747"/>
      <c r="L81" s="745">
        <f>11136+1889</f>
        <v>13025</v>
      </c>
      <c r="M81" s="747"/>
      <c r="N81" s="748">
        <v>1505</v>
      </c>
      <c r="O81" s="747">
        <v>105</v>
      </c>
    </row>
    <row r="82" spans="1:15" x14ac:dyDescent="0.2">
      <c r="A82" s="740">
        <v>65</v>
      </c>
      <c r="B82" s="332" t="s">
        <v>184</v>
      </c>
      <c r="C82" s="744" t="s">
        <v>185</v>
      </c>
      <c r="D82" s="748">
        <f t="shared" si="5"/>
        <v>45690</v>
      </c>
      <c r="E82" s="751">
        <f t="shared" si="6"/>
        <v>45690</v>
      </c>
      <c r="F82" s="751">
        <v>505</v>
      </c>
      <c r="G82" s="746"/>
      <c r="H82" s="745">
        <v>4561</v>
      </c>
      <c r="I82" s="746"/>
      <c r="J82" s="745">
        <f>5222+4302</f>
        <v>9524</v>
      </c>
      <c r="K82" s="747"/>
      <c r="L82" s="745">
        <f>22654+3843</f>
        <v>26497</v>
      </c>
      <c r="M82" s="747"/>
      <c r="N82" s="748">
        <v>5108</v>
      </c>
      <c r="O82" s="747"/>
    </row>
    <row r="83" spans="1:15" x14ac:dyDescent="0.2">
      <c r="A83" s="740">
        <v>66</v>
      </c>
      <c r="B83" s="341" t="s">
        <v>186</v>
      </c>
      <c r="C83" s="744" t="s">
        <v>187</v>
      </c>
      <c r="D83" s="748">
        <f t="shared" si="5"/>
        <v>31013</v>
      </c>
      <c r="E83" s="751">
        <f t="shared" si="6"/>
        <v>31013</v>
      </c>
      <c r="F83" s="751">
        <v>662</v>
      </c>
      <c r="G83" s="746"/>
      <c r="H83" s="745">
        <v>3008</v>
      </c>
      <c r="I83" s="746"/>
      <c r="J83" s="745">
        <f>3330+2262</f>
        <v>5592</v>
      </c>
      <c r="K83" s="747"/>
      <c r="L83" s="745">
        <f>15449+2621</f>
        <v>18070</v>
      </c>
      <c r="M83" s="747"/>
      <c r="N83" s="748">
        <v>4343</v>
      </c>
      <c r="O83" s="747"/>
    </row>
    <row r="84" spans="1:15" s="785" customFormat="1" ht="27" customHeight="1" x14ac:dyDescent="0.2">
      <c r="A84" s="1098">
        <v>67</v>
      </c>
      <c r="B84" s="754" t="s">
        <v>188</v>
      </c>
      <c r="C84" s="749" t="s">
        <v>785</v>
      </c>
      <c r="D84" s="786">
        <f t="shared" si="5"/>
        <v>16923</v>
      </c>
      <c r="E84" s="790">
        <f t="shared" si="6"/>
        <v>16915</v>
      </c>
      <c r="F84" s="790">
        <v>623</v>
      </c>
      <c r="G84" s="791">
        <f t="shared" si="7"/>
        <v>8</v>
      </c>
      <c r="H84" s="788">
        <v>1750</v>
      </c>
      <c r="I84" s="791"/>
      <c r="J84" s="788">
        <f>2289+1423</f>
        <v>3712</v>
      </c>
      <c r="K84" s="792"/>
      <c r="L84" s="788">
        <f>8170+1386</f>
        <v>9556</v>
      </c>
      <c r="M84" s="792"/>
      <c r="N84" s="786">
        <v>1897</v>
      </c>
      <c r="O84" s="792">
        <f>0+5+3</f>
        <v>8</v>
      </c>
    </row>
    <row r="85" spans="1:15" x14ac:dyDescent="0.2">
      <c r="A85" s="1099"/>
      <c r="B85" s="341" t="s">
        <v>156</v>
      </c>
      <c r="C85" s="744" t="s">
        <v>157</v>
      </c>
      <c r="D85" s="748">
        <f t="shared" si="5"/>
        <v>3</v>
      </c>
      <c r="E85" s="751"/>
      <c r="F85" s="751"/>
      <c r="G85" s="746"/>
      <c r="H85" s="745"/>
      <c r="I85" s="746"/>
      <c r="J85" s="745"/>
      <c r="K85" s="747"/>
      <c r="L85" s="745"/>
      <c r="M85" s="747"/>
      <c r="N85" s="748"/>
      <c r="O85" s="747">
        <v>3</v>
      </c>
    </row>
    <row r="86" spans="1:15" x14ac:dyDescent="0.2">
      <c r="A86" s="740">
        <v>68</v>
      </c>
      <c r="B86" s="332" t="s">
        <v>190</v>
      </c>
      <c r="C86" s="744" t="s">
        <v>191</v>
      </c>
      <c r="D86" s="748">
        <f t="shared" si="5"/>
        <v>45272</v>
      </c>
      <c r="E86" s="751">
        <f t="shared" si="6"/>
        <v>45272</v>
      </c>
      <c r="F86" s="751">
        <v>3264</v>
      </c>
      <c r="G86" s="746"/>
      <c r="H86" s="745">
        <v>4764</v>
      </c>
      <c r="I86" s="746"/>
      <c r="J86" s="745">
        <f>6214+2126</f>
        <v>8340</v>
      </c>
      <c r="K86" s="747"/>
      <c r="L86" s="745">
        <f>24022+4075</f>
        <v>28097</v>
      </c>
      <c r="M86" s="747"/>
      <c r="N86" s="748">
        <v>4071</v>
      </c>
      <c r="O86" s="747"/>
    </row>
    <row r="87" spans="1:15" s="785" customFormat="1" ht="28.5" customHeight="1" x14ac:dyDescent="0.2">
      <c r="A87" s="1098">
        <v>69</v>
      </c>
      <c r="B87" s="754" t="s">
        <v>192</v>
      </c>
      <c r="C87" s="749" t="s">
        <v>776</v>
      </c>
      <c r="D87" s="786">
        <f t="shared" si="5"/>
        <v>138</v>
      </c>
      <c r="E87" s="790"/>
      <c r="F87" s="790"/>
      <c r="G87" s="791">
        <f t="shared" si="7"/>
        <v>138</v>
      </c>
      <c r="H87" s="788"/>
      <c r="I87" s="791"/>
      <c r="J87" s="788"/>
      <c r="K87" s="792"/>
      <c r="L87" s="788"/>
      <c r="M87" s="792"/>
      <c r="N87" s="786"/>
      <c r="O87" s="792">
        <f>80+38+20</f>
        <v>138</v>
      </c>
    </row>
    <row r="88" spans="1:15" ht="13.5" customHeight="1" x14ac:dyDescent="0.2">
      <c r="A88" s="1099"/>
      <c r="B88" s="332" t="s">
        <v>152</v>
      </c>
      <c r="C88" s="744" t="s">
        <v>153</v>
      </c>
      <c r="D88" s="748">
        <f t="shared" si="5"/>
        <v>20</v>
      </c>
      <c r="E88" s="751"/>
      <c r="F88" s="751"/>
      <c r="G88" s="746"/>
      <c r="H88" s="745"/>
      <c r="I88" s="746"/>
      <c r="J88" s="745"/>
      <c r="K88" s="747"/>
      <c r="L88" s="745"/>
      <c r="M88" s="747"/>
      <c r="N88" s="748"/>
      <c r="O88" s="747">
        <v>20</v>
      </c>
    </row>
    <row r="89" spans="1:15" x14ac:dyDescent="0.2">
      <c r="A89" s="740">
        <v>70</v>
      </c>
      <c r="B89" s="332" t="s">
        <v>194</v>
      </c>
      <c r="C89" s="744" t="s">
        <v>195</v>
      </c>
      <c r="D89" s="748">
        <f t="shared" si="5"/>
        <v>38617</v>
      </c>
      <c r="E89" s="751">
        <f t="shared" si="6"/>
        <v>38617</v>
      </c>
      <c r="F89" s="751">
        <v>925</v>
      </c>
      <c r="G89" s="746"/>
      <c r="H89" s="745">
        <v>3393</v>
      </c>
      <c r="I89" s="746"/>
      <c r="J89" s="745">
        <f>4129+2669</f>
        <v>6798</v>
      </c>
      <c r="K89" s="747"/>
      <c r="L89" s="745">
        <f>19057+3233</f>
        <v>22290</v>
      </c>
      <c r="M89" s="747"/>
      <c r="N89" s="748">
        <f>6836-700</f>
        <v>6136</v>
      </c>
      <c r="O89" s="747"/>
    </row>
    <row r="90" spans="1:15" x14ac:dyDescent="0.2">
      <c r="A90" s="740">
        <v>71</v>
      </c>
      <c r="B90" s="332" t="s">
        <v>196</v>
      </c>
      <c r="C90" s="744" t="s">
        <v>197</v>
      </c>
      <c r="D90" s="748"/>
      <c r="E90" s="751"/>
      <c r="F90" s="751"/>
      <c r="G90" s="746"/>
      <c r="H90" s="745"/>
      <c r="I90" s="746"/>
      <c r="J90" s="745"/>
      <c r="K90" s="747"/>
      <c r="L90" s="745"/>
      <c r="M90" s="747"/>
      <c r="N90" s="748"/>
      <c r="O90" s="747"/>
    </row>
    <row r="91" spans="1:15" x14ac:dyDescent="0.2">
      <c r="A91" s="740">
        <v>72</v>
      </c>
      <c r="B91" s="750" t="s">
        <v>30</v>
      </c>
      <c r="C91" s="744" t="s">
        <v>802</v>
      </c>
      <c r="D91" s="748"/>
      <c r="E91" s="751"/>
      <c r="F91" s="751"/>
      <c r="G91" s="746"/>
      <c r="H91" s="745"/>
      <c r="I91" s="746"/>
      <c r="J91" s="745"/>
      <c r="K91" s="747"/>
      <c r="L91" s="745"/>
      <c r="M91" s="747"/>
      <c r="N91" s="748"/>
      <c r="O91" s="747"/>
    </row>
    <row r="92" spans="1:15" s="785" customFormat="1" ht="25.5" x14ac:dyDescent="0.2">
      <c r="A92" s="1087">
        <v>73</v>
      </c>
      <c r="B92" s="1089" t="s">
        <v>199</v>
      </c>
      <c r="C92" s="795" t="s">
        <v>200</v>
      </c>
      <c r="D92" s="786">
        <f t="shared" si="5"/>
        <v>404</v>
      </c>
      <c r="E92" s="790">
        <f t="shared" si="6"/>
        <v>404</v>
      </c>
      <c r="F92" s="790">
        <v>346</v>
      </c>
      <c r="G92" s="791"/>
      <c r="H92" s="788">
        <v>36</v>
      </c>
      <c r="I92" s="791"/>
      <c r="J92" s="788">
        <f>2+2</f>
        <v>4</v>
      </c>
      <c r="K92" s="792"/>
      <c r="L92" s="788">
        <f>207+35</f>
        <v>242</v>
      </c>
      <c r="M92" s="792"/>
      <c r="N92" s="786">
        <v>122</v>
      </c>
      <c r="O92" s="747"/>
    </row>
    <row r="93" spans="1:15" ht="43.5" customHeight="1" x14ac:dyDescent="0.2">
      <c r="A93" s="1088"/>
      <c r="B93" s="1090"/>
      <c r="C93" s="744" t="s">
        <v>201</v>
      </c>
      <c r="D93" s="748">
        <f t="shared" si="5"/>
        <v>404</v>
      </c>
      <c r="E93" s="751">
        <f t="shared" si="6"/>
        <v>404</v>
      </c>
      <c r="F93" s="751">
        <v>346</v>
      </c>
      <c r="G93" s="746"/>
      <c r="H93" s="745">
        <v>36</v>
      </c>
      <c r="I93" s="746"/>
      <c r="J93" s="745">
        <f>2+2</f>
        <v>4</v>
      </c>
      <c r="K93" s="747"/>
      <c r="L93" s="745">
        <f>207+35</f>
        <v>242</v>
      </c>
      <c r="M93" s="747"/>
      <c r="N93" s="748">
        <v>122</v>
      </c>
      <c r="O93" s="747"/>
    </row>
    <row r="94" spans="1:15" ht="25.5" x14ac:dyDescent="0.2">
      <c r="A94" s="1088"/>
      <c r="B94" s="1090"/>
      <c r="C94" s="744" t="s">
        <v>202</v>
      </c>
      <c r="D94" s="748"/>
      <c r="E94" s="751"/>
      <c r="F94" s="751"/>
      <c r="G94" s="746"/>
      <c r="H94" s="745"/>
      <c r="I94" s="746"/>
      <c r="J94" s="745"/>
      <c r="K94" s="747"/>
      <c r="L94" s="745"/>
      <c r="M94" s="747"/>
      <c r="N94" s="748"/>
      <c r="O94" s="747"/>
    </row>
    <row r="95" spans="1:15" ht="45" customHeight="1" x14ac:dyDescent="0.2">
      <c r="A95" s="1088"/>
      <c r="B95" s="1091"/>
      <c r="C95" s="436" t="s">
        <v>203</v>
      </c>
      <c r="D95" s="748"/>
      <c r="E95" s="751"/>
      <c r="F95" s="751"/>
      <c r="G95" s="746"/>
      <c r="H95" s="745"/>
      <c r="I95" s="746"/>
      <c r="J95" s="745"/>
      <c r="K95" s="747"/>
      <c r="L95" s="745"/>
      <c r="M95" s="747"/>
      <c r="N95" s="748"/>
      <c r="O95" s="747"/>
    </row>
    <row r="96" spans="1:15" ht="25.5" x14ac:dyDescent="0.2">
      <c r="A96" s="740">
        <v>74</v>
      </c>
      <c r="B96" s="750" t="s">
        <v>204</v>
      </c>
      <c r="C96" s="744" t="s">
        <v>205</v>
      </c>
      <c r="D96" s="748"/>
      <c r="E96" s="751"/>
      <c r="F96" s="751"/>
      <c r="G96" s="746"/>
      <c r="H96" s="745"/>
      <c r="I96" s="746"/>
      <c r="J96" s="745"/>
      <c r="K96" s="747"/>
      <c r="L96" s="745"/>
      <c r="M96" s="747"/>
      <c r="N96" s="748"/>
      <c r="O96" s="747"/>
    </row>
    <row r="97" spans="1:15" x14ac:dyDescent="0.2">
      <c r="A97" s="740">
        <v>75</v>
      </c>
      <c r="B97" s="750" t="s">
        <v>206</v>
      </c>
      <c r="C97" s="744" t="s">
        <v>207</v>
      </c>
      <c r="D97" s="748">
        <f t="shared" si="5"/>
        <v>2175</v>
      </c>
      <c r="E97" s="751">
        <f t="shared" si="6"/>
        <v>2175</v>
      </c>
      <c r="F97" s="751">
        <v>293</v>
      </c>
      <c r="G97" s="746"/>
      <c r="H97" s="745"/>
      <c r="I97" s="746"/>
      <c r="J97" s="745">
        <f>192+321</f>
        <v>513</v>
      </c>
      <c r="K97" s="747"/>
      <c r="L97" s="745">
        <f>876+149</f>
        <v>1025</v>
      </c>
      <c r="M97" s="747"/>
      <c r="N97" s="748">
        <v>637</v>
      </c>
      <c r="O97" s="747"/>
    </row>
    <row r="98" spans="1:15" x14ac:dyDescent="0.2">
      <c r="A98" s="740">
        <v>76</v>
      </c>
      <c r="B98" s="341" t="s">
        <v>208</v>
      </c>
      <c r="C98" s="744" t="s">
        <v>209</v>
      </c>
      <c r="D98" s="748">
        <f t="shared" si="5"/>
        <v>11319</v>
      </c>
      <c r="E98" s="751">
        <f t="shared" si="6"/>
        <v>11319</v>
      </c>
      <c r="F98" s="751">
        <v>1751</v>
      </c>
      <c r="G98" s="746"/>
      <c r="H98" s="745">
        <v>920</v>
      </c>
      <c r="I98" s="746"/>
      <c r="J98" s="745">
        <f>1554+1341</f>
        <v>2895</v>
      </c>
      <c r="K98" s="747"/>
      <c r="L98" s="745">
        <f>5817+987</f>
        <v>6804</v>
      </c>
      <c r="M98" s="747"/>
      <c r="N98" s="748">
        <v>700</v>
      </c>
      <c r="O98" s="747"/>
    </row>
    <row r="99" spans="1:15" x14ac:dyDescent="0.2">
      <c r="A99" s="740">
        <v>77</v>
      </c>
      <c r="B99" s="750" t="s">
        <v>210</v>
      </c>
      <c r="C99" s="744" t="s">
        <v>211</v>
      </c>
      <c r="D99" s="748">
        <f t="shared" si="5"/>
        <v>4296</v>
      </c>
      <c r="E99" s="751">
        <f t="shared" si="6"/>
        <v>4296</v>
      </c>
      <c r="F99" s="751">
        <v>190</v>
      </c>
      <c r="G99" s="746"/>
      <c r="H99" s="745">
        <v>450</v>
      </c>
      <c r="I99" s="746"/>
      <c r="J99" s="745">
        <f>491+215</f>
        <v>706</v>
      </c>
      <c r="K99" s="747"/>
      <c r="L99" s="745">
        <f>2188+371</f>
        <v>2559</v>
      </c>
      <c r="M99" s="747"/>
      <c r="N99" s="748">
        <v>581</v>
      </c>
      <c r="O99" s="747"/>
    </row>
    <row r="100" spans="1:15" x14ac:dyDescent="0.2">
      <c r="A100" s="740">
        <v>78</v>
      </c>
      <c r="B100" s="341" t="s">
        <v>212</v>
      </c>
      <c r="C100" s="744" t="s">
        <v>213</v>
      </c>
      <c r="D100" s="748">
        <f t="shared" si="5"/>
        <v>4142</v>
      </c>
      <c r="E100" s="751">
        <f t="shared" si="6"/>
        <v>4132</v>
      </c>
      <c r="F100" s="751">
        <v>168</v>
      </c>
      <c r="G100" s="746">
        <f t="shared" si="7"/>
        <v>10</v>
      </c>
      <c r="H100" s="745">
        <v>359</v>
      </c>
      <c r="I100" s="746"/>
      <c r="J100" s="745">
        <f>516+130</f>
        <v>646</v>
      </c>
      <c r="K100" s="747"/>
      <c r="L100" s="745">
        <f>2411+409</f>
        <v>2820</v>
      </c>
      <c r="M100" s="747"/>
      <c r="N100" s="748">
        <v>307</v>
      </c>
      <c r="O100" s="747">
        <v>10</v>
      </c>
    </row>
    <row r="101" spans="1:15" x14ac:dyDescent="0.2">
      <c r="A101" s="740">
        <v>79</v>
      </c>
      <c r="B101" s="341" t="s">
        <v>214</v>
      </c>
      <c r="C101" s="744" t="s">
        <v>215</v>
      </c>
      <c r="D101" s="748">
        <f t="shared" si="5"/>
        <v>13756</v>
      </c>
      <c r="E101" s="751">
        <f t="shared" si="6"/>
        <v>13756</v>
      </c>
      <c r="F101" s="751">
        <v>1540</v>
      </c>
      <c r="G101" s="746"/>
      <c r="H101" s="745">
        <v>1272</v>
      </c>
      <c r="I101" s="746"/>
      <c r="J101" s="745">
        <f>1494+915</f>
        <v>2409</v>
      </c>
      <c r="K101" s="747"/>
      <c r="L101" s="745">
        <f>6135+1041</f>
        <v>7176</v>
      </c>
      <c r="M101" s="747"/>
      <c r="N101" s="748">
        <v>2899</v>
      </c>
      <c r="O101" s="747"/>
    </row>
    <row r="102" spans="1:15" x14ac:dyDescent="0.2">
      <c r="A102" s="740">
        <v>80</v>
      </c>
      <c r="B102" s="750" t="s">
        <v>216</v>
      </c>
      <c r="C102" s="744" t="s">
        <v>217</v>
      </c>
      <c r="D102" s="748">
        <f t="shared" si="5"/>
        <v>5961</v>
      </c>
      <c r="E102" s="751">
        <f t="shared" si="6"/>
        <v>5961</v>
      </c>
      <c r="F102" s="751">
        <v>925</v>
      </c>
      <c r="G102" s="746"/>
      <c r="H102" s="745">
        <v>459</v>
      </c>
      <c r="I102" s="746"/>
      <c r="J102" s="745">
        <f>675+684</f>
        <v>1359</v>
      </c>
      <c r="K102" s="747"/>
      <c r="L102" s="745">
        <f>2995+508</f>
        <v>3503</v>
      </c>
      <c r="M102" s="747"/>
      <c r="N102" s="748">
        <v>640</v>
      </c>
      <c r="O102" s="747"/>
    </row>
    <row r="103" spans="1:15" x14ac:dyDescent="0.2">
      <c r="A103" s="740">
        <v>81</v>
      </c>
      <c r="B103" s="332" t="s">
        <v>218</v>
      </c>
      <c r="C103" s="744" t="s">
        <v>219</v>
      </c>
      <c r="D103" s="748">
        <f t="shared" si="5"/>
        <v>13089</v>
      </c>
      <c r="E103" s="751">
        <f t="shared" si="6"/>
        <v>13039</v>
      </c>
      <c r="F103" s="751">
        <v>986</v>
      </c>
      <c r="G103" s="746">
        <f t="shared" si="7"/>
        <v>50</v>
      </c>
      <c r="H103" s="745">
        <v>1213</v>
      </c>
      <c r="I103" s="746"/>
      <c r="J103" s="745">
        <f>1919+733</f>
        <v>2652</v>
      </c>
      <c r="K103" s="747"/>
      <c r="L103" s="745">
        <f>6339+1075</f>
        <v>7414</v>
      </c>
      <c r="M103" s="747"/>
      <c r="N103" s="748">
        <v>1760</v>
      </c>
      <c r="O103" s="747">
        <v>50</v>
      </c>
    </row>
    <row r="104" spans="1:15" x14ac:dyDescent="0.2">
      <c r="A104" s="740">
        <v>82</v>
      </c>
      <c r="B104" s="332" t="s">
        <v>220</v>
      </c>
      <c r="C104" s="744" t="s">
        <v>221</v>
      </c>
      <c r="D104" s="748">
        <f t="shared" si="5"/>
        <v>13336</v>
      </c>
      <c r="E104" s="751">
        <f t="shared" si="6"/>
        <v>13336</v>
      </c>
      <c r="F104" s="751">
        <v>478</v>
      </c>
      <c r="G104" s="746"/>
      <c r="H104" s="745">
        <v>1076</v>
      </c>
      <c r="I104" s="746"/>
      <c r="J104" s="745">
        <f>1637+1668</f>
        <v>3305</v>
      </c>
      <c r="K104" s="747"/>
      <c r="L104" s="745">
        <f>6138+1041</f>
        <v>7179</v>
      </c>
      <c r="M104" s="747"/>
      <c r="N104" s="748">
        <v>1776</v>
      </c>
      <c r="O104" s="747"/>
    </row>
    <row r="105" spans="1:15" x14ac:dyDescent="0.2">
      <c r="A105" s="740">
        <v>83</v>
      </c>
      <c r="B105" s="341" t="s">
        <v>222</v>
      </c>
      <c r="C105" s="744" t="s">
        <v>223</v>
      </c>
      <c r="D105" s="748">
        <f t="shared" si="5"/>
        <v>4340</v>
      </c>
      <c r="E105" s="751">
        <f t="shared" si="6"/>
        <v>4326</v>
      </c>
      <c r="F105" s="751">
        <v>291</v>
      </c>
      <c r="G105" s="746">
        <f t="shared" si="7"/>
        <v>14</v>
      </c>
      <c r="H105" s="745">
        <v>419</v>
      </c>
      <c r="I105" s="746"/>
      <c r="J105" s="745">
        <f>481+241</f>
        <v>722</v>
      </c>
      <c r="K105" s="747"/>
      <c r="L105" s="745">
        <f>2229+378</f>
        <v>2607</v>
      </c>
      <c r="M105" s="747"/>
      <c r="N105" s="748">
        <v>578</v>
      </c>
      <c r="O105" s="747">
        <v>14</v>
      </c>
    </row>
    <row r="106" spans="1:15" x14ac:dyDescent="0.2">
      <c r="A106" s="740">
        <v>84</v>
      </c>
      <c r="B106" s="332" t="s">
        <v>224</v>
      </c>
      <c r="C106" s="744" t="s">
        <v>225</v>
      </c>
      <c r="D106" s="748">
        <f t="shared" si="5"/>
        <v>8051</v>
      </c>
      <c r="E106" s="751">
        <f t="shared" si="6"/>
        <v>8051</v>
      </c>
      <c r="F106" s="751">
        <v>340</v>
      </c>
      <c r="G106" s="746"/>
      <c r="H106" s="745">
        <v>754</v>
      </c>
      <c r="I106" s="746"/>
      <c r="J106" s="745">
        <f>1145+717</f>
        <v>1862</v>
      </c>
      <c r="K106" s="747"/>
      <c r="L106" s="745">
        <f>3783+642</f>
        <v>4425</v>
      </c>
      <c r="M106" s="747"/>
      <c r="N106" s="748">
        <v>1010</v>
      </c>
      <c r="O106" s="747"/>
    </row>
    <row r="107" spans="1:15" x14ac:dyDescent="0.2">
      <c r="A107" s="740">
        <v>85</v>
      </c>
      <c r="B107" s="332" t="s">
        <v>226</v>
      </c>
      <c r="C107" s="744" t="s">
        <v>227</v>
      </c>
      <c r="D107" s="748">
        <f t="shared" si="5"/>
        <v>6618</v>
      </c>
      <c r="E107" s="751">
        <f t="shared" si="6"/>
        <v>6588</v>
      </c>
      <c r="F107" s="751">
        <v>268</v>
      </c>
      <c r="G107" s="746">
        <f t="shared" si="7"/>
        <v>30</v>
      </c>
      <c r="H107" s="745">
        <v>467</v>
      </c>
      <c r="I107" s="746"/>
      <c r="J107" s="745">
        <f>893+709</f>
        <v>1602</v>
      </c>
      <c r="K107" s="747"/>
      <c r="L107" s="745">
        <f>3066+520</f>
        <v>3586</v>
      </c>
      <c r="M107" s="747">
        <v>1</v>
      </c>
      <c r="N107" s="748">
        <v>933</v>
      </c>
      <c r="O107" s="747">
        <v>29</v>
      </c>
    </row>
    <row r="108" spans="1:15" x14ac:dyDescent="0.2">
      <c r="A108" s="740">
        <v>86</v>
      </c>
      <c r="B108" s="750" t="s">
        <v>32</v>
      </c>
      <c r="C108" s="744" t="s">
        <v>33</v>
      </c>
      <c r="D108" s="748">
        <f t="shared" si="5"/>
        <v>5903</v>
      </c>
      <c r="E108" s="751">
        <f t="shared" si="6"/>
        <v>5901</v>
      </c>
      <c r="F108" s="751">
        <v>471</v>
      </c>
      <c r="G108" s="746">
        <f t="shared" si="7"/>
        <v>2</v>
      </c>
      <c r="H108" s="745">
        <f>593-593</f>
        <v>0</v>
      </c>
      <c r="I108" s="746"/>
      <c r="J108" s="745">
        <f>1062+469</f>
        <v>1531</v>
      </c>
      <c r="K108" s="747"/>
      <c r="L108" s="745">
        <f>3573+606</f>
        <v>4179</v>
      </c>
      <c r="M108" s="747"/>
      <c r="N108" s="748">
        <v>191</v>
      </c>
      <c r="O108" s="747">
        <v>2</v>
      </c>
    </row>
    <row r="109" spans="1:15" x14ac:dyDescent="0.2">
      <c r="A109" s="740">
        <v>87</v>
      </c>
      <c r="B109" s="341" t="s">
        <v>228</v>
      </c>
      <c r="C109" s="744" t="s">
        <v>229</v>
      </c>
      <c r="D109" s="748">
        <f t="shared" si="5"/>
        <v>4716</v>
      </c>
      <c r="E109" s="751">
        <f t="shared" si="6"/>
        <v>4716</v>
      </c>
      <c r="F109" s="751">
        <v>558</v>
      </c>
      <c r="G109" s="746"/>
      <c r="H109" s="745">
        <v>428</v>
      </c>
      <c r="I109" s="746"/>
      <c r="J109" s="745">
        <f>525+542</f>
        <v>1067</v>
      </c>
      <c r="K109" s="747"/>
      <c r="L109" s="745">
        <f>2220+377</f>
        <v>2597</v>
      </c>
      <c r="M109" s="747"/>
      <c r="N109" s="748">
        <v>624</v>
      </c>
      <c r="O109" s="747"/>
    </row>
    <row r="110" spans="1:15" x14ac:dyDescent="0.2">
      <c r="A110" s="740">
        <v>88</v>
      </c>
      <c r="B110" s="332" t="s">
        <v>230</v>
      </c>
      <c r="C110" s="744" t="s">
        <v>231</v>
      </c>
      <c r="D110" s="748">
        <f t="shared" si="5"/>
        <v>13494</v>
      </c>
      <c r="E110" s="751">
        <f t="shared" si="6"/>
        <v>13488</v>
      </c>
      <c r="F110" s="751">
        <v>1579</v>
      </c>
      <c r="G110" s="746">
        <f t="shared" si="7"/>
        <v>6</v>
      </c>
      <c r="H110" s="745">
        <v>1385</v>
      </c>
      <c r="I110" s="746"/>
      <c r="J110" s="745">
        <f>1440+919</f>
        <v>2359</v>
      </c>
      <c r="K110" s="747"/>
      <c r="L110" s="745">
        <f>6541+1110</f>
        <v>7651</v>
      </c>
      <c r="M110" s="747"/>
      <c r="N110" s="748">
        <v>2093</v>
      </c>
      <c r="O110" s="747">
        <v>6</v>
      </c>
    </row>
    <row r="111" spans="1:15" x14ac:dyDescent="0.2">
      <c r="A111" s="740">
        <v>89</v>
      </c>
      <c r="B111" s="332" t="s">
        <v>232</v>
      </c>
      <c r="C111" s="744" t="s">
        <v>233</v>
      </c>
      <c r="D111" s="748"/>
      <c r="E111" s="751"/>
      <c r="F111" s="751"/>
      <c r="G111" s="746"/>
      <c r="H111" s="745"/>
      <c r="I111" s="746"/>
      <c r="J111" s="745"/>
      <c r="K111" s="747"/>
      <c r="L111" s="745"/>
      <c r="M111" s="747"/>
      <c r="N111" s="748"/>
      <c r="O111" s="747"/>
    </row>
    <row r="112" spans="1:15" x14ac:dyDescent="0.2">
      <c r="A112" s="740">
        <v>90</v>
      </c>
      <c r="B112" s="332" t="s">
        <v>234</v>
      </c>
      <c r="C112" s="744" t="s">
        <v>235</v>
      </c>
      <c r="D112" s="748"/>
      <c r="E112" s="751"/>
      <c r="F112" s="751"/>
      <c r="G112" s="746"/>
      <c r="H112" s="745"/>
      <c r="I112" s="746"/>
      <c r="J112" s="745"/>
      <c r="K112" s="747"/>
      <c r="L112" s="745"/>
      <c r="M112" s="747"/>
      <c r="N112" s="748"/>
      <c r="O112" s="747"/>
    </row>
    <row r="113" spans="1:15" x14ac:dyDescent="0.2">
      <c r="A113" s="740">
        <v>91</v>
      </c>
      <c r="B113" s="341" t="s">
        <v>236</v>
      </c>
      <c r="C113" s="744" t="s">
        <v>237</v>
      </c>
      <c r="D113" s="748"/>
      <c r="E113" s="751"/>
      <c r="F113" s="751"/>
      <c r="G113" s="746"/>
      <c r="H113" s="745"/>
      <c r="I113" s="746"/>
      <c r="J113" s="745"/>
      <c r="K113" s="747"/>
      <c r="L113" s="745"/>
      <c r="M113" s="747"/>
      <c r="N113" s="748"/>
      <c r="O113" s="747"/>
    </row>
    <row r="114" spans="1:15" x14ac:dyDescent="0.2">
      <c r="A114" s="740">
        <v>92</v>
      </c>
      <c r="B114" s="341" t="s">
        <v>238</v>
      </c>
      <c r="C114" s="744" t="s">
        <v>239</v>
      </c>
      <c r="D114" s="748"/>
      <c r="E114" s="751"/>
      <c r="F114" s="751"/>
      <c r="G114" s="746"/>
      <c r="H114" s="745"/>
      <c r="I114" s="746"/>
      <c r="J114" s="745"/>
      <c r="K114" s="747"/>
      <c r="L114" s="745"/>
      <c r="M114" s="747"/>
      <c r="N114" s="748"/>
      <c r="O114" s="747"/>
    </row>
    <row r="115" spans="1:15" ht="13.5" customHeight="1" x14ac:dyDescent="0.2">
      <c r="A115" s="740">
        <v>93</v>
      </c>
      <c r="B115" s="341" t="s">
        <v>240</v>
      </c>
      <c r="C115" s="744" t="s">
        <v>241</v>
      </c>
      <c r="D115" s="748"/>
      <c r="E115" s="751"/>
      <c r="F115" s="751"/>
      <c r="G115" s="746"/>
      <c r="H115" s="745"/>
      <c r="I115" s="746"/>
      <c r="J115" s="745"/>
      <c r="K115" s="747"/>
      <c r="L115" s="745"/>
      <c r="M115" s="747"/>
      <c r="N115" s="748"/>
      <c r="O115" s="747"/>
    </row>
    <row r="116" spans="1:15" x14ac:dyDescent="0.2">
      <c r="A116" s="740">
        <v>94</v>
      </c>
      <c r="B116" s="341" t="s">
        <v>242</v>
      </c>
      <c r="C116" s="744" t="s">
        <v>243</v>
      </c>
      <c r="D116" s="748"/>
      <c r="E116" s="751"/>
      <c r="F116" s="751"/>
      <c r="G116" s="746"/>
      <c r="H116" s="745"/>
      <c r="I116" s="746"/>
      <c r="J116" s="745"/>
      <c r="K116" s="747"/>
      <c r="L116" s="745"/>
      <c r="M116" s="747"/>
      <c r="N116" s="748"/>
      <c r="O116" s="747"/>
    </row>
    <row r="117" spans="1:15" x14ac:dyDescent="0.2">
      <c r="A117" s="740">
        <v>95</v>
      </c>
      <c r="B117" s="341" t="s">
        <v>244</v>
      </c>
      <c r="C117" s="744" t="s">
        <v>245</v>
      </c>
      <c r="D117" s="748"/>
      <c r="E117" s="751"/>
      <c r="F117" s="751"/>
      <c r="G117" s="746"/>
      <c r="H117" s="745"/>
      <c r="I117" s="746"/>
      <c r="J117" s="745"/>
      <c r="K117" s="747"/>
      <c r="L117" s="745"/>
      <c r="M117" s="747"/>
      <c r="N117" s="748"/>
      <c r="O117" s="747"/>
    </row>
    <row r="118" spans="1:15" x14ac:dyDescent="0.2">
      <c r="A118" s="740">
        <v>96</v>
      </c>
      <c r="B118" s="796" t="s">
        <v>246</v>
      </c>
      <c r="C118" s="794" t="s">
        <v>247</v>
      </c>
      <c r="D118" s="748"/>
      <c r="E118" s="751"/>
      <c r="F118" s="751"/>
      <c r="G118" s="746"/>
      <c r="H118" s="745"/>
      <c r="I118" s="746"/>
      <c r="J118" s="745"/>
      <c r="K118" s="747"/>
      <c r="L118" s="745"/>
      <c r="M118" s="747"/>
      <c r="N118" s="748"/>
      <c r="O118" s="747"/>
    </row>
    <row r="119" spans="1:15" x14ac:dyDescent="0.2">
      <c r="A119" s="740">
        <v>97</v>
      </c>
      <c r="B119" s="750" t="s">
        <v>248</v>
      </c>
      <c r="C119" s="744" t="s">
        <v>249</v>
      </c>
      <c r="D119" s="748"/>
      <c r="E119" s="751"/>
      <c r="F119" s="751"/>
      <c r="G119" s="746"/>
      <c r="H119" s="745"/>
      <c r="I119" s="746"/>
      <c r="J119" s="745"/>
      <c r="K119" s="747"/>
      <c r="L119" s="745"/>
      <c r="M119" s="747"/>
      <c r="N119" s="748"/>
      <c r="O119" s="747"/>
    </row>
    <row r="120" spans="1:15" x14ac:dyDescent="0.2">
      <c r="A120" s="740">
        <v>98</v>
      </c>
      <c r="B120" s="341" t="s">
        <v>250</v>
      </c>
      <c r="C120" s="744" t="s">
        <v>251</v>
      </c>
      <c r="D120" s="748"/>
      <c r="E120" s="751"/>
      <c r="F120" s="751"/>
      <c r="G120" s="746"/>
      <c r="H120" s="745"/>
      <c r="I120" s="746"/>
      <c r="J120" s="745"/>
      <c r="K120" s="747"/>
      <c r="L120" s="745"/>
      <c r="M120" s="747"/>
      <c r="N120" s="748"/>
      <c r="O120" s="747"/>
    </row>
    <row r="121" spans="1:15" ht="13.5" customHeight="1" x14ac:dyDescent="0.2">
      <c r="A121" s="740">
        <v>99</v>
      </c>
      <c r="B121" s="332" t="s">
        <v>252</v>
      </c>
      <c r="C121" s="797" t="s">
        <v>253</v>
      </c>
      <c r="D121" s="748"/>
      <c r="E121" s="751"/>
      <c r="F121" s="751"/>
      <c r="G121" s="746"/>
      <c r="H121" s="745"/>
      <c r="I121" s="746"/>
      <c r="J121" s="745"/>
      <c r="K121" s="747"/>
      <c r="L121" s="745"/>
      <c r="M121" s="747"/>
      <c r="N121" s="748"/>
      <c r="O121" s="747"/>
    </row>
    <row r="122" spans="1:15" x14ac:dyDescent="0.2">
      <c r="A122" s="740">
        <v>100</v>
      </c>
      <c r="B122" s="341" t="s">
        <v>254</v>
      </c>
      <c r="C122" s="744" t="s">
        <v>255</v>
      </c>
      <c r="D122" s="748"/>
      <c r="E122" s="751"/>
      <c r="F122" s="751"/>
      <c r="G122" s="746"/>
      <c r="H122" s="745"/>
      <c r="I122" s="746"/>
      <c r="J122" s="745"/>
      <c r="K122" s="747"/>
      <c r="L122" s="745"/>
      <c r="M122" s="747"/>
      <c r="N122" s="748"/>
      <c r="O122" s="747"/>
    </row>
    <row r="123" spans="1:15" x14ac:dyDescent="0.2">
      <c r="A123" s="740">
        <v>101</v>
      </c>
      <c r="B123" s="750" t="s">
        <v>256</v>
      </c>
      <c r="C123" s="744" t="s">
        <v>257</v>
      </c>
      <c r="D123" s="748"/>
      <c r="E123" s="751"/>
      <c r="F123" s="751"/>
      <c r="G123" s="746"/>
      <c r="H123" s="745"/>
      <c r="I123" s="746"/>
      <c r="J123" s="745"/>
      <c r="K123" s="747"/>
      <c r="L123" s="745"/>
      <c r="M123" s="747"/>
      <c r="N123" s="748"/>
      <c r="O123" s="747"/>
    </row>
    <row r="124" spans="1:15" x14ac:dyDescent="0.2">
      <c r="A124" s="740">
        <v>102</v>
      </c>
      <c r="B124" s="332" t="s">
        <v>258</v>
      </c>
      <c r="C124" s="744" t="s">
        <v>259</v>
      </c>
      <c r="D124" s="748"/>
      <c r="E124" s="751"/>
      <c r="F124" s="751"/>
      <c r="G124" s="746"/>
      <c r="H124" s="745"/>
      <c r="I124" s="746"/>
      <c r="J124" s="745"/>
      <c r="K124" s="747"/>
      <c r="L124" s="745"/>
      <c r="M124" s="747"/>
      <c r="N124" s="748"/>
      <c r="O124" s="747"/>
    </row>
    <row r="125" spans="1:15" x14ac:dyDescent="0.2">
      <c r="A125" s="740">
        <v>103</v>
      </c>
      <c r="B125" s="329" t="s">
        <v>543</v>
      </c>
      <c r="C125" s="323" t="s">
        <v>544</v>
      </c>
      <c r="D125" s="748"/>
      <c r="E125" s="751"/>
      <c r="F125" s="751"/>
      <c r="G125" s="746"/>
      <c r="H125" s="745"/>
      <c r="I125" s="746"/>
      <c r="J125" s="745"/>
      <c r="K125" s="747"/>
      <c r="L125" s="745"/>
      <c r="M125" s="747"/>
      <c r="N125" s="748"/>
      <c r="O125" s="747"/>
    </row>
    <row r="126" spans="1:15" x14ac:dyDescent="0.2">
      <c r="A126" s="740">
        <v>104</v>
      </c>
      <c r="B126" s="750" t="s">
        <v>260</v>
      </c>
      <c r="C126" s="744" t="s">
        <v>261</v>
      </c>
      <c r="D126" s="748"/>
      <c r="E126" s="751"/>
      <c r="F126" s="751"/>
      <c r="G126" s="746"/>
      <c r="H126" s="745"/>
      <c r="I126" s="746"/>
      <c r="J126" s="745"/>
      <c r="K126" s="747"/>
      <c r="L126" s="745"/>
      <c r="M126" s="747"/>
      <c r="N126" s="748"/>
      <c r="O126" s="747"/>
    </row>
    <row r="127" spans="1:15" x14ac:dyDescent="0.2">
      <c r="A127" s="740">
        <v>105</v>
      </c>
      <c r="B127" s="341" t="s">
        <v>262</v>
      </c>
      <c r="C127" s="744" t="s">
        <v>263</v>
      </c>
      <c r="D127" s="748"/>
      <c r="E127" s="751"/>
      <c r="F127" s="751"/>
      <c r="G127" s="746"/>
      <c r="H127" s="745"/>
      <c r="I127" s="746"/>
      <c r="J127" s="745"/>
      <c r="K127" s="747"/>
      <c r="L127" s="745"/>
      <c r="M127" s="747"/>
      <c r="N127" s="748"/>
      <c r="O127" s="747"/>
    </row>
    <row r="128" spans="1:15" ht="25.5" x14ac:dyDescent="0.2">
      <c r="A128" s="740">
        <v>106</v>
      </c>
      <c r="B128" s="341" t="s">
        <v>264</v>
      </c>
      <c r="C128" s="755" t="s">
        <v>265</v>
      </c>
      <c r="D128" s="748"/>
      <c r="E128" s="751"/>
      <c r="F128" s="751"/>
      <c r="G128" s="746"/>
      <c r="H128" s="745"/>
      <c r="I128" s="746"/>
      <c r="J128" s="745"/>
      <c r="K128" s="747"/>
      <c r="L128" s="745"/>
      <c r="M128" s="747"/>
      <c r="N128" s="748"/>
      <c r="O128" s="747"/>
    </row>
    <row r="129" spans="1:15" x14ac:dyDescent="0.2">
      <c r="A129" s="740">
        <v>107</v>
      </c>
      <c r="B129" s="341" t="s">
        <v>266</v>
      </c>
      <c r="C129" s="744" t="s">
        <v>267</v>
      </c>
      <c r="D129" s="748"/>
      <c r="E129" s="751"/>
      <c r="F129" s="751"/>
      <c r="G129" s="746"/>
      <c r="H129" s="745"/>
      <c r="I129" s="746"/>
      <c r="J129" s="745"/>
      <c r="K129" s="747"/>
      <c r="L129" s="745"/>
      <c r="M129" s="747"/>
      <c r="N129" s="748"/>
      <c r="O129" s="747"/>
    </row>
    <row r="130" spans="1:15" x14ac:dyDescent="0.2">
      <c r="A130" s="740">
        <v>108</v>
      </c>
      <c r="B130" s="341" t="s">
        <v>268</v>
      </c>
      <c r="C130" s="744" t="s">
        <v>269</v>
      </c>
      <c r="D130" s="748">
        <f t="shared" si="5"/>
        <v>13007</v>
      </c>
      <c r="E130" s="751">
        <f t="shared" si="6"/>
        <v>13007</v>
      </c>
      <c r="F130" s="751"/>
      <c r="G130" s="746"/>
      <c r="H130" s="745">
        <f>12230+593+184</f>
        <v>13007</v>
      </c>
      <c r="I130" s="746"/>
      <c r="J130" s="745"/>
      <c r="K130" s="747"/>
      <c r="L130" s="745"/>
      <c r="M130" s="747"/>
      <c r="N130" s="748"/>
      <c r="O130" s="747"/>
    </row>
    <row r="131" spans="1:15" x14ac:dyDescent="0.2">
      <c r="A131" s="740">
        <v>109</v>
      </c>
      <c r="B131" s="341" t="s">
        <v>270</v>
      </c>
      <c r="C131" s="744" t="s">
        <v>271</v>
      </c>
      <c r="D131" s="748"/>
      <c r="E131" s="751"/>
      <c r="F131" s="751"/>
      <c r="G131" s="746"/>
      <c r="H131" s="745"/>
      <c r="I131" s="746"/>
      <c r="J131" s="745"/>
      <c r="K131" s="747"/>
      <c r="L131" s="745"/>
      <c r="M131" s="747"/>
      <c r="N131" s="748"/>
      <c r="O131" s="747"/>
    </row>
    <row r="132" spans="1:15" x14ac:dyDescent="0.2">
      <c r="A132" s="740">
        <v>110</v>
      </c>
      <c r="B132" s="332" t="s">
        <v>272</v>
      </c>
      <c r="C132" s="744" t="s">
        <v>273</v>
      </c>
      <c r="D132" s="748"/>
      <c r="E132" s="751"/>
      <c r="F132" s="751"/>
      <c r="G132" s="746"/>
      <c r="H132" s="745"/>
      <c r="I132" s="746"/>
      <c r="J132" s="745"/>
      <c r="K132" s="747"/>
      <c r="L132" s="745"/>
      <c r="M132" s="747"/>
      <c r="N132" s="748"/>
      <c r="O132" s="747"/>
    </row>
    <row r="133" spans="1:15" x14ac:dyDescent="0.2">
      <c r="A133" s="740">
        <v>111</v>
      </c>
      <c r="B133" s="332" t="s">
        <v>274</v>
      </c>
      <c r="C133" s="744" t="s">
        <v>275</v>
      </c>
      <c r="D133" s="748"/>
      <c r="E133" s="751"/>
      <c r="F133" s="751"/>
      <c r="G133" s="746"/>
      <c r="H133" s="745"/>
      <c r="I133" s="746"/>
      <c r="J133" s="745"/>
      <c r="K133" s="747"/>
      <c r="L133" s="745"/>
      <c r="M133" s="747"/>
      <c r="N133" s="748"/>
      <c r="O133" s="747"/>
    </row>
    <row r="134" spans="1:15" x14ac:dyDescent="0.2">
      <c r="A134" s="740">
        <v>112</v>
      </c>
      <c r="B134" s="332" t="s">
        <v>276</v>
      </c>
      <c r="C134" s="744" t="s">
        <v>277</v>
      </c>
      <c r="D134" s="748"/>
      <c r="E134" s="751"/>
      <c r="F134" s="751"/>
      <c r="G134" s="746"/>
      <c r="H134" s="745"/>
      <c r="I134" s="746"/>
      <c r="J134" s="745"/>
      <c r="K134" s="747"/>
      <c r="L134" s="745"/>
      <c r="M134" s="747"/>
      <c r="N134" s="748"/>
      <c r="O134" s="747"/>
    </row>
    <row r="135" spans="1:15" x14ac:dyDescent="0.2">
      <c r="A135" s="740">
        <v>113</v>
      </c>
      <c r="B135" s="341" t="s">
        <v>278</v>
      </c>
      <c r="C135" s="744" t="s">
        <v>279</v>
      </c>
      <c r="D135" s="748"/>
      <c r="E135" s="751"/>
      <c r="F135" s="751"/>
      <c r="G135" s="746"/>
      <c r="H135" s="745"/>
      <c r="I135" s="746"/>
      <c r="J135" s="745"/>
      <c r="K135" s="747"/>
      <c r="L135" s="745"/>
      <c r="M135" s="747"/>
      <c r="N135" s="748"/>
      <c r="O135" s="747"/>
    </row>
    <row r="136" spans="1:15" x14ac:dyDescent="0.2">
      <c r="A136" s="740">
        <v>114</v>
      </c>
      <c r="B136" s="341" t="s">
        <v>280</v>
      </c>
      <c r="C136" s="744" t="s">
        <v>281</v>
      </c>
      <c r="D136" s="748"/>
      <c r="E136" s="751"/>
      <c r="F136" s="751"/>
      <c r="G136" s="746"/>
      <c r="H136" s="745"/>
      <c r="I136" s="746"/>
      <c r="J136" s="745"/>
      <c r="K136" s="747"/>
      <c r="L136" s="745"/>
      <c r="M136" s="747"/>
      <c r="N136" s="748"/>
      <c r="O136" s="747"/>
    </row>
    <row r="137" spans="1:15" x14ac:dyDescent="0.2">
      <c r="A137" s="740">
        <v>115</v>
      </c>
      <c r="B137" s="341" t="s">
        <v>282</v>
      </c>
      <c r="C137" s="744" t="s">
        <v>791</v>
      </c>
      <c r="D137" s="748"/>
      <c r="E137" s="751"/>
      <c r="F137" s="751"/>
      <c r="G137" s="746"/>
      <c r="H137" s="745"/>
      <c r="I137" s="746"/>
      <c r="J137" s="745"/>
      <c r="K137" s="747"/>
      <c r="L137" s="745"/>
      <c r="M137" s="747"/>
      <c r="N137" s="748"/>
      <c r="O137" s="747"/>
    </row>
    <row r="138" spans="1:15" x14ac:dyDescent="0.2">
      <c r="A138" s="740">
        <v>116</v>
      </c>
      <c r="B138" s="332" t="s">
        <v>283</v>
      </c>
      <c r="C138" s="744" t="s">
        <v>284</v>
      </c>
      <c r="D138" s="748">
        <f t="shared" si="5"/>
        <v>19815</v>
      </c>
      <c r="E138" s="751">
        <f t="shared" si="6"/>
        <v>19815</v>
      </c>
      <c r="F138" s="751">
        <v>100</v>
      </c>
      <c r="G138" s="746"/>
      <c r="H138" s="745">
        <v>2264</v>
      </c>
      <c r="I138" s="746"/>
      <c r="J138" s="745">
        <f>2206+1378</f>
        <v>3584</v>
      </c>
      <c r="K138" s="747"/>
      <c r="L138" s="745">
        <f>9807+1664</f>
        <v>11471</v>
      </c>
      <c r="M138" s="747"/>
      <c r="N138" s="748">
        <v>2496</v>
      </c>
      <c r="O138" s="747"/>
    </row>
    <row r="139" spans="1:15" x14ac:dyDescent="0.2">
      <c r="A139" s="740">
        <v>117</v>
      </c>
      <c r="B139" s="750" t="s">
        <v>285</v>
      </c>
      <c r="C139" s="744" t="s">
        <v>752</v>
      </c>
      <c r="D139" s="748">
        <f t="shared" si="5"/>
        <v>24024</v>
      </c>
      <c r="E139" s="751">
        <f t="shared" si="6"/>
        <v>24024</v>
      </c>
      <c r="F139" s="751">
        <v>258</v>
      </c>
      <c r="G139" s="746"/>
      <c r="H139" s="745">
        <v>3284</v>
      </c>
      <c r="I139" s="746"/>
      <c r="J139" s="745">
        <f>3454+534</f>
        <v>3988</v>
      </c>
      <c r="K139" s="747"/>
      <c r="L139" s="745">
        <f>13782+2338</f>
        <v>16120</v>
      </c>
      <c r="M139" s="747"/>
      <c r="N139" s="748">
        <v>632</v>
      </c>
      <c r="O139" s="747"/>
    </row>
    <row r="140" spans="1:15" x14ac:dyDescent="0.2">
      <c r="A140" s="740">
        <v>118</v>
      </c>
      <c r="B140" s="341" t="s">
        <v>286</v>
      </c>
      <c r="C140" s="744" t="s">
        <v>287</v>
      </c>
      <c r="D140" s="748"/>
      <c r="E140" s="751"/>
      <c r="F140" s="751"/>
      <c r="G140" s="746"/>
      <c r="H140" s="745"/>
      <c r="I140" s="746"/>
      <c r="J140" s="745"/>
      <c r="K140" s="747"/>
      <c r="L140" s="745"/>
      <c r="M140" s="747"/>
      <c r="N140" s="748"/>
      <c r="O140" s="747"/>
    </row>
    <row r="141" spans="1:15" x14ac:dyDescent="0.2">
      <c r="A141" s="740">
        <v>119</v>
      </c>
      <c r="B141" s="332" t="s">
        <v>288</v>
      </c>
      <c r="C141" s="744" t="s">
        <v>289</v>
      </c>
      <c r="D141" s="748"/>
      <c r="E141" s="751"/>
      <c r="F141" s="751"/>
      <c r="G141" s="746"/>
      <c r="H141" s="745"/>
      <c r="I141" s="746"/>
      <c r="J141" s="745"/>
      <c r="K141" s="747"/>
      <c r="L141" s="745"/>
      <c r="M141" s="747"/>
      <c r="N141" s="748"/>
      <c r="O141" s="747"/>
    </row>
    <row r="142" spans="1:15" x14ac:dyDescent="0.2">
      <c r="A142" s="740">
        <v>120</v>
      </c>
      <c r="B142" s="341" t="s">
        <v>290</v>
      </c>
      <c r="C142" s="744" t="s">
        <v>291</v>
      </c>
      <c r="D142" s="748"/>
      <c r="E142" s="751"/>
      <c r="F142" s="751"/>
      <c r="G142" s="746"/>
      <c r="H142" s="745"/>
      <c r="I142" s="746"/>
      <c r="J142" s="745"/>
      <c r="K142" s="747"/>
      <c r="L142" s="745"/>
      <c r="M142" s="747"/>
      <c r="N142" s="748"/>
      <c r="O142" s="747"/>
    </row>
    <row r="143" spans="1:15" x14ac:dyDescent="0.2">
      <c r="A143" s="740">
        <v>121</v>
      </c>
      <c r="B143" s="666" t="s">
        <v>292</v>
      </c>
      <c r="C143" s="756" t="s">
        <v>293</v>
      </c>
      <c r="D143" s="748"/>
      <c r="E143" s="751"/>
      <c r="F143" s="751"/>
      <c r="G143" s="746"/>
      <c r="H143" s="745"/>
      <c r="I143" s="746"/>
      <c r="J143" s="745"/>
      <c r="K143" s="747"/>
      <c r="L143" s="745"/>
      <c r="M143" s="747"/>
      <c r="N143" s="748"/>
      <c r="O143" s="747"/>
    </row>
    <row r="144" spans="1:15" x14ac:dyDescent="0.2">
      <c r="A144" s="740">
        <v>122</v>
      </c>
      <c r="B144" s="668" t="s">
        <v>294</v>
      </c>
      <c r="C144" s="756" t="s">
        <v>295</v>
      </c>
      <c r="D144" s="748"/>
      <c r="E144" s="751"/>
      <c r="F144" s="751"/>
      <c r="G144" s="746"/>
      <c r="H144" s="745"/>
      <c r="I144" s="746"/>
      <c r="J144" s="745"/>
      <c r="K144" s="747"/>
      <c r="L144" s="745"/>
      <c r="M144" s="747"/>
      <c r="N144" s="748"/>
      <c r="O144" s="747"/>
    </row>
    <row r="145" spans="1:15" x14ac:dyDescent="0.2">
      <c r="A145" s="740">
        <v>123</v>
      </c>
      <c r="B145" s="671" t="s">
        <v>296</v>
      </c>
      <c r="C145" s="798" t="s">
        <v>684</v>
      </c>
      <c r="D145" s="748"/>
      <c r="E145" s="751"/>
      <c r="F145" s="751"/>
      <c r="G145" s="746"/>
      <c r="H145" s="745"/>
      <c r="I145" s="746"/>
      <c r="J145" s="745"/>
      <c r="K145" s="747"/>
      <c r="L145" s="745"/>
      <c r="M145" s="747"/>
      <c r="N145" s="748"/>
      <c r="O145" s="747"/>
    </row>
    <row r="146" spans="1:15" x14ac:dyDescent="0.2">
      <c r="A146" s="740">
        <v>124</v>
      </c>
      <c r="B146" s="757" t="s">
        <v>298</v>
      </c>
      <c r="C146" s="758" t="s">
        <v>299</v>
      </c>
      <c r="D146" s="748"/>
      <c r="E146" s="751"/>
      <c r="F146" s="751"/>
      <c r="G146" s="746"/>
      <c r="H146" s="745"/>
      <c r="I146" s="746"/>
      <c r="J146" s="745"/>
      <c r="K146" s="747"/>
      <c r="L146" s="745"/>
      <c r="M146" s="747"/>
      <c r="N146" s="748"/>
      <c r="O146" s="747"/>
    </row>
    <row r="147" spans="1:15" x14ac:dyDescent="0.2">
      <c r="A147" s="740">
        <v>125</v>
      </c>
      <c r="B147" s="759" t="s">
        <v>300</v>
      </c>
      <c r="C147" s="760" t="s">
        <v>301</v>
      </c>
      <c r="D147" s="748"/>
      <c r="E147" s="751"/>
      <c r="F147" s="751"/>
      <c r="G147" s="746"/>
      <c r="H147" s="745"/>
      <c r="I147" s="746"/>
      <c r="J147" s="745"/>
      <c r="K147" s="747"/>
      <c r="L147" s="745"/>
      <c r="M147" s="747"/>
      <c r="N147" s="748"/>
      <c r="O147" s="747"/>
    </row>
    <row r="148" spans="1:15" x14ac:dyDescent="0.2">
      <c r="A148" s="740">
        <v>126</v>
      </c>
      <c r="B148" s="761" t="s">
        <v>302</v>
      </c>
      <c r="C148" s="762" t="s">
        <v>303</v>
      </c>
      <c r="D148" s="748"/>
      <c r="E148" s="751"/>
      <c r="F148" s="751"/>
      <c r="G148" s="746"/>
      <c r="H148" s="745"/>
      <c r="I148" s="746"/>
      <c r="J148" s="745"/>
      <c r="K148" s="747"/>
      <c r="L148" s="745"/>
      <c r="M148" s="747"/>
      <c r="N148" s="748"/>
      <c r="O148" s="747"/>
    </row>
    <row r="149" spans="1:15" ht="13.5" thickBot="1" x14ac:dyDescent="0.25">
      <c r="A149" s="763">
        <v>127</v>
      </c>
      <c r="B149" s="391" t="s">
        <v>304</v>
      </c>
      <c r="C149" s="764" t="s">
        <v>305</v>
      </c>
      <c r="D149" s="799"/>
      <c r="E149" s="800"/>
      <c r="F149" s="800"/>
      <c r="G149" s="801"/>
      <c r="H149" s="802"/>
      <c r="I149" s="801"/>
      <c r="J149" s="802"/>
      <c r="K149" s="803"/>
      <c r="L149" s="802"/>
      <c r="M149" s="803"/>
      <c r="N149" s="799"/>
      <c r="O149" s="803"/>
    </row>
    <row r="150" spans="1:15" x14ac:dyDescent="0.2">
      <c r="D150" s="765"/>
      <c r="E150" s="765"/>
      <c r="F150" s="765"/>
      <c r="G150" s="765"/>
      <c r="H150" s="765"/>
      <c r="I150" s="765"/>
      <c r="J150" s="765"/>
      <c r="K150" s="765"/>
      <c r="L150" s="765"/>
      <c r="M150" s="765"/>
      <c r="N150" s="765"/>
      <c r="O150" s="765"/>
    </row>
    <row r="151" spans="1:15" x14ac:dyDescent="0.2">
      <c r="D151" s="765"/>
      <c r="E151" s="765"/>
      <c r="F151" s="765"/>
      <c r="G151" s="765"/>
      <c r="H151" s="765"/>
      <c r="I151" s="765"/>
      <c r="J151" s="765"/>
      <c r="K151" s="765"/>
      <c r="L151" s="765"/>
      <c r="M151" s="765"/>
      <c r="N151" s="765"/>
      <c r="O151" s="765"/>
    </row>
    <row r="152" spans="1:15" x14ac:dyDescent="0.2">
      <c r="D152" s="765"/>
      <c r="E152" s="765"/>
      <c r="F152" s="765"/>
      <c r="G152" s="765"/>
      <c r="H152" s="765"/>
      <c r="I152" s="765"/>
      <c r="J152" s="765"/>
      <c r="K152" s="765"/>
      <c r="L152" s="765"/>
      <c r="M152" s="765"/>
      <c r="N152" s="765"/>
      <c r="O152" s="765"/>
    </row>
    <row r="153" spans="1:15" x14ac:dyDescent="0.2">
      <c r="D153" s="765"/>
      <c r="E153" s="765"/>
      <c r="F153" s="765"/>
      <c r="G153" s="765"/>
      <c r="H153" s="765"/>
      <c r="I153" s="765"/>
      <c r="J153" s="765"/>
      <c r="K153" s="765"/>
      <c r="L153" s="765"/>
      <c r="M153" s="765"/>
      <c r="N153" s="765"/>
      <c r="O153" s="765"/>
    </row>
    <row r="155" spans="1:15" x14ac:dyDescent="0.2">
      <c r="D155" s="765"/>
      <c r="E155" s="765"/>
      <c r="F155" s="765"/>
      <c r="G155" s="765"/>
      <c r="H155" s="765"/>
      <c r="I155" s="765"/>
      <c r="J155" s="765"/>
      <c r="K155" s="765"/>
      <c r="L155" s="765"/>
      <c r="M155" s="765"/>
      <c r="N155" s="765"/>
      <c r="O155" s="765"/>
    </row>
  </sheetData>
  <mergeCells count="33">
    <mergeCell ref="A1:O1"/>
    <mergeCell ref="A3:A7"/>
    <mergeCell ref="B3:B7"/>
    <mergeCell ref="C3:C7"/>
    <mergeCell ref="D3:O3"/>
    <mergeCell ref="D4:D7"/>
    <mergeCell ref="E4:G4"/>
    <mergeCell ref="H4:O4"/>
    <mergeCell ref="E5:E7"/>
    <mergeCell ref="G5:G7"/>
    <mergeCell ref="H5:I5"/>
    <mergeCell ref="J5:K5"/>
    <mergeCell ref="L5:M5"/>
    <mergeCell ref="M6:M7"/>
    <mergeCell ref="N6:N7"/>
    <mergeCell ref="O6:O7"/>
    <mergeCell ref="A92:A95"/>
    <mergeCell ref="B92:B95"/>
    <mergeCell ref="A11:C11"/>
    <mergeCell ref="A9:C9"/>
    <mergeCell ref="A10:C10"/>
    <mergeCell ref="A36:A37"/>
    <mergeCell ref="A74:A76"/>
    <mergeCell ref="A77:A80"/>
    <mergeCell ref="A87:A88"/>
    <mergeCell ref="A84:A85"/>
    <mergeCell ref="N5:O5"/>
    <mergeCell ref="F6:F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48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L24" sqref="L24"/>
    </sheetView>
  </sheetViews>
  <sheetFormatPr defaultColWidth="9.140625" defaultRowHeight="12.75" x14ac:dyDescent="0.2"/>
  <cols>
    <col min="1" max="1" width="6.140625" style="313" customWidth="1"/>
    <col min="2" max="2" width="10.42578125" style="313" customWidth="1"/>
    <col min="3" max="3" width="50.7109375" style="313" customWidth="1"/>
    <col min="4" max="4" width="12.28515625" style="313" customWidth="1"/>
    <col min="5" max="5" width="11.28515625" style="313" customWidth="1"/>
    <col min="6" max="6" width="12.5703125" style="313" customWidth="1"/>
    <col min="7" max="7" width="16.28515625" style="313" customWidth="1"/>
    <col min="8" max="8" width="12.140625" style="313" customWidth="1"/>
    <col min="9" max="9" width="17.42578125" style="313" customWidth="1"/>
    <col min="10" max="10" width="9.140625" style="313"/>
    <col min="11" max="13" width="9.140625" style="314"/>
    <col min="14" max="16384" width="9.140625" style="313"/>
  </cols>
  <sheetData>
    <row r="1" spans="1:13" ht="25.5" customHeight="1" x14ac:dyDescent="0.2">
      <c r="A1" s="1127" t="s">
        <v>737</v>
      </c>
      <c r="B1" s="1127"/>
      <c r="C1" s="1127"/>
      <c r="D1" s="1127"/>
      <c r="E1" s="1127"/>
      <c r="F1" s="1127"/>
      <c r="G1" s="1127"/>
      <c r="H1" s="1127"/>
      <c r="I1" s="1128"/>
    </row>
    <row r="2" spans="1:13" s="315" customFormat="1" ht="14.25" customHeight="1" x14ac:dyDescent="0.2">
      <c r="A2" s="1129" t="s">
        <v>0</v>
      </c>
      <c r="B2" s="1129" t="s">
        <v>326</v>
      </c>
      <c r="C2" s="1129" t="s">
        <v>309</v>
      </c>
      <c r="D2" s="1129" t="s">
        <v>731</v>
      </c>
      <c r="E2" s="1129"/>
      <c r="F2" s="1129"/>
      <c r="G2" s="1129"/>
      <c r="H2" s="1129"/>
      <c r="I2" s="1129"/>
      <c r="K2" s="316"/>
      <c r="L2" s="316"/>
      <c r="M2" s="316"/>
    </row>
    <row r="3" spans="1:13" s="315" customFormat="1" ht="11.25" customHeight="1" x14ac:dyDescent="0.2">
      <c r="A3" s="1129"/>
      <c r="B3" s="1129"/>
      <c r="C3" s="1129"/>
      <c r="D3" s="1129" t="s">
        <v>732</v>
      </c>
      <c r="E3" s="1129"/>
      <c r="F3" s="1129"/>
      <c r="G3" s="1129"/>
      <c r="H3" s="1129"/>
      <c r="I3" s="1129"/>
      <c r="K3" s="316"/>
      <c r="L3" s="316"/>
      <c r="M3" s="316"/>
    </row>
    <row r="4" spans="1:13" s="315" customFormat="1" ht="12.75" customHeight="1" x14ac:dyDescent="0.2">
      <c r="A4" s="1129"/>
      <c r="B4" s="1129"/>
      <c r="C4" s="1129"/>
      <c r="D4" s="1129" t="s">
        <v>44</v>
      </c>
      <c r="E4" s="1129"/>
      <c r="F4" s="1130" t="s">
        <v>448</v>
      </c>
      <c r="G4" s="1130"/>
      <c r="H4" s="1130"/>
      <c r="I4" s="1130"/>
      <c r="K4" s="316"/>
      <c r="L4" s="316"/>
      <c r="M4" s="316"/>
    </row>
    <row r="5" spans="1:13" s="315" customFormat="1" ht="12.75" customHeight="1" x14ac:dyDescent="0.2">
      <c r="A5" s="1129"/>
      <c r="B5" s="1129"/>
      <c r="C5" s="1129"/>
      <c r="D5" s="1129"/>
      <c r="E5" s="1129"/>
      <c r="F5" s="1130" t="s">
        <v>673</v>
      </c>
      <c r="G5" s="1130"/>
      <c r="H5" s="1130" t="s">
        <v>674</v>
      </c>
      <c r="I5" s="1130"/>
      <c r="K5" s="316"/>
      <c r="L5" s="316"/>
      <c r="M5" s="316"/>
    </row>
    <row r="6" spans="1:13" s="315" customFormat="1" ht="26.25" customHeight="1" x14ac:dyDescent="0.2">
      <c r="A6" s="1129"/>
      <c r="B6" s="1129"/>
      <c r="C6" s="1129"/>
      <c r="D6" s="541" t="s">
        <v>733</v>
      </c>
      <c r="E6" s="542" t="s">
        <v>734</v>
      </c>
      <c r="F6" s="541" t="s">
        <v>733</v>
      </c>
      <c r="G6" s="541" t="s">
        <v>735</v>
      </c>
      <c r="H6" s="541" t="s">
        <v>733</v>
      </c>
      <c r="I6" s="541" t="s">
        <v>736</v>
      </c>
      <c r="K6" s="316"/>
      <c r="L6" s="316"/>
      <c r="M6" s="316"/>
    </row>
    <row r="7" spans="1:13" s="315" customFormat="1" ht="13.5" customHeight="1" x14ac:dyDescent="0.2">
      <c r="A7" s="542">
        <v>1</v>
      </c>
      <c r="B7" s="542">
        <v>2</v>
      </c>
      <c r="C7" s="542">
        <v>3</v>
      </c>
      <c r="D7" s="542">
        <v>4</v>
      </c>
      <c r="E7" s="542">
        <v>5</v>
      </c>
      <c r="F7" s="542">
        <v>6</v>
      </c>
      <c r="G7" s="542">
        <v>7</v>
      </c>
      <c r="H7" s="542">
        <v>8</v>
      </c>
      <c r="I7" s="542">
        <v>9</v>
      </c>
      <c r="K7" s="316"/>
      <c r="L7" s="316"/>
      <c r="M7" s="316"/>
    </row>
    <row r="8" spans="1:13" x14ac:dyDescent="0.2">
      <c r="A8" s="1131" t="s">
        <v>44</v>
      </c>
      <c r="B8" s="1131"/>
      <c r="C8" s="1131"/>
      <c r="D8" s="321">
        <f>SUM(D9:D146)-D89</f>
        <v>69267</v>
      </c>
      <c r="E8" s="321">
        <f>SUM(E9:E146)-E89</f>
        <v>282581</v>
      </c>
      <c r="F8" s="321">
        <f t="shared" ref="F8:I8" si="0">SUM(F9:F146)-F89</f>
        <v>3721</v>
      </c>
      <c r="G8" s="321">
        <f t="shared" si="0"/>
        <v>44652</v>
      </c>
      <c r="H8" s="321">
        <f t="shared" si="0"/>
        <v>65546</v>
      </c>
      <c r="I8" s="321">
        <f t="shared" si="0"/>
        <v>237929</v>
      </c>
    </row>
    <row r="9" spans="1:13" x14ac:dyDescent="0.2">
      <c r="A9" s="544">
        <v>1</v>
      </c>
      <c r="B9" s="317" t="s">
        <v>54</v>
      </c>
      <c r="C9" s="122" t="s">
        <v>55</v>
      </c>
      <c r="D9" s="318">
        <f>F9+H9</f>
        <v>440</v>
      </c>
      <c r="E9" s="318">
        <f>G9+I9</f>
        <v>1765</v>
      </c>
      <c r="F9" s="318">
        <v>20</v>
      </c>
      <c r="G9" s="318">
        <f>F9*12</f>
        <v>240</v>
      </c>
      <c r="H9" s="318">
        <v>420</v>
      </c>
      <c r="I9" s="318">
        <f>ROUND(H9*3.6299,0)</f>
        <v>1525</v>
      </c>
      <c r="J9" s="314"/>
    </row>
    <row r="10" spans="1:13" x14ac:dyDescent="0.2">
      <c r="A10" s="544">
        <v>2</v>
      </c>
      <c r="B10" s="319" t="s">
        <v>56</v>
      </c>
      <c r="C10" s="122" t="s">
        <v>57</v>
      </c>
      <c r="D10" s="318">
        <f t="shared" ref="D10:E72" si="1">F10+H10</f>
        <v>428</v>
      </c>
      <c r="E10" s="318">
        <f t="shared" si="1"/>
        <v>1696</v>
      </c>
      <c r="F10" s="318">
        <v>17</v>
      </c>
      <c r="G10" s="318">
        <f>F10*12</f>
        <v>204</v>
      </c>
      <c r="H10" s="318">
        <v>411</v>
      </c>
      <c r="I10" s="318">
        <f t="shared" ref="I10:I30" si="2">ROUND(H10*3.6299,0)</f>
        <v>1492</v>
      </c>
      <c r="J10" s="314"/>
    </row>
    <row r="11" spans="1:13" x14ac:dyDescent="0.2">
      <c r="A11" s="544">
        <v>3</v>
      </c>
      <c r="B11" s="545" t="s">
        <v>16</v>
      </c>
      <c r="C11" s="122" t="s">
        <v>17</v>
      </c>
      <c r="D11" s="318">
        <f t="shared" si="1"/>
        <v>1159</v>
      </c>
      <c r="E11" s="318">
        <f t="shared" si="1"/>
        <v>4634</v>
      </c>
      <c r="F11" s="318">
        <v>51</v>
      </c>
      <c r="G11" s="318">
        <f t="shared" ref="G11:G72" si="3">F11*12</f>
        <v>612</v>
      </c>
      <c r="H11" s="318">
        <v>1108</v>
      </c>
      <c r="I11" s="318">
        <f t="shared" si="2"/>
        <v>4022</v>
      </c>
      <c r="J11" s="314"/>
    </row>
    <row r="12" spans="1:13" x14ac:dyDescent="0.2">
      <c r="A12" s="544">
        <v>4</v>
      </c>
      <c r="B12" s="317" t="s">
        <v>58</v>
      </c>
      <c r="C12" s="122" t="s">
        <v>59</v>
      </c>
      <c r="D12" s="318">
        <f t="shared" si="1"/>
        <v>508</v>
      </c>
      <c r="E12" s="318">
        <f t="shared" si="1"/>
        <v>2045</v>
      </c>
      <c r="F12" s="318">
        <v>24</v>
      </c>
      <c r="G12" s="318">
        <f t="shared" si="3"/>
        <v>288</v>
      </c>
      <c r="H12" s="318">
        <v>484</v>
      </c>
      <c r="I12" s="318">
        <f t="shared" si="2"/>
        <v>1757</v>
      </c>
      <c r="J12" s="314"/>
    </row>
    <row r="13" spans="1:13" x14ac:dyDescent="0.2">
      <c r="A13" s="544">
        <v>5</v>
      </c>
      <c r="B13" s="317" t="s">
        <v>60</v>
      </c>
      <c r="C13" s="122" t="s">
        <v>61</v>
      </c>
      <c r="D13" s="318">
        <f t="shared" si="1"/>
        <v>474</v>
      </c>
      <c r="E13" s="318">
        <f t="shared" si="1"/>
        <v>1871</v>
      </c>
      <c r="F13" s="318">
        <v>18</v>
      </c>
      <c r="G13" s="318">
        <f t="shared" si="3"/>
        <v>216</v>
      </c>
      <c r="H13" s="318">
        <v>456</v>
      </c>
      <c r="I13" s="318">
        <f t="shared" si="2"/>
        <v>1655</v>
      </c>
      <c r="J13" s="314"/>
    </row>
    <row r="14" spans="1:13" x14ac:dyDescent="0.2">
      <c r="A14" s="544">
        <v>6</v>
      </c>
      <c r="B14" s="545" t="s">
        <v>18</v>
      </c>
      <c r="C14" s="122" t="s">
        <v>19</v>
      </c>
      <c r="D14" s="318">
        <f t="shared" si="1"/>
        <v>2135</v>
      </c>
      <c r="E14" s="318">
        <f t="shared" si="1"/>
        <v>8938</v>
      </c>
      <c r="F14" s="318">
        <v>142</v>
      </c>
      <c r="G14" s="318">
        <f t="shared" si="3"/>
        <v>1704</v>
      </c>
      <c r="H14" s="318">
        <v>1993</v>
      </c>
      <c r="I14" s="318">
        <f t="shared" si="2"/>
        <v>7234</v>
      </c>
      <c r="J14" s="314"/>
    </row>
    <row r="15" spans="1:13" x14ac:dyDescent="0.2">
      <c r="A15" s="544">
        <v>7</v>
      </c>
      <c r="B15" s="317" t="s">
        <v>62</v>
      </c>
      <c r="C15" s="122" t="s">
        <v>63</v>
      </c>
      <c r="D15" s="318">
        <f t="shared" si="1"/>
        <v>1015</v>
      </c>
      <c r="E15" s="318">
        <f t="shared" si="1"/>
        <v>4145</v>
      </c>
      <c r="F15" s="318">
        <v>55</v>
      </c>
      <c r="G15" s="318">
        <f t="shared" si="3"/>
        <v>660</v>
      </c>
      <c r="H15" s="318">
        <v>960</v>
      </c>
      <c r="I15" s="318">
        <f t="shared" si="2"/>
        <v>3485</v>
      </c>
      <c r="J15" s="314"/>
    </row>
    <row r="16" spans="1:13" x14ac:dyDescent="0.2">
      <c r="A16" s="544">
        <v>8</v>
      </c>
      <c r="B16" s="545" t="s">
        <v>64</v>
      </c>
      <c r="C16" s="122" t="s">
        <v>65</v>
      </c>
      <c r="D16" s="318">
        <f t="shared" si="1"/>
        <v>415</v>
      </c>
      <c r="E16" s="318">
        <f t="shared" si="1"/>
        <v>1699</v>
      </c>
      <c r="F16" s="318">
        <v>23</v>
      </c>
      <c r="G16" s="318">
        <f t="shared" si="3"/>
        <v>276</v>
      </c>
      <c r="H16" s="318">
        <v>392</v>
      </c>
      <c r="I16" s="318">
        <f t="shared" si="2"/>
        <v>1423</v>
      </c>
      <c r="J16" s="314"/>
    </row>
    <row r="17" spans="1:10" x14ac:dyDescent="0.2">
      <c r="A17" s="544">
        <v>9</v>
      </c>
      <c r="B17" s="545" t="s">
        <v>66</v>
      </c>
      <c r="C17" s="122" t="s">
        <v>67</v>
      </c>
      <c r="D17" s="318">
        <f t="shared" si="1"/>
        <v>543</v>
      </c>
      <c r="E17" s="318">
        <f t="shared" si="1"/>
        <v>2155</v>
      </c>
      <c r="F17" s="318">
        <v>22</v>
      </c>
      <c r="G17" s="318">
        <f t="shared" si="3"/>
        <v>264</v>
      </c>
      <c r="H17" s="318">
        <v>521</v>
      </c>
      <c r="I17" s="318">
        <f t="shared" si="2"/>
        <v>1891</v>
      </c>
      <c r="J17" s="314"/>
    </row>
    <row r="18" spans="1:10" s="314" customFormat="1" x14ac:dyDescent="0.2">
      <c r="A18" s="544">
        <v>10</v>
      </c>
      <c r="B18" s="545" t="s">
        <v>68</v>
      </c>
      <c r="C18" s="122" t="s">
        <v>69</v>
      </c>
      <c r="D18" s="318">
        <f t="shared" si="1"/>
        <v>634</v>
      </c>
      <c r="E18" s="318">
        <f t="shared" si="1"/>
        <v>2544</v>
      </c>
      <c r="F18" s="318">
        <v>29</v>
      </c>
      <c r="G18" s="318">
        <f t="shared" si="3"/>
        <v>348</v>
      </c>
      <c r="H18" s="318">
        <v>605</v>
      </c>
      <c r="I18" s="318">
        <f t="shared" si="2"/>
        <v>2196</v>
      </c>
    </row>
    <row r="19" spans="1:10" s="314" customFormat="1" x14ac:dyDescent="0.2">
      <c r="A19" s="544">
        <v>11</v>
      </c>
      <c r="B19" s="545" t="s">
        <v>70</v>
      </c>
      <c r="C19" s="122" t="s">
        <v>71</v>
      </c>
      <c r="D19" s="318">
        <f t="shared" si="1"/>
        <v>518</v>
      </c>
      <c r="E19" s="318">
        <f t="shared" si="1"/>
        <v>2006</v>
      </c>
      <c r="F19" s="318">
        <v>15</v>
      </c>
      <c r="G19" s="318">
        <f t="shared" si="3"/>
        <v>180</v>
      </c>
      <c r="H19" s="318">
        <v>503</v>
      </c>
      <c r="I19" s="318">
        <f t="shared" si="2"/>
        <v>1826</v>
      </c>
    </row>
    <row r="20" spans="1:10" s="314" customFormat="1" x14ac:dyDescent="0.2">
      <c r="A20" s="544">
        <v>12</v>
      </c>
      <c r="B20" s="545" t="s">
        <v>72</v>
      </c>
      <c r="C20" s="122" t="s">
        <v>73</v>
      </c>
      <c r="D20" s="318">
        <f t="shared" si="1"/>
        <v>916</v>
      </c>
      <c r="E20" s="318">
        <f t="shared" si="1"/>
        <v>3601</v>
      </c>
      <c r="F20" s="318">
        <v>33</v>
      </c>
      <c r="G20" s="318">
        <f t="shared" si="3"/>
        <v>396</v>
      </c>
      <c r="H20" s="318">
        <v>883</v>
      </c>
      <c r="I20" s="318">
        <f t="shared" si="2"/>
        <v>3205</v>
      </c>
    </row>
    <row r="21" spans="1:10" s="314" customFormat="1" x14ac:dyDescent="0.2">
      <c r="A21" s="544">
        <v>13</v>
      </c>
      <c r="B21" s="545" t="s">
        <v>74</v>
      </c>
      <c r="C21" s="122" t="s">
        <v>75</v>
      </c>
      <c r="D21" s="318"/>
      <c r="E21" s="318"/>
      <c r="F21" s="318"/>
      <c r="G21" s="318"/>
      <c r="H21" s="318"/>
      <c r="I21" s="318"/>
    </row>
    <row r="22" spans="1:10" s="314" customFormat="1" x14ac:dyDescent="0.2">
      <c r="A22" s="544">
        <v>14</v>
      </c>
      <c r="B22" s="545" t="s">
        <v>76</v>
      </c>
      <c r="C22" s="122" t="s">
        <v>77</v>
      </c>
      <c r="D22" s="318">
        <f t="shared" si="1"/>
        <v>558</v>
      </c>
      <c r="E22" s="318">
        <f t="shared" si="1"/>
        <v>2201</v>
      </c>
      <c r="F22" s="318">
        <v>21</v>
      </c>
      <c r="G22" s="318">
        <f t="shared" si="3"/>
        <v>252</v>
      </c>
      <c r="H22" s="318">
        <v>537</v>
      </c>
      <c r="I22" s="318">
        <f t="shared" si="2"/>
        <v>1949</v>
      </c>
    </row>
    <row r="23" spans="1:10" s="314" customFormat="1" x14ac:dyDescent="0.2">
      <c r="A23" s="544">
        <v>15</v>
      </c>
      <c r="B23" s="545" t="s">
        <v>78</v>
      </c>
      <c r="C23" s="122" t="s">
        <v>79</v>
      </c>
      <c r="D23" s="318">
        <f t="shared" si="1"/>
        <v>631</v>
      </c>
      <c r="E23" s="318">
        <f t="shared" si="1"/>
        <v>2508</v>
      </c>
      <c r="F23" s="318">
        <v>26</v>
      </c>
      <c r="G23" s="318">
        <f t="shared" si="3"/>
        <v>312</v>
      </c>
      <c r="H23" s="318">
        <v>605</v>
      </c>
      <c r="I23" s="318">
        <f t="shared" si="2"/>
        <v>2196</v>
      </c>
    </row>
    <row r="24" spans="1:10" s="314" customFormat="1" x14ac:dyDescent="0.2">
      <c r="A24" s="544">
        <v>16</v>
      </c>
      <c r="B24" s="545" t="s">
        <v>80</v>
      </c>
      <c r="C24" s="122" t="s">
        <v>81</v>
      </c>
      <c r="D24" s="318">
        <f t="shared" si="1"/>
        <v>768</v>
      </c>
      <c r="E24" s="318">
        <f t="shared" si="1"/>
        <v>3064</v>
      </c>
      <c r="F24" s="318">
        <v>33</v>
      </c>
      <c r="G24" s="318">
        <f t="shared" si="3"/>
        <v>396</v>
      </c>
      <c r="H24" s="318">
        <v>735</v>
      </c>
      <c r="I24" s="318">
        <f t="shared" si="2"/>
        <v>2668</v>
      </c>
    </row>
    <row r="25" spans="1:10" s="314" customFormat="1" x14ac:dyDescent="0.2">
      <c r="A25" s="544">
        <v>17</v>
      </c>
      <c r="B25" s="545" t="s">
        <v>20</v>
      </c>
      <c r="C25" s="122" t="s">
        <v>21</v>
      </c>
      <c r="D25" s="318">
        <f t="shared" si="1"/>
        <v>1602</v>
      </c>
      <c r="E25" s="318">
        <f t="shared" si="1"/>
        <v>6342</v>
      </c>
      <c r="F25" s="318">
        <v>63</v>
      </c>
      <c r="G25" s="318">
        <f t="shared" si="3"/>
        <v>756</v>
      </c>
      <c r="H25" s="318">
        <v>1539</v>
      </c>
      <c r="I25" s="318">
        <f t="shared" si="2"/>
        <v>5586</v>
      </c>
    </row>
    <row r="26" spans="1:10" s="314" customFormat="1" x14ac:dyDescent="0.2">
      <c r="A26" s="544">
        <v>18</v>
      </c>
      <c r="B26" s="317" t="s">
        <v>82</v>
      </c>
      <c r="C26" s="122" t="s">
        <v>83</v>
      </c>
      <c r="D26" s="318">
        <f t="shared" si="1"/>
        <v>295</v>
      </c>
      <c r="E26" s="318">
        <f t="shared" si="1"/>
        <v>1138</v>
      </c>
      <c r="F26" s="318">
        <v>8</v>
      </c>
      <c r="G26" s="318">
        <f t="shared" si="3"/>
        <v>96</v>
      </c>
      <c r="H26" s="318">
        <v>287</v>
      </c>
      <c r="I26" s="318">
        <f t="shared" si="2"/>
        <v>1042</v>
      </c>
    </row>
    <row r="27" spans="1:10" s="314" customFormat="1" x14ac:dyDescent="0.2">
      <c r="A27" s="544">
        <v>19</v>
      </c>
      <c r="B27" s="317" t="s">
        <v>84</v>
      </c>
      <c r="C27" s="122" t="s">
        <v>85</v>
      </c>
      <c r="D27" s="318">
        <f t="shared" si="1"/>
        <v>255</v>
      </c>
      <c r="E27" s="318">
        <f t="shared" si="1"/>
        <v>1026</v>
      </c>
      <c r="F27" s="318">
        <v>12</v>
      </c>
      <c r="G27" s="318">
        <f t="shared" si="3"/>
        <v>144</v>
      </c>
      <c r="H27" s="318">
        <v>243</v>
      </c>
      <c r="I27" s="318">
        <f t="shared" si="2"/>
        <v>882</v>
      </c>
    </row>
    <row r="28" spans="1:10" s="314" customFormat="1" x14ac:dyDescent="0.2">
      <c r="A28" s="544">
        <v>20</v>
      </c>
      <c r="B28" s="317" t="s">
        <v>86</v>
      </c>
      <c r="C28" s="122" t="s">
        <v>87</v>
      </c>
      <c r="D28" s="318">
        <f t="shared" si="1"/>
        <v>1197</v>
      </c>
      <c r="E28" s="318">
        <f t="shared" si="1"/>
        <v>4889</v>
      </c>
      <c r="F28" s="318">
        <v>65</v>
      </c>
      <c r="G28" s="318">
        <f t="shared" si="3"/>
        <v>780</v>
      </c>
      <c r="H28" s="318">
        <v>1132</v>
      </c>
      <c r="I28" s="318">
        <f t="shared" si="2"/>
        <v>4109</v>
      </c>
    </row>
    <row r="29" spans="1:10" s="314" customFormat="1" x14ac:dyDescent="0.2">
      <c r="A29" s="544">
        <v>21</v>
      </c>
      <c r="B29" s="317" t="s">
        <v>22</v>
      </c>
      <c r="C29" s="122" t="s">
        <v>23</v>
      </c>
      <c r="D29" s="318">
        <f t="shared" si="1"/>
        <v>736</v>
      </c>
      <c r="E29" s="318">
        <f t="shared" si="1"/>
        <v>3082</v>
      </c>
      <c r="F29" s="318">
        <v>49</v>
      </c>
      <c r="G29" s="318">
        <f t="shared" si="3"/>
        <v>588</v>
      </c>
      <c r="H29" s="318">
        <v>687</v>
      </c>
      <c r="I29" s="318">
        <f t="shared" si="2"/>
        <v>2494</v>
      </c>
    </row>
    <row r="30" spans="1:10" s="314" customFormat="1" x14ac:dyDescent="0.2">
      <c r="A30" s="544">
        <v>22</v>
      </c>
      <c r="B30" s="545" t="s">
        <v>24</v>
      </c>
      <c r="C30" s="122" t="s">
        <v>25</v>
      </c>
      <c r="D30" s="318">
        <f t="shared" si="1"/>
        <v>182</v>
      </c>
      <c r="E30" s="318">
        <f t="shared" si="1"/>
        <v>803</v>
      </c>
      <c r="F30" s="318">
        <v>17</v>
      </c>
      <c r="G30" s="318">
        <f t="shared" si="3"/>
        <v>204</v>
      </c>
      <c r="H30" s="318">
        <v>165</v>
      </c>
      <c r="I30" s="318">
        <f t="shared" si="2"/>
        <v>599</v>
      </c>
    </row>
    <row r="31" spans="1:10" s="314" customFormat="1" x14ac:dyDescent="0.2">
      <c r="A31" s="544">
        <v>23</v>
      </c>
      <c r="B31" s="545" t="s">
        <v>88</v>
      </c>
      <c r="C31" s="122" t="s">
        <v>89</v>
      </c>
      <c r="D31" s="318"/>
      <c r="E31" s="318"/>
      <c r="F31" s="318"/>
      <c r="G31" s="318"/>
      <c r="H31" s="318"/>
      <c r="I31" s="318"/>
    </row>
    <row r="32" spans="1:10" s="314" customFormat="1" x14ac:dyDescent="0.2">
      <c r="A32" s="544">
        <v>24</v>
      </c>
      <c r="B32" s="545" t="s">
        <v>90</v>
      </c>
      <c r="C32" s="122" t="s">
        <v>91</v>
      </c>
      <c r="D32" s="318"/>
      <c r="E32" s="318"/>
      <c r="F32" s="318"/>
      <c r="G32" s="318"/>
      <c r="H32" s="318"/>
      <c r="I32" s="318"/>
    </row>
    <row r="33" spans="1:9" s="314" customFormat="1" x14ac:dyDescent="0.2">
      <c r="A33" s="544">
        <v>25</v>
      </c>
      <c r="B33" s="317" t="s">
        <v>92</v>
      </c>
      <c r="C33" s="122" t="s">
        <v>93</v>
      </c>
      <c r="D33" s="318">
        <f t="shared" si="1"/>
        <v>5240</v>
      </c>
      <c r="E33" s="318">
        <f t="shared" si="1"/>
        <v>21431</v>
      </c>
      <c r="F33" s="318">
        <v>288</v>
      </c>
      <c r="G33" s="318">
        <f t="shared" si="3"/>
        <v>3456</v>
      </c>
      <c r="H33" s="318">
        <v>4952</v>
      </c>
      <c r="I33" s="318">
        <f t="shared" ref="I33" si="4">ROUND(H33*3.6299,0)</f>
        <v>17975</v>
      </c>
    </row>
    <row r="34" spans="1:9" s="314" customFormat="1" x14ac:dyDescent="0.2">
      <c r="A34" s="544">
        <v>26</v>
      </c>
      <c r="B34" s="545" t="s">
        <v>94</v>
      </c>
      <c r="C34" s="122" t="s">
        <v>95</v>
      </c>
      <c r="D34" s="318"/>
      <c r="E34" s="318"/>
      <c r="F34" s="318"/>
      <c r="G34" s="318"/>
      <c r="H34" s="318"/>
      <c r="I34" s="318"/>
    </row>
    <row r="35" spans="1:9" s="314" customFormat="1" x14ac:dyDescent="0.2">
      <c r="A35" s="544">
        <v>27</v>
      </c>
      <c r="B35" s="319" t="s">
        <v>96</v>
      </c>
      <c r="C35" s="122" t="s">
        <v>97</v>
      </c>
      <c r="D35" s="318"/>
      <c r="E35" s="318"/>
      <c r="F35" s="318"/>
      <c r="G35" s="318"/>
      <c r="H35" s="318"/>
      <c r="I35" s="318"/>
    </row>
    <row r="36" spans="1:9" s="314" customFormat="1" x14ac:dyDescent="0.2">
      <c r="A36" s="544">
        <v>28</v>
      </c>
      <c r="B36" s="319" t="s">
        <v>26</v>
      </c>
      <c r="C36" s="122" t="s">
        <v>27</v>
      </c>
      <c r="D36" s="318">
        <f t="shared" si="1"/>
        <v>1119</v>
      </c>
      <c r="E36" s="318">
        <f t="shared" si="1"/>
        <v>4631</v>
      </c>
      <c r="F36" s="318">
        <v>68</v>
      </c>
      <c r="G36" s="318">
        <f t="shared" si="3"/>
        <v>816</v>
      </c>
      <c r="H36" s="318">
        <v>1051</v>
      </c>
      <c r="I36" s="318">
        <f t="shared" ref="I36:I60" si="5">ROUND(H36*3.6299,0)</f>
        <v>3815</v>
      </c>
    </row>
    <row r="37" spans="1:9" s="314" customFormat="1" x14ac:dyDescent="0.2">
      <c r="A37" s="544">
        <v>29</v>
      </c>
      <c r="B37" s="317" t="s">
        <v>98</v>
      </c>
      <c r="C37" s="122" t="s">
        <v>99</v>
      </c>
      <c r="D37" s="318">
        <f t="shared" si="1"/>
        <v>1945</v>
      </c>
      <c r="E37" s="318">
        <f t="shared" si="1"/>
        <v>8090</v>
      </c>
      <c r="F37" s="318">
        <v>123</v>
      </c>
      <c r="G37" s="318">
        <f t="shared" si="3"/>
        <v>1476</v>
      </c>
      <c r="H37" s="318">
        <v>1822</v>
      </c>
      <c r="I37" s="318">
        <f t="shared" si="5"/>
        <v>6614</v>
      </c>
    </row>
    <row r="38" spans="1:9" s="314" customFormat="1" x14ac:dyDescent="0.2">
      <c r="A38" s="544">
        <v>30</v>
      </c>
      <c r="B38" s="319" t="s">
        <v>100</v>
      </c>
      <c r="C38" s="122" t="s">
        <v>101</v>
      </c>
      <c r="D38" s="318">
        <f t="shared" si="1"/>
        <v>481</v>
      </c>
      <c r="E38" s="318">
        <f t="shared" si="1"/>
        <v>1922</v>
      </c>
      <c r="F38" s="318">
        <v>21</v>
      </c>
      <c r="G38" s="318">
        <f t="shared" si="3"/>
        <v>252</v>
      </c>
      <c r="H38" s="318">
        <v>460</v>
      </c>
      <c r="I38" s="318">
        <f t="shared" si="5"/>
        <v>1670</v>
      </c>
    </row>
    <row r="39" spans="1:9" s="314" customFormat="1" x14ac:dyDescent="0.2">
      <c r="A39" s="544">
        <v>31</v>
      </c>
      <c r="B39" s="545" t="s">
        <v>102</v>
      </c>
      <c r="C39" s="122" t="s">
        <v>103</v>
      </c>
      <c r="D39" s="318">
        <f t="shared" si="1"/>
        <v>1470</v>
      </c>
      <c r="E39" s="318">
        <f t="shared" si="1"/>
        <v>6031</v>
      </c>
      <c r="F39" s="318">
        <v>83</v>
      </c>
      <c r="G39" s="318">
        <f t="shared" si="3"/>
        <v>996</v>
      </c>
      <c r="H39" s="318">
        <v>1387</v>
      </c>
      <c r="I39" s="318">
        <f t="shared" si="5"/>
        <v>5035</v>
      </c>
    </row>
    <row r="40" spans="1:9" s="314" customFormat="1" x14ac:dyDescent="0.2">
      <c r="A40" s="544">
        <v>32</v>
      </c>
      <c r="B40" s="319" t="s">
        <v>104</v>
      </c>
      <c r="C40" s="122" t="s">
        <v>105</v>
      </c>
      <c r="D40" s="318">
        <f t="shared" si="1"/>
        <v>588</v>
      </c>
      <c r="E40" s="318">
        <f t="shared" si="1"/>
        <v>2411</v>
      </c>
      <c r="F40" s="318">
        <v>33</v>
      </c>
      <c r="G40" s="318">
        <f t="shared" si="3"/>
        <v>396</v>
      </c>
      <c r="H40" s="318">
        <v>555</v>
      </c>
      <c r="I40" s="318">
        <f t="shared" si="5"/>
        <v>2015</v>
      </c>
    </row>
    <row r="41" spans="1:9" s="314" customFormat="1" x14ac:dyDescent="0.2">
      <c r="A41" s="544">
        <v>33</v>
      </c>
      <c r="B41" s="317" t="s">
        <v>106</v>
      </c>
      <c r="C41" s="122" t="s">
        <v>107</v>
      </c>
      <c r="D41" s="318">
        <f t="shared" si="1"/>
        <v>1397</v>
      </c>
      <c r="E41" s="318">
        <f t="shared" si="1"/>
        <v>5799</v>
      </c>
      <c r="F41" s="318">
        <v>87</v>
      </c>
      <c r="G41" s="318">
        <f t="shared" si="3"/>
        <v>1044</v>
      </c>
      <c r="H41" s="318">
        <v>1310</v>
      </c>
      <c r="I41" s="318">
        <f t="shared" si="5"/>
        <v>4755</v>
      </c>
    </row>
    <row r="42" spans="1:9" s="314" customFormat="1" x14ac:dyDescent="0.2">
      <c r="A42" s="544">
        <v>34</v>
      </c>
      <c r="B42" s="320" t="s">
        <v>108</v>
      </c>
      <c r="C42" s="543" t="s">
        <v>109</v>
      </c>
      <c r="D42" s="318">
        <f t="shared" si="1"/>
        <v>596</v>
      </c>
      <c r="E42" s="318">
        <f t="shared" si="1"/>
        <v>2398</v>
      </c>
      <c r="F42" s="318">
        <v>28</v>
      </c>
      <c r="G42" s="318">
        <f t="shared" si="3"/>
        <v>336</v>
      </c>
      <c r="H42" s="318">
        <v>568</v>
      </c>
      <c r="I42" s="318">
        <f t="shared" si="5"/>
        <v>2062</v>
      </c>
    </row>
    <row r="43" spans="1:9" s="314" customFormat="1" x14ac:dyDescent="0.2">
      <c r="A43" s="544">
        <v>35</v>
      </c>
      <c r="B43" s="317" t="s">
        <v>110</v>
      </c>
      <c r="C43" s="122" t="s">
        <v>111</v>
      </c>
      <c r="D43" s="318">
        <f t="shared" si="1"/>
        <v>397</v>
      </c>
      <c r="E43" s="318">
        <f t="shared" si="1"/>
        <v>1592</v>
      </c>
      <c r="F43" s="318">
        <v>18</v>
      </c>
      <c r="G43" s="318">
        <f t="shared" si="3"/>
        <v>216</v>
      </c>
      <c r="H43" s="318">
        <v>379</v>
      </c>
      <c r="I43" s="318">
        <f t="shared" si="5"/>
        <v>1376</v>
      </c>
    </row>
    <row r="44" spans="1:9" s="314" customFormat="1" x14ac:dyDescent="0.2">
      <c r="A44" s="544">
        <v>36</v>
      </c>
      <c r="B44" s="317" t="s">
        <v>112</v>
      </c>
      <c r="C44" s="122" t="s">
        <v>113</v>
      </c>
      <c r="D44" s="318">
        <f t="shared" si="1"/>
        <v>803</v>
      </c>
      <c r="E44" s="318">
        <f t="shared" si="1"/>
        <v>3166</v>
      </c>
      <c r="F44" s="318">
        <v>30</v>
      </c>
      <c r="G44" s="318">
        <f t="shared" si="3"/>
        <v>360</v>
      </c>
      <c r="H44" s="318">
        <v>773</v>
      </c>
      <c r="I44" s="318">
        <f t="shared" si="5"/>
        <v>2806</v>
      </c>
    </row>
    <row r="45" spans="1:9" s="314" customFormat="1" x14ac:dyDescent="0.2">
      <c r="A45" s="544">
        <v>37</v>
      </c>
      <c r="B45" s="545" t="s">
        <v>114</v>
      </c>
      <c r="C45" s="122" t="s">
        <v>115</v>
      </c>
      <c r="D45" s="318">
        <f t="shared" si="1"/>
        <v>322</v>
      </c>
      <c r="E45" s="318">
        <f t="shared" si="1"/>
        <v>1278</v>
      </c>
      <c r="F45" s="318">
        <v>13</v>
      </c>
      <c r="G45" s="318">
        <f t="shared" si="3"/>
        <v>156</v>
      </c>
      <c r="H45" s="318">
        <v>309</v>
      </c>
      <c r="I45" s="318">
        <f t="shared" si="5"/>
        <v>1122</v>
      </c>
    </row>
    <row r="46" spans="1:9" s="314" customFormat="1" x14ac:dyDescent="0.2">
      <c r="A46" s="544">
        <v>38</v>
      </c>
      <c r="B46" s="319" t="s">
        <v>116</v>
      </c>
      <c r="C46" s="122" t="s">
        <v>117</v>
      </c>
      <c r="D46" s="318">
        <f t="shared" si="1"/>
        <v>333</v>
      </c>
      <c r="E46" s="318">
        <f t="shared" si="1"/>
        <v>1485</v>
      </c>
      <c r="F46" s="318">
        <v>33</v>
      </c>
      <c r="G46" s="318">
        <f t="shared" si="3"/>
        <v>396</v>
      </c>
      <c r="H46" s="318">
        <v>300</v>
      </c>
      <c r="I46" s="318">
        <f t="shared" si="5"/>
        <v>1089</v>
      </c>
    </row>
    <row r="47" spans="1:9" s="314" customFormat="1" x14ac:dyDescent="0.2">
      <c r="A47" s="544">
        <v>39</v>
      </c>
      <c r="B47" s="545" t="s">
        <v>28</v>
      </c>
      <c r="C47" s="122" t="s">
        <v>29</v>
      </c>
      <c r="D47" s="318">
        <f t="shared" si="1"/>
        <v>1814</v>
      </c>
      <c r="E47" s="318">
        <f t="shared" si="1"/>
        <v>7422</v>
      </c>
      <c r="F47" s="318">
        <v>100</v>
      </c>
      <c r="G47" s="318">
        <f t="shared" si="3"/>
        <v>1200</v>
      </c>
      <c r="H47" s="318">
        <v>1714</v>
      </c>
      <c r="I47" s="318">
        <f t="shared" si="5"/>
        <v>6222</v>
      </c>
    </row>
    <row r="48" spans="1:9" s="314" customFormat="1" x14ac:dyDescent="0.2">
      <c r="A48" s="544">
        <v>40</v>
      </c>
      <c r="B48" s="317" t="s">
        <v>118</v>
      </c>
      <c r="C48" s="122" t="s">
        <v>119</v>
      </c>
      <c r="D48" s="318">
        <f t="shared" si="1"/>
        <v>585</v>
      </c>
      <c r="E48" s="318">
        <f t="shared" si="1"/>
        <v>2391</v>
      </c>
      <c r="F48" s="318">
        <v>32</v>
      </c>
      <c r="G48" s="318">
        <f t="shared" si="3"/>
        <v>384</v>
      </c>
      <c r="H48" s="318">
        <v>553</v>
      </c>
      <c r="I48" s="318">
        <f t="shared" si="5"/>
        <v>2007</v>
      </c>
    </row>
    <row r="49" spans="1:9" s="314" customFormat="1" x14ac:dyDescent="0.2">
      <c r="A49" s="544">
        <v>41</v>
      </c>
      <c r="B49" s="317" t="s">
        <v>120</v>
      </c>
      <c r="C49" s="122" t="s">
        <v>121</v>
      </c>
      <c r="D49" s="318">
        <f t="shared" si="1"/>
        <v>1193</v>
      </c>
      <c r="E49" s="318">
        <f t="shared" si="1"/>
        <v>4992</v>
      </c>
      <c r="F49" s="318">
        <v>79</v>
      </c>
      <c r="G49" s="318">
        <f t="shared" si="3"/>
        <v>948</v>
      </c>
      <c r="H49" s="318">
        <v>1114</v>
      </c>
      <c r="I49" s="318">
        <f t="shared" si="5"/>
        <v>4044</v>
      </c>
    </row>
    <row r="50" spans="1:9" s="314" customFormat="1" x14ac:dyDescent="0.2">
      <c r="A50" s="544">
        <v>42</v>
      </c>
      <c r="B50" s="545" t="s">
        <v>122</v>
      </c>
      <c r="C50" s="122" t="s">
        <v>123</v>
      </c>
      <c r="D50" s="318">
        <f t="shared" si="1"/>
        <v>405</v>
      </c>
      <c r="E50" s="318">
        <f t="shared" si="1"/>
        <v>1638</v>
      </c>
      <c r="F50" s="318">
        <v>20</v>
      </c>
      <c r="G50" s="318">
        <f t="shared" si="3"/>
        <v>240</v>
      </c>
      <c r="H50" s="318">
        <v>385</v>
      </c>
      <c r="I50" s="318">
        <f t="shared" si="5"/>
        <v>1398</v>
      </c>
    </row>
    <row r="51" spans="1:9" s="314" customFormat="1" x14ac:dyDescent="0.2">
      <c r="A51" s="544">
        <v>43</v>
      </c>
      <c r="B51" s="319" t="s">
        <v>124</v>
      </c>
      <c r="C51" s="122" t="s">
        <v>125</v>
      </c>
      <c r="D51" s="318">
        <f t="shared" si="1"/>
        <v>486</v>
      </c>
      <c r="E51" s="318">
        <f t="shared" si="1"/>
        <v>2032</v>
      </c>
      <c r="F51" s="318">
        <v>32</v>
      </c>
      <c r="G51" s="318">
        <f t="shared" si="3"/>
        <v>384</v>
      </c>
      <c r="H51" s="318">
        <v>454</v>
      </c>
      <c r="I51" s="318">
        <f t="shared" si="5"/>
        <v>1648</v>
      </c>
    </row>
    <row r="52" spans="1:9" s="314" customFormat="1" x14ac:dyDescent="0.2">
      <c r="A52" s="544">
        <v>44</v>
      </c>
      <c r="B52" s="545" t="s">
        <v>126</v>
      </c>
      <c r="C52" s="122" t="s">
        <v>127</v>
      </c>
      <c r="D52" s="318">
        <f t="shared" si="1"/>
        <v>660</v>
      </c>
      <c r="E52" s="318">
        <f t="shared" si="1"/>
        <v>2689</v>
      </c>
      <c r="F52" s="318">
        <v>35</v>
      </c>
      <c r="G52" s="318">
        <f t="shared" si="3"/>
        <v>420</v>
      </c>
      <c r="H52" s="318">
        <v>625</v>
      </c>
      <c r="I52" s="318">
        <f t="shared" si="5"/>
        <v>2269</v>
      </c>
    </row>
    <row r="53" spans="1:9" s="314" customFormat="1" x14ac:dyDescent="0.2">
      <c r="A53" s="544">
        <v>45</v>
      </c>
      <c r="B53" s="319" t="s">
        <v>128</v>
      </c>
      <c r="C53" s="122" t="s">
        <v>129</v>
      </c>
      <c r="D53" s="318">
        <f t="shared" si="1"/>
        <v>650</v>
      </c>
      <c r="E53" s="318">
        <f t="shared" si="1"/>
        <v>2703</v>
      </c>
      <c r="F53" s="318">
        <v>41</v>
      </c>
      <c r="G53" s="318">
        <f t="shared" si="3"/>
        <v>492</v>
      </c>
      <c r="H53" s="318">
        <v>609</v>
      </c>
      <c r="I53" s="318">
        <f t="shared" si="5"/>
        <v>2211</v>
      </c>
    </row>
    <row r="54" spans="1:9" s="314" customFormat="1" x14ac:dyDescent="0.2">
      <c r="A54" s="544">
        <v>46</v>
      </c>
      <c r="B54" s="545" t="s">
        <v>130</v>
      </c>
      <c r="C54" s="122" t="s">
        <v>131</v>
      </c>
      <c r="D54" s="318">
        <f t="shared" si="1"/>
        <v>278</v>
      </c>
      <c r="E54" s="318">
        <f t="shared" si="1"/>
        <v>1126</v>
      </c>
      <c r="F54" s="318">
        <v>14</v>
      </c>
      <c r="G54" s="318">
        <f t="shared" si="3"/>
        <v>168</v>
      </c>
      <c r="H54" s="318">
        <v>264</v>
      </c>
      <c r="I54" s="318">
        <f t="shared" si="5"/>
        <v>958</v>
      </c>
    </row>
    <row r="55" spans="1:9" s="314" customFormat="1" x14ac:dyDescent="0.2">
      <c r="A55" s="544">
        <v>47</v>
      </c>
      <c r="B55" s="319" t="s">
        <v>132</v>
      </c>
      <c r="C55" s="122" t="s">
        <v>133</v>
      </c>
      <c r="D55" s="318">
        <f t="shared" si="1"/>
        <v>462</v>
      </c>
      <c r="E55" s="318">
        <f t="shared" si="1"/>
        <v>1853</v>
      </c>
      <c r="F55" s="318">
        <v>21</v>
      </c>
      <c r="G55" s="318">
        <f t="shared" si="3"/>
        <v>252</v>
      </c>
      <c r="H55" s="318">
        <v>441</v>
      </c>
      <c r="I55" s="318">
        <f t="shared" si="5"/>
        <v>1601</v>
      </c>
    </row>
    <row r="56" spans="1:9" s="314" customFormat="1" x14ac:dyDescent="0.2">
      <c r="A56" s="544">
        <v>48</v>
      </c>
      <c r="B56" s="545" t="s">
        <v>134</v>
      </c>
      <c r="C56" s="122" t="s">
        <v>135</v>
      </c>
      <c r="D56" s="318">
        <f t="shared" si="1"/>
        <v>990</v>
      </c>
      <c r="E56" s="318">
        <f t="shared" si="1"/>
        <v>3870</v>
      </c>
      <c r="F56" s="318">
        <v>33</v>
      </c>
      <c r="G56" s="318">
        <f t="shared" si="3"/>
        <v>396</v>
      </c>
      <c r="H56" s="318">
        <v>957</v>
      </c>
      <c r="I56" s="318">
        <f t="shared" si="5"/>
        <v>3474</v>
      </c>
    </row>
    <row r="57" spans="1:9" s="314" customFormat="1" x14ac:dyDescent="0.2">
      <c r="A57" s="544">
        <v>49</v>
      </c>
      <c r="B57" s="545" t="s">
        <v>136</v>
      </c>
      <c r="C57" s="122" t="s">
        <v>137</v>
      </c>
      <c r="D57" s="318">
        <f t="shared" si="1"/>
        <v>2391</v>
      </c>
      <c r="E57" s="318">
        <f t="shared" si="1"/>
        <v>9667</v>
      </c>
      <c r="F57" s="318">
        <v>118</v>
      </c>
      <c r="G57" s="318">
        <f t="shared" si="3"/>
        <v>1416</v>
      </c>
      <c r="H57" s="318">
        <v>2273</v>
      </c>
      <c r="I57" s="318">
        <f t="shared" si="5"/>
        <v>8251</v>
      </c>
    </row>
    <row r="58" spans="1:9" s="314" customFormat="1" x14ac:dyDescent="0.2">
      <c r="A58" s="544">
        <v>50</v>
      </c>
      <c r="B58" s="545" t="s">
        <v>138</v>
      </c>
      <c r="C58" s="122" t="s">
        <v>139</v>
      </c>
      <c r="D58" s="318">
        <f t="shared" si="1"/>
        <v>362</v>
      </c>
      <c r="E58" s="318">
        <f t="shared" si="1"/>
        <v>1523</v>
      </c>
      <c r="F58" s="318">
        <v>25</v>
      </c>
      <c r="G58" s="318">
        <f t="shared" si="3"/>
        <v>300</v>
      </c>
      <c r="H58" s="318">
        <v>337</v>
      </c>
      <c r="I58" s="318">
        <f t="shared" si="5"/>
        <v>1223</v>
      </c>
    </row>
    <row r="59" spans="1:9" s="314" customFormat="1" x14ac:dyDescent="0.2">
      <c r="A59" s="544">
        <v>51</v>
      </c>
      <c r="B59" s="545" t="s">
        <v>140</v>
      </c>
      <c r="C59" s="122" t="s">
        <v>141</v>
      </c>
      <c r="D59" s="318">
        <f t="shared" si="1"/>
        <v>436</v>
      </c>
      <c r="E59" s="318">
        <f t="shared" si="1"/>
        <v>1733</v>
      </c>
      <c r="F59" s="318">
        <v>18</v>
      </c>
      <c r="G59" s="318">
        <f t="shared" si="3"/>
        <v>216</v>
      </c>
      <c r="H59" s="318">
        <v>418</v>
      </c>
      <c r="I59" s="318">
        <f t="shared" si="5"/>
        <v>1517</v>
      </c>
    </row>
    <row r="60" spans="1:9" s="314" customFormat="1" x14ac:dyDescent="0.2">
      <c r="A60" s="544">
        <v>52</v>
      </c>
      <c r="B60" s="319" t="s">
        <v>142</v>
      </c>
      <c r="C60" s="122" t="s">
        <v>143</v>
      </c>
      <c r="D60" s="318">
        <f t="shared" si="1"/>
        <v>538</v>
      </c>
      <c r="E60" s="318">
        <f t="shared" si="1"/>
        <v>2145</v>
      </c>
      <c r="F60" s="318">
        <v>23</v>
      </c>
      <c r="G60" s="318">
        <f t="shared" si="3"/>
        <v>276</v>
      </c>
      <c r="H60" s="318">
        <v>515</v>
      </c>
      <c r="I60" s="318">
        <f t="shared" si="5"/>
        <v>1869</v>
      </c>
    </row>
    <row r="61" spans="1:9" s="314" customFormat="1" x14ac:dyDescent="0.2">
      <c r="A61" s="544">
        <v>53</v>
      </c>
      <c r="B61" s="545" t="s">
        <v>144</v>
      </c>
      <c r="C61" s="122" t="s">
        <v>145</v>
      </c>
      <c r="D61" s="318"/>
      <c r="E61" s="318"/>
      <c r="F61" s="318"/>
      <c r="G61" s="318"/>
      <c r="H61" s="318"/>
      <c r="I61" s="318"/>
    </row>
    <row r="62" spans="1:9" s="314" customFormat="1" x14ac:dyDescent="0.2">
      <c r="A62" s="544">
        <v>54</v>
      </c>
      <c r="B62" s="545" t="s">
        <v>146</v>
      </c>
      <c r="C62" s="122" t="s">
        <v>147</v>
      </c>
      <c r="D62" s="318"/>
      <c r="E62" s="318"/>
      <c r="F62" s="318"/>
      <c r="G62" s="318"/>
      <c r="H62" s="318"/>
      <c r="I62" s="318"/>
    </row>
    <row r="63" spans="1:9" s="314" customFormat="1" x14ac:dyDescent="0.2">
      <c r="A63" s="544">
        <v>55</v>
      </c>
      <c r="B63" s="545" t="s">
        <v>148</v>
      </c>
      <c r="C63" s="122" t="s">
        <v>149</v>
      </c>
      <c r="D63" s="318"/>
      <c r="E63" s="318"/>
      <c r="F63" s="318"/>
      <c r="G63" s="318"/>
      <c r="H63" s="318"/>
      <c r="I63" s="318"/>
    </row>
    <row r="64" spans="1:9" s="314" customFormat="1" x14ac:dyDescent="0.2">
      <c r="A64" s="544">
        <v>56</v>
      </c>
      <c r="B64" s="319" t="s">
        <v>150</v>
      </c>
      <c r="C64" s="122" t="s">
        <v>151</v>
      </c>
      <c r="D64" s="318"/>
      <c r="E64" s="318"/>
      <c r="F64" s="318"/>
      <c r="G64" s="318"/>
      <c r="H64" s="318"/>
      <c r="I64" s="318"/>
    </row>
    <row r="65" spans="1:9" s="314" customFormat="1" x14ac:dyDescent="0.2">
      <c r="A65" s="544">
        <v>57</v>
      </c>
      <c r="B65" s="317" t="s">
        <v>152</v>
      </c>
      <c r="C65" s="122" t="s">
        <v>153</v>
      </c>
      <c r="D65" s="318"/>
      <c r="E65" s="318"/>
      <c r="F65" s="318"/>
      <c r="G65" s="318"/>
      <c r="H65" s="318"/>
      <c r="I65" s="318"/>
    </row>
    <row r="66" spans="1:9" s="314" customFormat="1" x14ac:dyDescent="0.2">
      <c r="A66" s="544">
        <v>58</v>
      </c>
      <c r="B66" s="319" t="s">
        <v>154</v>
      </c>
      <c r="C66" s="122" t="s">
        <v>155</v>
      </c>
      <c r="D66" s="318"/>
      <c r="E66" s="318"/>
      <c r="F66" s="318"/>
      <c r="G66" s="318"/>
      <c r="H66" s="318"/>
      <c r="I66" s="318"/>
    </row>
    <row r="67" spans="1:9" s="314" customFormat="1" x14ac:dyDescent="0.2">
      <c r="A67" s="544">
        <v>59</v>
      </c>
      <c r="B67" s="545" t="s">
        <v>156</v>
      </c>
      <c r="C67" s="122" t="s">
        <v>157</v>
      </c>
      <c r="D67" s="318"/>
      <c r="E67" s="318"/>
      <c r="F67" s="318"/>
      <c r="G67" s="318"/>
      <c r="H67" s="318"/>
      <c r="I67" s="318"/>
    </row>
    <row r="68" spans="1:9" s="314" customFormat="1" ht="15" customHeight="1" x14ac:dyDescent="0.2">
      <c r="A68" s="544">
        <v>60</v>
      </c>
      <c r="B68" s="317" t="s">
        <v>158</v>
      </c>
      <c r="C68" s="122" t="s">
        <v>159</v>
      </c>
      <c r="D68" s="318"/>
      <c r="E68" s="318"/>
      <c r="F68" s="318"/>
      <c r="G68" s="318"/>
      <c r="H68" s="318"/>
      <c r="I68" s="318"/>
    </row>
    <row r="69" spans="1:9" s="314" customFormat="1" ht="15" customHeight="1" x14ac:dyDescent="0.2">
      <c r="A69" s="544">
        <v>61</v>
      </c>
      <c r="B69" s="317" t="s">
        <v>160</v>
      </c>
      <c r="C69" s="122" t="s">
        <v>161</v>
      </c>
      <c r="D69" s="318"/>
      <c r="E69" s="318"/>
      <c r="F69" s="318"/>
      <c r="G69" s="318"/>
      <c r="H69" s="318"/>
      <c r="I69" s="318"/>
    </row>
    <row r="70" spans="1:9" s="314" customFormat="1" x14ac:dyDescent="0.2">
      <c r="A70" s="544">
        <v>62</v>
      </c>
      <c r="B70" s="319" t="s">
        <v>162</v>
      </c>
      <c r="C70" s="122" t="s">
        <v>163</v>
      </c>
      <c r="D70" s="318">
        <f t="shared" si="1"/>
        <v>1706</v>
      </c>
      <c r="E70" s="318">
        <f t="shared" si="1"/>
        <v>7030</v>
      </c>
      <c r="F70" s="318">
        <v>100</v>
      </c>
      <c r="G70" s="318">
        <f t="shared" si="3"/>
        <v>1200</v>
      </c>
      <c r="H70" s="318">
        <v>1606</v>
      </c>
      <c r="I70" s="318">
        <f t="shared" ref="I70:I72" si="6">ROUND(H70*3.6299,0)</f>
        <v>5830</v>
      </c>
    </row>
    <row r="71" spans="1:9" s="314" customFormat="1" x14ac:dyDescent="0.2">
      <c r="A71" s="544">
        <v>63</v>
      </c>
      <c r="B71" s="319" t="s">
        <v>164</v>
      </c>
      <c r="C71" s="122" t="s">
        <v>165</v>
      </c>
      <c r="D71" s="318">
        <f t="shared" si="1"/>
        <v>1130</v>
      </c>
      <c r="E71" s="318">
        <f t="shared" si="1"/>
        <v>4629</v>
      </c>
      <c r="F71" s="318">
        <v>63</v>
      </c>
      <c r="G71" s="318">
        <f t="shared" si="3"/>
        <v>756</v>
      </c>
      <c r="H71" s="318">
        <v>1067</v>
      </c>
      <c r="I71" s="318">
        <f t="shared" si="6"/>
        <v>3873</v>
      </c>
    </row>
    <row r="72" spans="1:9" s="314" customFormat="1" x14ac:dyDescent="0.2">
      <c r="A72" s="544">
        <v>64</v>
      </c>
      <c r="B72" s="319" t="s">
        <v>166</v>
      </c>
      <c r="C72" s="122" t="s">
        <v>167</v>
      </c>
      <c r="D72" s="318">
        <f t="shared" si="1"/>
        <v>2322</v>
      </c>
      <c r="E72" s="318">
        <f t="shared" si="1"/>
        <v>9391</v>
      </c>
      <c r="F72" s="318">
        <v>115</v>
      </c>
      <c r="G72" s="318">
        <f t="shared" si="3"/>
        <v>1380</v>
      </c>
      <c r="H72" s="318">
        <v>2207</v>
      </c>
      <c r="I72" s="318">
        <f t="shared" si="6"/>
        <v>8011</v>
      </c>
    </row>
    <row r="73" spans="1:9" s="314" customFormat="1" x14ac:dyDescent="0.2">
      <c r="A73" s="544">
        <v>65</v>
      </c>
      <c r="B73" s="319" t="s">
        <v>168</v>
      </c>
      <c r="C73" s="122" t="s">
        <v>169</v>
      </c>
      <c r="D73" s="318"/>
      <c r="E73" s="318"/>
      <c r="F73" s="318"/>
      <c r="G73" s="318"/>
      <c r="H73" s="318"/>
      <c r="I73" s="318"/>
    </row>
    <row r="74" spans="1:9" s="314" customFormat="1" x14ac:dyDescent="0.2">
      <c r="A74" s="544">
        <v>66</v>
      </c>
      <c r="B74" s="317" t="s">
        <v>170</v>
      </c>
      <c r="C74" s="122" t="s">
        <v>171</v>
      </c>
      <c r="D74" s="318"/>
      <c r="E74" s="318"/>
      <c r="F74" s="318"/>
      <c r="G74" s="318"/>
      <c r="H74" s="318"/>
      <c r="I74" s="318"/>
    </row>
    <row r="75" spans="1:9" s="314" customFormat="1" x14ac:dyDescent="0.2">
      <c r="A75" s="544">
        <v>67</v>
      </c>
      <c r="B75" s="319" t="s">
        <v>172</v>
      </c>
      <c r="C75" s="122" t="s">
        <v>173</v>
      </c>
      <c r="D75" s="318"/>
      <c r="E75" s="318"/>
      <c r="F75" s="318"/>
      <c r="G75" s="318"/>
      <c r="H75" s="318"/>
      <c r="I75" s="318"/>
    </row>
    <row r="76" spans="1:9" s="314" customFormat="1" x14ac:dyDescent="0.2">
      <c r="A76" s="544">
        <v>68</v>
      </c>
      <c r="B76" s="319" t="s">
        <v>174</v>
      </c>
      <c r="C76" s="122" t="s">
        <v>175</v>
      </c>
      <c r="D76" s="318"/>
      <c r="E76" s="318"/>
      <c r="F76" s="318"/>
      <c r="G76" s="318"/>
      <c r="H76" s="318"/>
      <c r="I76" s="318"/>
    </row>
    <row r="77" spans="1:9" s="314" customFormat="1" x14ac:dyDescent="0.2">
      <c r="A77" s="544">
        <v>69</v>
      </c>
      <c r="B77" s="317" t="s">
        <v>176</v>
      </c>
      <c r="C77" s="122" t="s">
        <v>177</v>
      </c>
      <c r="D77" s="318"/>
      <c r="E77" s="318"/>
      <c r="F77" s="318"/>
      <c r="G77" s="318"/>
      <c r="H77" s="318"/>
      <c r="I77" s="318"/>
    </row>
    <row r="78" spans="1:9" s="314" customFormat="1" x14ac:dyDescent="0.2">
      <c r="A78" s="544">
        <v>70</v>
      </c>
      <c r="B78" s="317" t="s">
        <v>178</v>
      </c>
      <c r="C78" s="122" t="s">
        <v>179</v>
      </c>
      <c r="D78" s="318"/>
      <c r="E78" s="318"/>
      <c r="F78" s="318"/>
      <c r="G78" s="318"/>
      <c r="H78" s="318"/>
      <c r="I78" s="318"/>
    </row>
    <row r="79" spans="1:9" s="314" customFormat="1" x14ac:dyDescent="0.2">
      <c r="A79" s="544">
        <v>71</v>
      </c>
      <c r="B79" s="317" t="s">
        <v>180</v>
      </c>
      <c r="C79" s="122" t="s">
        <v>181</v>
      </c>
      <c r="D79" s="318"/>
      <c r="E79" s="318"/>
      <c r="F79" s="318"/>
      <c r="G79" s="318"/>
      <c r="H79" s="318"/>
      <c r="I79" s="318"/>
    </row>
    <row r="80" spans="1:9" s="314" customFormat="1" x14ac:dyDescent="0.2">
      <c r="A80" s="544">
        <v>72</v>
      </c>
      <c r="B80" s="545" t="s">
        <v>182</v>
      </c>
      <c r="C80" s="122" t="s">
        <v>183</v>
      </c>
      <c r="D80" s="318">
        <f t="shared" ref="D80:D136" si="7">F80+H80</f>
        <v>1297</v>
      </c>
      <c r="E80" s="318">
        <f t="shared" ref="E80:E136" si="8">G80+I80</f>
        <v>5411</v>
      </c>
      <c r="F80" s="318">
        <v>84</v>
      </c>
      <c r="G80" s="318">
        <f t="shared" ref="G80:G136" si="9">F80*12</f>
        <v>1008</v>
      </c>
      <c r="H80" s="318">
        <v>1213</v>
      </c>
      <c r="I80" s="318">
        <f t="shared" ref="I80:I84" si="10">ROUND(H80*3.6299,0)</f>
        <v>4403</v>
      </c>
    </row>
    <row r="81" spans="1:9" s="314" customFormat="1" x14ac:dyDescent="0.2">
      <c r="A81" s="544">
        <v>73</v>
      </c>
      <c r="B81" s="317" t="s">
        <v>184</v>
      </c>
      <c r="C81" s="122" t="s">
        <v>185</v>
      </c>
      <c r="D81" s="318">
        <f t="shared" si="7"/>
        <v>2658</v>
      </c>
      <c r="E81" s="318">
        <f t="shared" si="8"/>
        <v>10937</v>
      </c>
      <c r="F81" s="318">
        <v>154</v>
      </c>
      <c r="G81" s="318">
        <f t="shared" si="9"/>
        <v>1848</v>
      </c>
      <c r="H81" s="318">
        <v>2504</v>
      </c>
      <c r="I81" s="318">
        <f t="shared" si="10"/>
        <v>9089</v>
      </c>
    </row>
    <row r="82" spans="1:9" s="314" customFormat="1" x14ac:dyDescent="0.2">
      <c r="A82" s="544">
        <v>74</v>
      </c>
      <c r="B82" s="545" t="s">
        <v>186</v>
      </c>
      <c r="C82" s="122" t="s">
        <v>187</v>
      </c>
      <c r="D82" s="318">
        <f t="shared" si="7"/>
        <v>1925</v>
      </c>
      <c r="E82" s="318">
        <f t="shared" si="8"/>
        <v>7808</v>
      </c>
      <c r="F82" s="318">
        <v>98</v>
      </c>
      <c r="G82" s="318">
        <f t="shared" si="9"/>
        <v>1176</v>
      </c>
      <c r="H82" s="318">
        <v>1827</v>
      </c>
      <c r="I82" s="318">
        <f t="shared" si="10"/>
        <v>6632</v>
      </c>
    </row>
    <row r="83" spans="1:9" s="314" customFormat="1" x14ac:dyDescent="0.2">
      <c r="A83" s="544">
        <v>75</v>
      </c>
      <c r="B83" s="317" t="s">
        <v>188</v>
      </c>
      <c r="C83" s="122" t="s">
        <v>460</v>
      </c>
      <c r="D83" s="318">
        <f t="shared" si="7"/>
        <v>1085</v>
      </c>
      <c r="E83" s="318">
        <f t="shared" si="8"/>
        <v>4499</v>
      </c>
      <c r="F83" s="318">
        <v>67</v>
      </c>
      <c r="G83" s="318">
        <f t="shared" si="9"/>
        <v>804</v>
      </c>
      <c r="H83" s="318">
        <v>1018</v>
      </c>
      <c r="I83" s="318">
        <f t="shared" si="10"/>
        <v>3695</v>
      </c>
    </row>
    <row r="84" spans="1:9" s="314" customFormat="1" x14ac:dyDescent="0.2">
      <c r="A84" s="544">
        <v>76</v>
      </c>
      <c r="B84" s="317" t="s">
        <v>190</v>
      </c>
      <c r="C84" s="122" t="s">
        <v>191</v>
      </c>
      <c r="D84" s="318">
        <f t="shared" si="7"/>
        <v>3084</v>
      </c>
      <c r="E84" s="318">
        <f t="shared" si="8"/>
        <v>12726</v>
      </c>
      <c r="F84" s="318">
        <v>183</v>
      </c>
      <c r="G84" s="318">
        <f t="shared" si="9"/>
        <v>2196</v>
      </c>
      <c r="H84" s="318">
        <v>2901</v>
      </c>
      <c r="I84" s="318">
        <f t="shared" si="10"/>
        <v>10530</v>
      </c>
    </row>
    <row r="85" spans="1:9" s="314" customFormat="1" x14ac:dyDescent="0.2">
      <c r="A85" s="544">
        <v>77</v>
      </c>
      <c r="B85" s="317" t="s">
        <v>192</v>
      </c>
      <c r="C85" s="122" t="s">
        <v>193</v>
      </c>
      <c r="D85" s="318"/>
      <c r="E85" s="318"/>
      <c r="F85" s="318"/>
      <c r="G85" s="318"/>
      <c r="H85" s="318"/>
      <c r="I85" s="318"/>
    </row>
    <row r="86" spans="1:9" s="314" customFormat="1" x14ac:dyDescent="0.2">
      <c r="A86" s="544">
        <v>78</v>
      </c>
      <c r="B86" s="317" t="s">
        <v>194</v>
      </c>
      <c r="C86" s="122" t="s">
        <v>195</v>
      </c>
      <c r="D86" s="318">
        <f t="shared" si="7"/>
        <v>2502</v>
      </c>
      <c r="E86" s="318">
        <f t="shared" si="8"/>
        <v>10095</v>
      </c>
      <c r="F86" s="318">
        <v>121</v>
      </c>
      <c r="G86" s="318">
        <f t="shared" si="9"/>
        <v>1452</v>
      </c>
      <c r="H86" s="318">
        <v>2381</v>
      </c>
      <c r="I86" s="318">
        <f t="shared" ref="I86" si="11">ROUND(H86*3.6299,0)</f>
        <v>8643</v>
      </c>
    </row>
    <row r="87" spans="1:9" s="314" customFormat="1" x14ac:dyDescent="0.2">
      <c r="A87" s="544">
        <v>79</v>
      </c>
      <c r="B87" s="317" t="s">
        <v>196</v>
      </c>
      <c r="C87" s="122" t="s">
        <v>197</v>
      </c>
      <c r="D87" s="318"/>
      <c r="E87" s="318"/>
      <c r="F87" s="318"/>
      <c r="G87" s="318"/>
      <c r="H87" s="318"/>
      <c r="I87" s="318"/>
    </row>
    <row r="88" spans="1:9" s="314" customFormat="1" x14ac:dyDescent="0.2">
      <c r="A88" s="544">
        <v>80</v>
      </c>
      <c r="B88" s="319" t="s">
        <v>30</v>
      </c>
      <c r="C88" s="122" t="s">
        <v>198</v>
      </c>
      <c r="D88" s="318"/>
      <c r="E88" s="318"/>
      <c r="F88" s="318"/>
      <c r="G88" s="318"/>
      <c r="H88" s="318"/>
      <c r="I88" s="318"/>
    </row>
    <row r="89" spans="1:9" s="314" customFormat="1" ht="16.5" customHeight="1" x14ac:dyDescent="0.2">
      <c r="A89" s="1132">
        <v>81</v>
      </c>
      <c r="B89" s="1133" t="s">
        <v>199</v>
      </c>
      <c r="C89" s="546" t="s">
        <v>200</v>
      </c>
      <c r="D89" s="321">
        <f t="shared" si="7"/>
        <v>15</v>
      </c>
      <c r="E89" s="318">
        <f t="shared" si="8"/>
        <v>54</v>
      </c>
      <c r="F89" s="321"/>
      <c r="G89" s="318"/>
      <c r="H89" s="321">
        <v>15</v>
      </c>
      <c r="I89" s="318">
        <f t="shared" ref="I89:I90" si="12">ROUND(H89*3.6299,0)</f>
        <v>54</v>
      </c>
    </row>
    <row r="90" spans="1:9" s="314" customFormat="1" ht="28.5" customHeight="1" x14ac:dyDescent="0.2">
      <c r="A90" s="1132"/>
      <c r="B90" s="1133"/>
      <c r="C90" s="122" t="s">
        <v>201</v>
      </c>
      <c r="D90" s="318">
        <f t="shared" si="7"/>
        <v>15</v>
      </c>
      <c r="E90" s="318">
        <f t="shared" si="8"/>
        <v>54</v>
      </c>
      <c r="F90" s="318"/>
      <c r="G90" s="318"/>
      <c r="H90" s="318">
        <v>15</v>
      </c>
      <c r="I90" s="318">
        <f t="shared" si="12"/>
        <v>54</v>
      </c>
    </row>
    <row r="91" spans="1:9" s="314" customFormat="1" x14ac:dyDescent="0.2">
      <c r="A91" s="1132"/>
      <c r="B91" s="1133"/>
      <c r="C91" s="122" t="s">
        <v>202</v>
      </c>
      <c r="D91" s="318"/>
      <c r="E91" s="318"/>
      <c r="F91" s="318"/>
      <c r="G91" s="318"/>
      <c r="H91" s="318"/>
      <c r="I91" s="318"/>
    </row>
    <row r="92" spans="1:9" s="314" customFormat="1" ht="25.5" x14ac:dyDescent="0.2">
      <c r="A92" s="1132"/>
      <c r="B92" s="1133"/>
      <c r="C92" s="547" t="s">
        <v>203</v>
      </c>
      <c r="D92" s="318"/>
      <c r="E92" s="318"/>
      <c r="F92" s="318"/>
      <c r="G92" s="318"/>
      <c r="H92" s="318"/>
      <c r="I92" s="318"/>
    </row>
    <row r="93" spans="1:9" s="314" customFormat="1" x14ac:dyDescent="0.2">
      <c r="A93" s="544">
        <v>82</v>
      </c>
      <c r="B93" s="319" t="s">
        <v>204</v>
      </c>
      <c r="C93" s="122" t="s">
        <v>205</v>
      </c>
      <c r="D93" s="318"/>
      <c r="E93" s="318"/>
      <c r="F93" s="318"/>
      <c r="G93" s="318"/>
      <c r="H93" s="318"/>
      <c r="I93" s="318"/>
    </row>
    <row r="94" spans="1:9" s="314" customFormat="1" x14ac:dyDescent="0.2">
      <c r="A94" s="544">
        <v>83</v>
      </c>
      <c r="B94" s="319" t="s">
        <v>206</v>
      </c>
      <c r="C94" s="122" t="s">
        <v>207</v>
      </c>
      <c r="D94" s="318">
        <f t="shared" si="7"/>
        <v>134</v>
      </c>
      <c r="E94" s="318">
        <f t="shared" si="8"/>
        <v>537</v>
      </c>
      <c r="F94" s="318">
        <v>6</v>
      </c>
      <c r="G94" s="318">
        <f t="shared" si="9"/>
        <v>72</v>
      </c>
      <c r="H94" s="318">
        <v>128</v>
      </c>
      <c r="I94" s="318">
        <f t="shared" ref="I94:I107" si="13">ROUND(H94*3.6299,0)</f>
        <v>465</v>
      </c>
    </row>
    <row r="95" spans="1:9" s="314" customFormat="1" x14ac:dyDescent="0.2">
      <c r="A95" s="544">
        <v>84</v>
      </c>
      <c r="B95" s="545" t="s">
        <v>208</v>
      </c>
      <c r="C95" s="122" t="s">
        <v>209</v>
      </c>
      <c r="D95" s="318">
        <f t="shared" si="7"/>
        <v>701</v>
      </c>
      <c r="E95" s="318">
        <f t="shared" si="8"/>
        <v>2930</v>
      </c>
      <c r="F95" s="318">
        <v>46</v>
      </c>
      <c r="G95" s="318">
        <f t="shared" si="9"/>
        <v>552</v>
      </c>
      <c r="H95" s="318">
        <v>655</v>
      </c>
      <c r="I95" s="318">
        <f t="shared" si="13"/>
        <v>2378</v>
      </c>
    </row>
    <row r="96" spans="1:9" s="314" customFormat="1" x14ac:dyDescent="0.2">
      <c r="A96" s="544">
        <v>85</v>
      </c>
      <c r="B96" s="319" t="s">
        <v>210</v>
      </c>
      <c r="C96" s="122" t="s">
        <v>211</v>
      </c>
      <c r="D96" s="318">
        <f t="shared" si="7"/>
        <v>344</v>
      </c>
      <c r="E96" s="318">
        <f t="shared" si="8"/>
        <v>1366</v>
      </c>
      <c r="F96" s="318">
        <v>14</v>
      </c>
      <c r="G96" s="318">
        <f t="shared" si="9"/>
        <v>168</v>
      </c>
      <c r="H96" s="318">
        <v>330</v>
      </c>
      <c r="I96" s="318">
        <f t="shared" si="13"/>
        <v>1198</v>
      </c>
    </row>
    <row r="97" spans="1:9" s="314" customFormat="1" x14ac:dyDescent="0.2">
      <c r="A97" s="544">
        <v>86</v>
      </c>
      <c r="B97" s="545" t="s">
        <v>212</v>
      </c>
      <c r="C97" s="122" t="s">
        <v>213</v>
      </c>
      <c r="D97" s="318">
        <f t="shared" si="7"/>
        <v>367</v>
      </c>
      <c r="E97" s="318">
        <f t="shared" si="8"/>
        <v>1458</v>
      </c>
      <c r="F97" s="318">
        <v>15</v>
      </c>
      <c r="G97" s="318">
        <f t="shared" si="9"/>
        <v>180</v>
      </c>
      <c r="H97" s="318">
        <v>352</v>
      </c>
      <c r="I97" s="318">
        <f t="shared" si="13"/>
        <v>1278</v>
      </c>
    </row>
    <row r="98" spans="1:9" s="314" customFormat="1" x14ac:dyDescent="0.2">
      <c r="A98" s="544">
        <v>87</v>
      </c>
      <c r="B98" s="545" t="s">
        <v>214</v>
      </c>
      <c r="C98" s="122" t="s">
        <v>215</v>
      </c>
      <c r="D98" s="318">
        <f t="shared" si="7"/>
        <v>918</v>
      </c>
      <c r="E98" s="318">
        <f t="shared" si="8"/>
        <v>3701</v>
      </c>
      <c r="F98" s="318">
        <v>44</v>
      </c>
      <c r="G98" s="318">
        <f t="shared" si="9"/>
        <v>528</v>
      </c>
      <c r="H98" s="318">
        <v>874</v>
      </c>
      <c r="I98" s="318">
        <f t="shared" si="13"/>
        <v>3173</v>
      </c>
    </row>
    <row r="99" spans="1:9" s="314" customFormat="1" x14ac:dyDescent="0.2">
      <c r="A99" s="544">
        <v>88</v>
      </c>
      <c r="B99" s="319" t="s">
        <v>216</v>
      </c>
      <c r="C99" s="122" t="s">
        <v>217</v>
      </c>
      <c r="D99" s="318">
        <f t="shared" si="7"/>
        <v>458</v>
      </c>
      <c r="E99" s="318">
        <f t="shared" si="8"/>
        <v>1830</v>
      </c>
      <c r="F99" s="318">
        <v>20</v>
      </c>
      <c r="G99" s="318">
        <f t="shared" si="9"/>
        <v>240</v>
      </c>
      <c r="H99" s="318">
        <v>438</v>
      </c>
      <c r="I99" s="318">
        <f t="shared" si="13"/>
        <v>1590</v>
      </c>
    </row>
    <row r="100" spans="1:9" s="314" customFormat="1" x14ac:dyDescent="0.2">
      <c r="A100" s="544">
        <v>89</v>
      </c>
      <c r="B100" s="317" t="s">
        <v>218</v>
      </c>
      <c r="C100" s="122" t="s">
        <v>219</v>
      </c>
      <c r="D100" s="318">
        <f t="shared" si="7"/>
        <v>922</v>
      </c>
      <c r="E100" s="318">
        <f t="shared" si="8"/>
        <v>3815</v>
      </c>
      <c r="F100" s="318">
        <v>56</v>
      </c>
      <c r="G100" s="318">
        <f t="shared" si="9"/>
        <v>672</v>
      </c>
      <c r="H100" s="318">
        <v>866</v>
      </c>
      <c r="I100" s="318">
        <f t="shared" si="13"/>
        <v>3143</v>
      </c>
    </row>
    <row r="101" spans="1:9" s="314" customFormat="1" x14ac:dyDescent="0.2">
      <c r="A101" s="544">
        <v>90</v>
      </c>
      <c r="B101" s="317" t="s">
        <v>220</v>
      </c>
      <c r="C101" s="122" t="s">
        <v>221</v>
      </c>
      <c r="D101" s="318">
        <f t="shared" si="7"/>
        <v>781</v>
      </c>
      <c r="E101" s="318">
        <f t="shared" si="8"/>
        <v>3237</v>
      </c>
      <c r="F101" s="318">
        <v>48</v>
      </c>
      <c r="G101" s="318">
        <f t="shared" si="9"/>
        <v>576</v>
      </c>
      <c r="H101" s="318">
        <v>733</v>
      </c>
      <c r="I101" s="318">
        <f t="shared" si="13"/>
        <v>2661</v>
      </c>
    </row>
    <row r="102" spans="1:9" s="314" customFormat="1" x14ac:dyDescent="0.2">
      <c r="A102" s="544">
        <v>91</v>
      </c>
      <c r="B102" s="545" t="s">
        <v>222</v>
      </c>
      <c r="C102" s="122" t="s">
        <v>223</v>
      </c>
      <c r="D102" s="318">
        <f t="shared" si="7"/>
        <v>341</v>
      </c>
      <c r="E102" s="318">
        <f t="shared" si="8"/>
        <v>1355</v>
      </c>
      <c r="F102" s="318">
        <v>14</v>
      </c>
      <c r="G102" s="318">
        <f t="shared" si="9"/>
        <v>168</v>
      </c>
      <c r="H102" s="318">
        <v>327</v>
      </c>
      <c r="I102" s="318">
        <f t="shared" si="13"/>
        <v>1187</v>
      </c>
    </row>
    <row r="103" spans="1:9" s="314" customFormat="1" x14ac:dyDescent="0.2">
      <c r="A103" s="544">
        <v>92</v>
      </c>
      <c r="B103" s="317" t="s">
        <v>224</v>
      </c>
      <c r="C103" s="122" t="s">
        <v>225</v>
      </c>
      <c r="D103" s="318">
        <f t="shared" si="7"/>
        <v>621</v>
      </c>
      <c r="E103" s="318">
        <f t="shared" si="8"/>
        <v>2539</v>
      </c>
      <c r="F103" s="318">
        <v>34</v>
      </c>
      <c r="G103" s="318">
        <f t="shared" si="9"/>
        <v>408</v>
      </c>
      <c r="H103" s="318">
        <v>587</v>
      </c>
      <c r="I103" s="318">
        <f t="shared" si="13"/>
        <v>2131</v>
      </c>
    </row>
    <row r="104" spans="1:9" s="314" customFormat="1" x14ac:dyDescent="0.2">
      <c r="A104" s="544">
        <v>93</v>
      </c>
      <c r="B104" s="317" t="s">
        <v>226</v>
      </c>
      <c r="C104" s="122" t="s">
        <v>227</v>
      </c>
      <c r="D104" s="318">
        <f t="shared" si="7"/>
        <v>479</v>
      </c>
      <c r="E104" s="318">
        <f t="shared" si="8"/>
        <v>1956</v>
      </c>
      <c r="F104" s="318">
        <v>26</v>
      </c>
      <c r="G104" s="318">
        <f t="shared" si="9"/>
        <v>312</v>
      </c>
      <c r="H104" s="318">
        <v>453</v>
      </c>
      <c r="I104" s="318">
        <f t="shared" si="13"/>
        <v>1644</v>
      </c>
    </row>
    <row r="105" spans="1:9" s="314" customFormat="1" x14ac:dyDescent="0.2">
      <c r="A105" s="544">
        <v>94</v>
      </c>
      <c r="B105" s="319" t="s">
        <v>32</v>
      </c>
      <c r="C105" s="122" t="s">
        <v>33</v>
      </c>
      <c r="D105" s="318">
        <f t="shared" si="7"/>
        <v>539</v>
      </c>
      <c r="E105" s="318">
        <f t="shared" si="8"/>
        <v>2216</v>
      </c>
      <c r="F105" s="318">
        <v>31</v>
      </c>
      <c r="G105" s="318">
        <f t="shared" si="9"/>
        <v>372</v>
      </c>
      <c r="H105" s="318">
        <v>508</v>
      </c>
      <c r="I105" s="318">
        <f t="shared" si="13"/>
        <v>1844</v>
      </c>
    </row>
    <row r="106" spans="1:9" s="314" customFormat="1" x14ac:dyDescent="0.2">
      <c r="A106" s="544">
        <v>95</v>
      </c>
      <c r="B106" s="545" t="s">
        <v>228</v>
      </c>
      <c r="C106" s="122" t="s">
        <v>229</v>
      </c>
      <c r="D106" s="318">
        <f t="shared" si="7"/>
        <v>308</v>
      </c>
      <c r="E106" s="318">
        <f t="shared" si="8"/>
        <v>1244</v>
      </c>
      <c r="F106" s="318">
        <v>15</v>
      </c>
      <c r="G106" s="318">
        <f t="shared" si="9"/>
        <v>180</v>
      </c>
      <c r="H106" s="318">
        <v>293</v>
      </c>
      <c r="I106" s="318">
        <f t="shared" si="13"/>
        <v>1064</v>
      </c>
    </row>
    <row r="107" spans="1:9" s="314" customFormat="1" x14ac:dyDescent="0.2">
      <c r="A107" s="544">
        <v>96</v>
      </c>
      <c r="B107" s="317" t="s">
        <v>230</v>
      </c>
      <c r="C107" s="122" t="s">
        <v>231</v>
      </c>
      <c r="D107" s="318">
        <f t="shared" si="7"/>
        <v>984</v>
      </c>
      <c r="E107" s="318">
        <f t="shared" si="8"/>
        <v>3923</v>
      </c>
      <c r="F107" s="318">
        <v>42</v>
      </c>
      <c r="G107" s="318">
        <f t="shared" si="9"/>
        <v>504</v>
      </c>
      <c r="H107" s="318">
        <v>942</v>
      </c>
      <c r="I107" s="318">
        <f t="shared" si="13"/>
        <v>3419</v>
      </c>
    </row>
    <row r="108" spans="1:9" s="314" customFormat="1" x14ac:dyDescent="0.2">
      <c r="A108" s="544">
        <v>97</v>
      </c>
      <c r="B108" s="317" t="s">
        <v>232</v>
      </c>
      <c r="C108" s="122" t="s">
        <v>233</v>
      </c>
      <c r="D108" s="318"/>
      <c r="E108" s="318"/>
      <c r="F108" s="318"/>
      <c r="G108" s="318"/>
      <c r="H108" s="318"/>
      <c r="I108" s="318"/>
    </row>
    <row r="109" spans="1:9" s="314" customFormat="1" x14ac:dyDescent="0.2">
      <c r="A109" s="544">
        <v>98</v>
      </c>
      <c r="B109" s="317" t="s">
        <v>234</v>
      </c>
      <c r="C109" s="122" t="s">
        <v>235</v>
      </c>
      <c r="D109" s="318"/>
      <c r="E109" s="318"/>
      <c r="F109" s="318"/>
      <c r="G109" s="318"/>
      <c r="H109" s="318"/>
      <c r="I109" s="318"/>
    </row>
    <row r="110" spans="1:9" s="314" customFormat="1" x14ac:dyDescent="0.2">
      <c r="A110" s="544">
        <v>99</v>
      </c>
      <c r="B110" s="545" t="s">
        <v>236</v>
      </c>
      <c r="C110" s="122" t="s">
        <v>237</v>
      </c>
      <c r="D110" s="318"/>
      <c r="E110" s="318"/>
      <c r="F110" s="318"/>
      <c r="G110" s="318"/>
      <c r="H110" s="318"/>
      <c r="I110" s="318"/>
    </row>
    <row r="111" spans="1:9" s="314" customFormat="1" x14ac:dyDescent="0.2">
      <c r="A111" s="544">
        <v>100</v>
      </c>
      <c r="B111" s="545" t="s">
        <v>238</v>
      </c>
      <c r="C111" s="122" t="s">
        <v>239</v>
      </c>
      <c r="D111" s="318"/>
      <c r="E111" s="318"/>
      <c r="F111" s="318"/>
      <c r="G111" s="318"/>
      <c r="H111" s="318"/>
      <c r="I111" s="318"/>
    </row>
    <row r="112" spans="1:9" s="314" customFormat="1" x14ac:dyDescent="0.2">
      <c r="A112" s="544">
        <v>101</v>
      </c>
      <c r="B112" s="545" t="s">
        <v>240</v>
      </c>
      <c r="C112" s="122" t="s">
        <v>241</v>
      </c>
      <c r="D112" s="318"/>
      <c r="E112" s="318"/>
      <c r="F112" s="318"/>
      <c r="G112" s="318"/>
      <c r="H112" s="318"/>
      <c r="I112" s="318"/>
    </row>
    <row r="113" spans="1:9" s="314" customFormat="1" x14ac:dyDescent="0.2">
      <c r="A113" s="544">
        <v>102</v>
      </c>
      <c r="B113" s="545" t="s">
        <v>242</v>
      </c>
      <c r="C113" s="122" t="s">
        <v>243</v>
      </c>
      <c r="D113" s="318"/>
      <c r="E113" s="318"/>
      <c r="F113" s="318"/>
      <c r="G113" s="318"/>
      <c r="H113" s="318"/>
      <c r="I113" s="318"/>
    </row>
    <row r="114" spans="1:9" s="314" customFormat="1" x14ac:dyDescent="0.2">
      <c r="A114" s="544">
        <v>103</v>
      </c>
      <c r="B114" s="545" t="s">
        <v>244</v>
      </c>
      <c r="C114" s="122" t="s">
        <v>245</v>
      </c>
      <c r="D114" s="318"/>
      <c r="E114" s="318"/>
      <c r="F114" s="318"/>
      <c r="G114" s="318"/>
      <c r="H114" s="318"/>
      <c r="I114" s="318"/>
    </row>
    <row r="115" spans="1:9" s="314" customFormat="1" x14ac:dyDescent="0.2">
      <c r="A115" s="544">
        <v>104</v>
      </c>
      <c r="B115" s="322" t="s">
        <v>246</v>
      </c>
      <c r="C115" s="543" t="s">
        <v>247</v>
      </c>
      <c r="D115" s="318"/>
      <c r="E115" s="318"/>
      <c r="F115" s="318"/>
      <c r="G115" s="318"/>
      <c r="H115" s="318"/>
      <c r="I115" s="318"/>
    </row>
    <row r="116" spans="1:9" s="314" customFormat="1" x14ac:dyDescent="0.2">
      <c r="A116" s="544">
        <v>105</v>
      </c>
      <c r="B116" s="319" t="s">
        <v>248</v>
      </c>
      <c r="C116" s="122" t="s">
        <v>249</v>
      </c>
      <c r="D116" s="318"/>
      <c r="E116" s="318"/>
      <c r="F116" s="318"/>
      <c r="G116" s="318"/>
      <c r="H116" s="318"/>
      <c r="I116" s="318"/>
    </row>
    <row r="117" spans="1:9" s="314" customFormat="1" x14ac:dyDescent="0.2">
      <c r="A117" s="544">
        <v>106</v>
      </c>
      <c r="B117" s="545" t="s">
        <v>250</v>
      </c>
      <c r="C117" s="122" t="s">
        <v>251</v>
      </c>
      <c r="D117" s="318"/>
      <c r="E117" s="318"/>
      <c r="F117" s="318"/>
      <c r="G117" s="318"/>
      <c r="H117" s="318"/>
      <c r="I117" s="318"/>
    </row>
    <row r="118" spans="1:9" s="314" customFormat="1" x14ac:dyDescent="0.2">
      <c r="A118" s="544">
        <v>107</v>
      </c>
      <c r="B118" s="317" t="s">
        <v>252</v>
      </c>
      <c r="C118" s="548" t="s">
        <v>253</v>
      </c>
      <c r="D118" s="318"/>
      <c r="E118" s="318"/>
      <c r="F118" s="318"/>
      <c r="G118" s="318"/>
      <c r="H118" s="318"/>
      <c r="I118" s="318"/>
    </row>
    <row r="119" spans="1:9" s="314" customFormat="1" x14ac:dyDescent="0.2">
      <c r="A119" s="544">
        <v>108</v>
      </c>
      <c r="B119" s="545" t="s">
        <v>254</v>
      </c>
      <c r="C119" s="122" t="s">
        <v>255</v>
      </c>
      <c r="D119" s="318"/>
      <c r="E119" s="318"/>
      <c r="F119" s="318"/>
      <c r="G119" s="318"/>
      <c r="H119" s="318"/>
      <c r="I119" s="318"/>
    </row>
    <row r="120" spans="1:9" s="314" customFormat="1" x14ac:dyDescent="0.2">
      <c r="A120" s="544">
        <v>109</v>
      </c>
      <c r="B120" s="319" t="s">
        <v>256</v>
      </c>
      <c r="C120" s="122" t="s">
        <v>257</v>
      </c>
      <c r="D120" s="318"/>
      <c r="E120" s="318"/>
      <c r="F120" s="318"/>
      <c r="G120" s="318"/>
      <c r="H120" s="318"/>
      <c r="I120" s="318"/>
    </row>
    <row r="121" spans="1:9" s="314" customFormat="1" x14ac:dyDescent="0.2">
      <c r="A121" s="544">
        <v>110</v>
      </c>
      <c r="B121" s="317" t="s">
        <v>258</v>
      </c>
      <c r="C121" s="122" t="s">
        <v>259</v>
      </c>
      <c r="D121" s="318"/>
      <c r="E121" s="318"/>
      <c r="F121" s="318"/>
      <c r="G121" s="318"/>
      <c r="H121" s="318"/>
      <c r="I121" s="318"/>
    </row>
    <row r="122" spans="1:9" s="314" customFormat="1" x14ac:dyDescent="0.2">
      <c r="A122" s="544">
        <v>111</v>
      </c>
      <c r="B122" s="329" t="s">
        <v>543</v>
      </c>
      <c r="C122" s="330" t="s">
        <v>544</v>
      </c>
      <c r="D122" s="318"/>
      <c r="E122" s="318"/>
      <c r="F122" s="318"/>
      <c r="G122" s="318"/>
      <c r="H122" s="318"/>
      <c r="I122" s="318"/>
    </row>
    <row r="123" spans="1:9" s="314" customFormat="1" x14ac:dyDescent="0.2">
      <c r="A123" s="544">
        <v>112</v>
      </c>
      <c r="B123" s="319" t="s">
        <v>260</v>
      </c>
      <c r="C123" s="122" t="s">
        <v>261</v>
      </c>
      <c r="D123" s="318"/>
      <c r="E123" s="318"/>
      <c r="F123" s="318"/>
      <c r="G123" s="318"/>
      <c r="H123" s="318"/>
      <c r="I123" s="318"/>
    </row>
    <row r="124" spans="1:9" s="314" customFormat="1" x14ac:dyDescent="0.2">
      <c r="A124" s="544">
        <v>113</v>
      </c>
      <c r="B124" s="545" t="s">
        <v>262</v>
      </c>
      <c r="C124" s="122" t="s">
        <v>263</v>
      </c>
      <c r="D124" s="318"/>
      <c r="E124" s="318"/>
      <c r="F124" s="318"/>
      <c r="G124" s="318"/>
      <c r="H124" s="318"/>
      <c r="I124" s="318"/>
    </row>
    <row r="125" spans="1:9" s="314" customFormat="1" x14ac:dyDescent="0.2">
      <c r="A125" s="544">
        <v>114</v>
      </c>
      <c r="B125" s="545" t="s">
        <v>264</v>
      </c>
      <c r="C125" s="549" t="s">
        <v>265</v>
      </c>
      <c r="D125" s="318"/>
      <c r="E125" s="318"/>
      <c r="F125" s="318"/>
      <c r="G125" s="318"/>
      <c r="H125" s="318"/>
      <c r="I125" s="318"/>
    </row>
    <row r="126" spans="1:9" s="314" customFormat="1" x14ac:dyDescent="0.2">
      <c r="A126" s="544">
        <v>115</v>
      </c>
      <c r="B126" s="545" t="s">
        <v>266</v>
      </c>
      <c r="C126" s="122" t="s">
        <v>267</v>
      </c>
      <c r="D126" s="318"/>
      <c r="E126" s="318"/>
      <c r="F126" s="318"/>
      <c r="G126" s="318"/>
      <c r="H126" s="318"/>
      <c r="I126" s="318"/>
    </row>
    <row r="127" spans="1:9" s="314" customFormat="1" x14ac:dyDescent="0.2">
      <c r="A127" s="544">
        <v>116</v>
      </c>
      <c r="B127" s="545" t="s">
        <v>268</v>
      </c>
      <c r="C127" s="122" t="s">
        <v>269</v>
      </c>
      <c r="D127" s="318"/>
      <c r="E127" s="318"/>
      <c r="F127" s="318"/>
      <c r="G127" s="318"/>
      <c r="H127" s="318"/>
      <c r="I127" s="318"/>
    </row>
    <row r="128" spans="1:9" s="314" customFormat="1" x14ac:dyDescent="0.2">
      <c r="A128" s="544">
        <v>117</v>
      </c>
      <c r="B128" s="545" t="s">
        <v>270</v>
      </c>
      <c r="C128" s="122" t="s">
        <v>271</v>
      </c>
      <c r="D128" s="318"/>
      <c r="E128" s="318"/>
      <c r="F128" s="318"/>
      <c r="G128" s="318"/>
      <c r="H128" s="318"/>
      <c r="I128" s="318"/>
    </row>
    <row r="129" spans="1:9" s="314" customFormat="1" x14ac:dyDescent="0.2">
      <c r="A129" s="544">
        <v>118</v>
      </c>
      <c r="B129" s="317" t="s">
        <v>272</v>
      </c>
      <c r="C129" s="122" t="s">
        <v>273</v>
      </c>
      <c r="D129" s="318"/>
      <c r="E129" s="318"/>
      <c r="F129" s="318"/>
      <c r="G129" s="318"/>
      <c r="H129" s="318"/>
      <c r="I129" s="318"/>
    </row>
    <row r="130" spans="1:9" s="314" customFormat="1" x14ac:dyDescent="0.2">
      <c r="A130" s="544">
        <v>119</v>
      </c>
      <c r="B130" s="317" t="s">
        <v>274</v>
      </c>
      <c r="C130" s="122" t="s">
        <v>275</v>
      </c>
      <c r="D130" s="318"/>
      <c r="E130" s="318"/>
      <c r="F130" s="318"/>
      <c r="G130" s="318"/>
      <c r="H130" s="318"/>
      <c r="I130" s="318"/>
    </row>
    <row r="131" spans="1:9" s="314" customFormat="1" x14ac:dyDescent="0.2">
      <c r="A131" s="544">
        <v>120</v>
      </c>
      <c r="B131" s="317" t="s">
        <v>276</v>
      </c>
      <c r="C131" s="122" t="s">
        <v>277</v>
      </c>
      <c r="D131" s="318"/>
      <c r="E131" s="318"/>
      <c r="F131" s="318"/>
      <c r="G131" s="318"/>
      <c r="H131" s="318"/>
      <c r="I131" s="318"/>
    </row>
    <row r="132" spans="1:9" s="314" customFormat="1" x14ac:dyDescent="0.2">
      <c r="A132" s="544">
        <v>121</v>
      </c>
      <c r="B132" s="545" t="s">
        <v>278</v>
      </c>
      <c r="C132" s="122" t="s">
        <v>279</v>
      </c>
      <c r="D132" s="318"/>
      <c r="E132" s="318"/>
      <c r="F132" s="318"/>
      <c r="G132" s="318"/>
      <c r="H132" s="318"/>
      <c r="I132" s="318"/>
    </row>
    <row r="133" spans="1:9" s="314" customFormat="1" x14ac:dyDescent="0.2">
      <c r="A133" s="544">
        <v>122</v>
      </c>
      <c r="B133" s="545" t="s">
        <v>280</v>
      </c>
      <c r="C133" s="122" t="s">
        <v>281</v>
      </c>
      <c r="D133" s="318"/>
      <c r="E133" s="318"/>
      <c r="F133" s="318"/>
      <c r="G133" s="318"/>
      <c r="H133" s="318"/>
      <c r="I133" s="318"/>
    </row>
    <row r="134" spans="1:9" s="314" customFormat="1" x14ac:dyDescent="0.2">
      <c r="A134" s="544">
        <v>123</v>
      </c>
      <c r="B134" s="545" t="s">
        <v>282</v>
      </c>
      <c r="C134" s="122" t="s">
        <v>772</v>
      </c>
      <c r="D134" s="318"/>
      <c r="E134" s="318"/>
      <c r="F134" s="318"/>
      <c r="G134" s="318"/>
      <c r="H134" s="318"/>
      <c r="I134" s="318"/>
    </row>
    <row r="135" spans="1:9" s="314" customFormat="1" x14ac:dyDescent="0.2">
      <c r="A135" s="544">
        <v>124</v>
      </c>
      <c r="B135" s="317" t="s">
        <v>283</v>
      </c>
      <c r="C135" s="122" t="s">
        <v>284</v>
      </c>
      <c r="D135" s="318">
        <f t="shared" si="7"/>
        <v>1097</v>
      </c>
      <c r="E135" s="318">
        <f t="shared" si="8"/>
        <v>4526</v>
      </c>
      <c r="F135" s="318">
        <v>65</v>
      </c>
      <c r="G135" s="318">
        <f t="shared" si="9"/>
        <v>780</v>
      </c>
      <c r="H135" s="318">
        <v>1032</v>
      </c>
      <c r="I135" s="318">
        <f t="shared" ref="I135:I136" si="14">ROUND(H135*3.6299,0)</f>
        <v>3746</v>
      </c>
    </row>
    <row r="136" spans="1:9" s="314" customFormat="1" x14ac:dyDescent="0.2">
      <c r="A136" s="544">
        <v>125</v>
      </c>
      <c r="B136" s="319" t="s">
        <v>285</v>
      </c>
      <c r="C136" s="122" t="s">
        <v>728</v>
      </c>
      <c r="D136" s="318">
        <f t="shared" si="7"/>
        <v>1199</v>
      </c>
      <c r="E136" s="318">
        <f t="shared" si="8"/>
        <v>5198</v>
      </c>
      <c r="F136" s="318">
        <v>101</v>
      </c>
      <c r="G136" s="318">
        <f t="shared" si="9"/>
        <v>1212</v>
      </c>
      <c r="H136" s="318">
        <v>1098</v>
      </c>
      <c r="I136" s="318">
        <f t="shared" si="14"/>
        <v>3986</v>
      </c>
    </row>
    <row r="137" spans="1:9" s="314" customFormat="1" x14ac:dyDescent="0.2">
      <c r="A137" s="544">
        <v>126</v>
      </c>
      <c r="B137" s="545" t="s">
        <v>286</v>
      </c>
      <c r="C137" s="122" t="s">
        <v>287</v>
      </c>
      <c r="D137" s="318"/>
      <c r="E137" s="318"/>
      <c r="F137" s="318"/>
      <c r="G137" s="318"/>
      <c r="H137" s="318"/>
      <c r="I137" s="318"/>
    </row>
    <row r="138" spans="1:9" s="314" customFormat="1" x14ac:dyDescent="0.2">
      <c r="A138" s="544">
        <v>127</v>
      </c>
      <c r="B138" s="317" t="s">
        <v>288</v>
      </c>
      <c r="C138" s="122" t="s">
        <v>289</v>
      </c>
      <c r="D138" s="318"/>
      <c r="E138" s="318"/>
      <c r="F138" s="318"/>
      <c r="G138" s="318"/>
      <c r="H138" s="318"/>
      <c r="I138" s="318"/>
    </row>
    <row r="139" spans="1:9" s="314" customFormat="1" x14ac:dyDescent="0.2">
      <c r="A139" s="544">
        <v>128</v>
      </c>
      <c r="B139" s="545" t="s">
        <v>290</v>
      </c>
      <c r="C139" s="122" t="s">
        <v>291</v>
      </c>
      <c r="D139" s="318"/>
      <c r="E139" s="318"/>
      <c r="F139" s="318"/>
      <c r="G139" s="318"/>
      <c r="H139" s="318"/>
      <c r="I139" s="318"/>
    </row>
    <row r="140" spans="1:9" s="314" customFormat="1" x14ac:dyDescent="0.2">
      <c r="A140" s="544">
        <v>129</v>
      </c>
      <c r="B140" s="123" t="s">
        <v>292</v>
      </c>
      <c r="C140" s="126" t="s">
        <v>293</v>
      </c>
      <c r="D140" s="318"/>
      <c r="E140" s="318"/>
      <c r="F140" s="318"/>
      <c r="G140" s="318"/>
      <c r="H140" s="318"/>
      <c r="I140" s="318"/>
    </row>
    <row r="141" spans="1:9" s="314" customFormat="1" x14ac:dyDescent="0.2">
      <c r="A141" s="544">
        <v>130</v>
      </c>
      <c r="B141" s="125" t="s">
        <v>294</v>
      </c>
      <c r="C141" s="126" t="s">
        <v>295</v>
      </c>
      <c r="D141" s="318"/>
      <c r="E141" s="318"/>
      <c r="F141" s="318"/>
      <c r="G141" s="318"/>
      <c r="H141" s="318"/>
      <c r="I141" s="318"/>
    </row>
    <row r="142" spans="1:9" s="314" customFormat="1" x14ac:dyDescent="0.2">
      <c r="A142" s="544">
        <v>131</v>
      </c>
      <c r="B142" s="123" t="s">
        <v>296</v>
      </c>
      <c r="C142" s="126" t="s">
        <v>323</v>
      </c>
      <c r="D142" s="318"/>
      <c r="E142" s="318"/>
      <c r="F142" s="318"/>
      <c r="G142" s="318"/>
      <c r="H142" s="318"/>
      <c r="I142" s="318"/>
    </row>
    <row r="143" spans="1:9" s="314" customFormat="1" x14ac:dyDescent="0.2">
      <c r="A143" s="544">
        <v>132</v>
      </c>
      <c r="B143" s="544" t="s">
        <v>298</v>
      </c>
      <c r="C143" s="550" t="s">
        <v>299</v>
      </c>
      <c r="D143" s="318"/>
      <c r="E143" s="318"/>
      <c r="F143" s="318"/>
      <c r="G143" s="318"/>
      <c r="H143" s="318"/>
      <c r="I143" s="318"/>
    </row>
    <row r="144" spans="1:9" s="314" customFormat="1" x14ac:dyDescent="0.2">
      <c r="A144" s="544">
        <v>133</v>
      </c>
      <c r="B144" s="324" t="s">
        <v>300</v>
      </c>
      <c r="C144" s="550" t="s">
        <v>301</v>
      </c>
      <c r="D144" s="318"/>
      <c r="E144" s="318"/>
      <c r="F144" s="318"/>
      <c r="G144" s="318"/>
      <c r="H144" s="318"/>
      <c r="I144" s="318"/>
    </row>
    <row r="145" spans="1:10" s="314" customFormat="1" x14ac:dyDescent="0.2">
      <c r="A145" s="544">
        <v>134</v>
      </c>
      <c r="B145" s="325" t="s">
        <v>302</v>
      </c>
      <c r="C145" s="551" t="s">
        <v>303</v>
      </c>
      <c r="D145" s="318"/>
      <c r="E145" s="318"/>
      <c r="F145" s="318"/>
      <c r="G145" s="318"/>
      <c r="H145" s="318"/>
      <c r="I145" s="318"/>
    </row>
    <row r="146" spans="1:10" s="314" customFormat="1" x14ac:dyDescent="0.2">
      <c r="A146" s="552">
        <v>135</v>
      </c>
      <c r="B146" s="165" t="s">
        <v>304</v>
      </c>
      <c r="C146" s="164" t="s">
        <v>305</v>
      </c>
      <c r="D146" s="318"/>
      <c r="E146" s="318"/>
      <c r="F146" s="318"/>
      <c r="G146" s="318"/>
      <c r="H146" s="318"/>
      <c r="I146" s="318"/>
    </row>
    <row r="148" spans="1:10" s="314" customFormat="1" x14ac:dyDescent="0.2">
      <c r="A148" s="313"/>
      <c r="B148" s="313"/>
      <c r="C148" s="313"/>
      <c r="D148" s="313"/>
      <c r="E148" s="313"/>
      <c r="F148" s="313"/>
      <c r="G148" s="313"/>
      <c r="J148" s="313"/>
    </row>
  </sheetData>
  <mergeCells count="13">
    <mergeCell ref="A8:C8"/>
    <mergeCell ref="A89:A92"/>
    <mergeCell ref="B89:B92"/>
    <mergeCell ref="A2:A6"/>
    <mergeCell ref="B2:B6"/>
    <mergeCell ref="C2:C6"/>
    <mergeCell ref="A1:I1"/>
    <mergeCell ref="D2:I2"/>
    <mergeCell ref="D3:I3"/>
    <mergeCell ref="D4:E5"/>
    <mergeCell ref="F4:I4"/>
    <mergeCell ref="F5:G5"/>
    <mergeCell ref="H5:I5"/>
  </mergeCells>
  <pageMargins left="0" right="0" top="0" bottom="0" header="0.31496062992125984" footer="0.31496062992125984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P151"/>
  <sheetViews>
    <sheetView zoomScale="110" zoomScaleNormal="110" workbookViewId="0">
      <pane xSplit="3" ySplit="9" topLeftCell="D10" activePane="bottomRight" state="frozen"/>
      <selection pane="topRight" activeCell="D1" sqref="D1"/>
      <selection pane="bottomLeft" activeCell="A9" sqref="A9"/>
      <selection pane="bottomRight" activeCell="R91" sqref="R91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2.5703125" style="2" customWidth="1"/>
    <col min="4" max="4" width="8.85546875" style="5" customWidth="1"/>
    <col min="5" max="5" width="7.5703125" style="5" customWidth="1"/>
    <col min="6" max="6" width="6.85546875" style="5" customWidth="1"/>
    <col min="7" max="7" width="7.85546875" style="5" customWidth="1"/>
    <col min="8" max="8" width="7" style="5" bestFit="1" customWidth="1"/>
    <col min="9" max="9" width="6.7109375" style="5" customWidth="1"/>
    <col min="10" max="10" width="5.85546875" style="5" customWidth="1"/>
    <col min="11" max="11" width="8.7109375" style="5" customWidth="1"/>
    <col min="12" max="12" width="7" style="5" bestFit="1" customWidth="1"/>
    <col min="13" max="13" width="7.28515625" style="5" bestFit="1" customWidth="1"/>
    <col min="14" max="14" width="7" style="5" bestFit="1" customWidth="1"/>
    <col min="15" max="15" width="9.7109375" style="5" bestFit="1" customWidth="1"/>
    <col min="16" max="16" width="6.5703125" style="5" bestFit="1" customWidth="1"/>
    <col min="17" max="16384" width="9.140625" style="5"/>
  </cols>
  <sheetData>
    <row r="2" spans="1:16" ht="15.75" x14ac:dyDescent="0.25">
      <c r="A2" s="1143" t="s">
        <v>548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</row>
    <row r="3" spans="1:16" x14ac:dyDescent="0.25">
      <c r="C3" s="6"/>
      <c r="E3" s="32"/>
      <c r="M3" s="1153"/>
      <c r="N3" s="1153"/>
      <c r="O3" s="1153"/>
    </row>
    <row r="4" spans="1:16" s="10" customFormat="1" ht="12" customHeight="1" x14ac:dyDescent="0.25">
      <c r="A4" s="1141" t="s">
        <v>0</v>
      </c>
      <c r="B4" s="1141" t="s">
        <v>1</v>
      </c>
      <c r="C4" s="1151" t="s">
        <v>2</v>
      </c>
      <c r="D4" s="1144" t="s">
        <v>496</v>
      </c>
      <c r="E4" s="1145"/>
      <c r="F4" s="1145"/>
      <c r="G4" s="1145"/>
      <c r="H4" s="1146"/>
      <c r="I4" s="1144" t="s">
        <v>497</v>
      </c>
      <c r="J4" s="1145"/>
      <c r="K4" s="1145"/>
      <c r="L4" s="1146"/>
      <c r="M4" s="1141" t="s">
        <v>498</v>
      </c>
      <c r="N4" s="1148" t="s">
        <v>499</v>
      </c>
      <c r="O4" s="1149"/>
      <c r="P4" s="1150"/>
    </row>
    <row r="5" spans="1:16" ht="24" x14ac:dyDescent="0.25">
      <c r="A5" s="1142"/>
      <c r="B5" s="1142"/>
      <c r="C5" s="1152"/>
      <c r="D5" s="168" t="s">
        <v>500</v>
      </c>
      <c r="E5" s="168" t="s">
        <v>501</v>
      </c>
      <c r="F5" s="168" t="s">
        <v>502</v>
      </c>
      <c r="G5" s="168" t="s">
        <v>503</v>
      </c>
      <c r="H5" s="169" t="s">
        <v>13</v>
      </c>
      <c r="I5" s="168" t="s">
        <v>501</v>
      </c>
      <c r="J5" s="168" t="s">
        <v>502</v>
      </c>
      <c r="K5" s="168" t="s">
        <v>503</v>
      </c>
      <c r="L5" s="169" t="s">
        <v>13</v>
      </c>
      <c r="M5" s="1147"/>
      <c r="N5" s="158" t="s">
        <v>504</v>
      </c>
      <c r="O5" s="173" t="s">
        <v>505</v>
      </c>
      <c r="P5" s="158" t="s">
        <v>13</v>
      </c>
    </row>
    <row r="6" spans="1:16" x14ac:dyDescent="0.25">
      <c r="A6" s="1134" t="s">
        <v>13</v>
      </c>
      <c r="B6" s="1134"/>
      <c r="C6" s="1134"/>
      <c r="D6" s="171">
        <f>D7+D9+D8</f>
        <v>11988</v>
      </c>
      <c r="E6" s="171">
        <f t="shared" ref="E6:P6" si="0">E7+E9+E8</f>
        <v>169686</v>
      </c>
      <c r="F6" s="171">
        <f t="shared" si="0"/>
        <v>1644</v>
      </c>
      <c r="G6" s="171">
        <f t="shared" si="0"/>
        <v>38144</v>
      </c>
      <c r="H6" s="171">
        <f t="shared" si="0"/>
        <v>221462</v>
      </c>
      <c r="I6" s="171">
        <f t="shared" si="0"/>
        <v>75195</v>
      </c>
      <c r="J6" s="171">
        <f t="shared" si="0"/>
        <v>4018</v>
      </c>
      <c r="K6" s="171">
        <f t="shared" si="0"/>
        <v>5306</v>
      </c>
      <c r="L6" s="171">
        <f t="shared" si="0"/>
        <v>84519</v>
      </c>
      <c r="M6" s="171">
        <f t="shared" si="0"/>
        <v>7983</v>
      </c>
      <c r="N6" s="171">
        <f t="shared" si="0"/>
        <v>11341</v>
      </c>
      <c r="O6" s="171">
        <f t="shared" si="0"/>
        <v>3171</v>
      </c>
      <c r="P6" s="171">
        <f t="shared" si="0"/>
        <v>14512</v>
      </c>
    </row>
    <row r="7" spans="1:16" x14ac:dyDescent="0.25">
      <c r="A7" s="16"/>
      <c r="B7" s="16"/>
      <c r="C7" s="17" t="s">
        <v>14</v>
      </c>
      <c r="D7" s="147"/>
      <c r="E7" s="147">
        <v>1900</v>
      </c>
      <c r="F7" s="147"/>
      <c r="G7" s="147"/>
      <c r="H7" s="147">
        <f>E7+F7+G7+D7</f>
        <v>1900</v>
      </c>
      <c r="I7" s="147"/>
      <c r="J7" s="147">
        <v>660</v>
      </c>
      <c r="K7" s="147"/>
      <c r="L7" s="147">
        <f>I7+J7+K7</f>
        <v>660</v>
      </c>
      <c r="M7" s="174"/>
      <c r="N7" s="174"/>
      <c r="O7" s="147"/>
      <c r="P7" s="147">
        <f>M7+N7+O7</f>
        <v>0</v>
      </c>
    </row>
    <row r="8" spans="1:16" x14ac:dyDescent="0.25">
      <c r="A8" s="16"/>
      <c r="B8" s="16"/>
      <c r="C8" s="17" t="s">
        <v>546</v>
      </c>
      <c r="D8" s="147"/>
      <c r="E8" s="147"/>
      <c r="F8" s="147"/>
      <c r="G8" s="147">
        <v>273</v>
      </c>
      <c r="H8" s="147">
        <f>E8+F8+G8+D8</f>
        <v>273</v>
      </c>
      <c r="I8" s="147">
        <v>322</v>
      </c>
      <c r="J8" s="147">
        <v>15</v>
      </c>
      <c r="K8" s="147"/>
      <c r="L8" s="147">
        <f>I8+J8+K8</f>
        <v>337</v>
      </c>
      <c r="M8" s="174"/>
      <c r="N8" s="174"/>
      <c r="O8" s="147"/>
      <c r="P8" s="147">
        <f>M8+N8+O8</f>
        <v>0</v>
      </c>
    </row>
    <row r="9" spans="1:16" s="10" customFormat="1" x14ac:dyDescent="0.25">
      <c r="A9" s="1134" t="s">
        <v>15</v>
      </c>
      <c r="B9" s="1134"/>
      <c r="C9" s="1134"/>
      <c r="D9" s="171">
        <f>SUM(D10:D147)-D35-D73-D74-D76-D77-D78-D83-D86-D90</f>
        <v>11988</v>
      </c>
      <c r="E9" s="171">
        <f t="shared" ref="E9:P9" si="1">SUM(E10:E147)-E35-E73-E74-E76-E77-E78-E83-E86-E90</f>
        <v>167786</v>
      </c>
      <c r="F9" s="171">
        <f t="shared" si="1"/>
        <v>1644</v>
      </c>
      <c r="G9" s="171">
        <f t="shared" si="1"/>
        <v>37871</v>
      </c>
      <c r="H9" s="171">
        <f t="shared" si="1"/>
        <v>219289</v>
      </c>
      <c r="I9" s="171">
        <f t="shared" si="1"/>
        <v>74873</v>
      </c>
      <c r="J9" s="171">
        <f t="shared" si="1"/>
        <v>3343</v>
      </c>
      <c r="K9" s="171">
        <f t="shared" si="1"/>
        <v>5306</v>
      </c>
      <c r="L9" s="171">
        <f t="shared" si="1"/>
        <v>83522</v>
      </c>
      <c r="M9" s="171">
        <f t="shared" si="1"/>
        <v>7983</v>
      </c>
      <c r="N9" s="171">
        <f t="shared" si="1"/>
        <v>11341</v>
      </c>
      <c r="O9" s="171">
        <f t="shared" si="1"/>
        <v>3171</v>
      </c>
      <c r="P9" s="171">
        <f t="shared" si="1"/>
        <v>14512</v>
      </c>
    </row>
    <row r="10" spans="1:16" s="20" customFormat="1" x14ac:dyDescent="0.25">
      <c r="A10" s="146">
        <v>1</v>
      </c>
      <c r="B10" s="49" t="s">
        <v>54</v>
      </c>
      <c r="C10" s="50" t="s">
        <v>55</v>
      </c>
      <c r="D10" s="147">
        <v>0</v>
      </c>
      <c r="E10" s="147">
        <v>0</v>
      </c>
      <c r="F10" s="147">
        <v>0</v>
      </c>
      <c r="G10" s="147">
        <v>0</v>
      </c>
      <c r="H10" s="147">
        <f t="shared" ref="H10:H71" si="2">D10+E10+F10+G10</f>
        <v>0</v>
      </c>
      <c r="I10" s="147">
        <v>0</v>
      </c>
      <c r="J10" s="147">
        <v>0</v>
      </c>
      <c r="K10" s="147">
        <v>0</v>
      </c>
      <c r="L10" s="147">
        <f>I10+J10+K10</f>
        <v>0</v>
      </c>
      <c r="M10" s="147">
        <v>0</v>
      </c>
      <c r="N10" s="147">
        <v>0</v>
      </c>
      <c r="O10" s="147">
        <v>0</v>
      </c>
      <c r="P10" s="147">
        <f>N10+O10</f>
        <v>0</v>
      </c>
    </row>
    <row r="11" spans="1:16" s="20" customFormat="1" x14ac:dyDescent="0.25">
      <c r="A11" s="146">
        <v>2</v>
      </c>
      <c r="B11" s="52" t="s">
        <v>56</v>
      </c>
      <c r="C11" s="50" t="s">
        <v>57</v>
      </c>
      <c r="D11" s="147">
        <v>0</v>
      </c>
      <c r="E11" s="147">
        <v>0</v>
      </c>
      <c r="F11" s="147">
        <v>0</v>
      </c>
      <c r="G11" s="147">
        <v>0</v>
      </c>
      <c r="H11" s="147">
        <f t="shared" si="2"/>
        <v>0</v>
      </c>
      <c r="I11" s="147">
        <v>0</v>
      </c>
      <c r="J11" s="147">
        <v>0</v>
      </c>
      <c r="K11" s="147">
        <v>0</v>
      </c>
      <c r="L11" s="147">
        <f t="shared" ref="L11:L71" si="3">I11+J11+K11</f>
        <v>0</v>
      </c>
      <c r="M11" s="147">
        <v>0</v>
      </c>
      <c r="N11" s="147">
        <v>0</v>
      </c>
      <c r="O11" s="147">
        <v>0</v>
      </c>
      <c r="P11" s="147">
        <f t="shared" ref="P11:P71" si="4">N11+O11</f>
        <v>0</v>
      </c>
    </row>
    <row r="12" spans="1:16" s="10" customFormat="1" x14ac:dyDescent="0.25">
      <c r="A12" s="146">
        <v>3</v>
      </c>
      <c r="B12" s="167" t="s">
        <v>16</v>
      </c>
      <c r="C12" s="50" t="s">
        <v>17</v>
      </c>
      <c r="D12" s="147">
        <v>0</v>
      </c>
      <c r="E12" s="147">
        <v>4044</v>
      </c>
      <c r="F12" s="147">
        <v>0</v>
      </c>
      <c r="G12" s="147">
        <v>660</v>
      </c>
      <c r="H12" s="147">
        <f t="shared" si="2"/>
        <v>4704</v>
      </c>
      <c r="I12" s="147">
        <v>0</v>
      </c>
      <c r="J12" s="147">
        <v>0</v>
      </c>
      <c r="K12" s="147">
        <v>0</v>
      </c>
      <c r="L12" s="147">
        <f t="shared" si="3"/>
        <v>0</v>
      </c>
      <c r="M12" s="147">
        <v>0</v>
      </c>
      <c r="N12" s="147">
        <v>0</v>
      </c>
      <c r="O12" s="147">
        <v>0</v>
      </c>
      <c r="P12" s="147">
        <f t="shared" si="4"/>
        <v>0</v>
      </c>
    </row>
    <row r="13" spans="1:16" s="27" customFormat="1" x14ac:dyDescent="0.25">
      <c r="A13" s="146">
        <v>4</v>
      </c>
      <c r="B13" s="49" t="s">
        <v>58</v>
      </c>
      <c r="C13" s="50" t="s">
        <v>59</v>
      </c>
      <c r="D13" s="147">
        <v>0</v>
      </c>
      <c r="E13" s="147">
        <v>0</v>
      </c>
      <c r="F13" s="147">
        <v>0</v>
      </c>
      <c r="G13" s="147">
        <v>0</v>
      </c>
      <c r="H13" s="147">
        <f t="shared" si="2"/>
        <v>0</v>
      </c>
      <c r="I13" s="147">
        <v>0</v>
      </c>
      <c r="J13" s="147">
        <v>0</v>
      </c>
      <c r="K13" s="147">
        <v>0</v>
      </c>
      <c r="L13" s="147">
        <f t="shared" si="3"/>
        <v>0</v>
      </c>
      <c r="M13" s="147">
        <v>0</v>
      </c>
      <c r="N13" s="147">
        <v>0</v>
      </c>
      <c r="O13" s="147">
        <v>0</v>
      </c>
      <c r="P13" s="147">
        <f t="shared" si="4"/>
        <v>0</v>
      </c>
    </row>
    <row r="14" spans="1:16" s="27" customFormat="1" x14ac:dyDescent="0.25">
      <c r="A14" s="146">
        <v>5</v>
      </c>
      <c r="B14" s="49" t="s">
        <v>60</v>
      </c>
      <c r="C14" s="50" t="s">
        <v>61</v>
      </c>
      <c r="D14" s="147">
        <v>0</v>
      </c>
      <c r="E14" s="147">
        <v>0</v>
      </c>
      <c r="F14" s="147">
        <v>0</v>
      </c>
      <c r="G14" s="147">
        <v>0</v>
      </c>
      <c r="H14" s="147">
        <f t="shared" si="2"/>
        <v>0</v>
      </c>
      <c r="I14" s="147">
        <v>0</v>
      </c>
      <c r="J14" s="147">
        <v>0</v>
      </c>
      <c r="K14" s="147">
        <v>0</v>
      </c>
      <c r="L14" s="147">
        <f t="shared" si="3"/>
        <v>0</v>
      </c>
      <c r="M14" s="147">
        <v>0</v>
      </c>
      <c r="N14" s="147">
        <v>0</v>
      </c>
      <c r="O14" s="147">
        <v>0</v>
      </c>
      <c r="P14" s="147">
        <f t="shared" si="4"/>
        <v>0</v>
      </c>
    </row>
    <row r="15" spans="1:16" s="149" customFormat="1" x14ac:dyDescent="0.25">
      <c r="A15" s="146">
        <v>6</v>
      </c>
      <c r="B15" s="167" t="s">
        <v>18</v>
      </c>
      <c r="C15" s="50" t="s">
        <v>19</v>
      </c>
      <c r="D15" s="147">
        <v>0</v>
      </c>
      <c r="E15" s="147">
        <v>6013</v>
      </c>
      <c r="F15" s="147">
        <v>108</v>
      </c>
      <c r="G15" s="147">
        <v>979</v>
      </c>
      <c r="H15" s="147">
        <f t="shared" si="2"/>
        <v>7100</v>
      </c>
      <c r="I15" s="147">
        <v>3615</v>
      </c>
      <c r="J15" s="147">
        <v>0</v>
      </c>
      <c r="K15" s="147">
        <v>0</v>
      </c>
      <c r="L15" s="147">
        <f t="shared" si="3"/>
        <v>3615</v>
      </c>
      <c r="M15" s="147">
        <v>0</v>
      </c>
      <c r="N15" s="147">
        <v>0</v>
      </c>
      <c r="O15" s="147">
        <v>0</v>
      </c>
      <c r="P15" s="147">
        <f t="shared" si="4"/>
        <v>0</v>
      </c>
    </row>
    <row r="16" spans="1:16" s="27" customFormat="1" x14ac:dyDescent="0.25">
      <c r="A16" s="146">
        <v>7</v>
      </c>
      <c r="B16" s="49" t="s">
        <v>62</v>
      </c>
      <c r="C16" s="50" t="s">
        <v>63</v>
      </c>
      <c r="D16" s="147">
        <v>0</v>
      </c>
      <c r="E16" s="147">
        <v>2294</v>
      </c>
      <c r="F16" s="147">
        <v>0</v>
      </c>
      <c r="G16" s="147">
        <v>373</v>
      </c>
      <c r="H16" s="147">
        <f t="shared" si="2"/>
        <v>2667</v>
      </c>
      <c r="I16" s="147">
        <v>0</v>
      </c>
      <c r="J16" s="147">
        <v>0</v>
      </c>
      <c r="K16" s="147">
        <v>0</v>
      </c>
      <c r="L16" s="147">
        <f t="shared" si="3"/>
        <v>0</v>
      </c>
      <c r="M16" s="147">
        <v>0</v>
      </c>
      <c r="N16" s="147">
        <v>0</v>
      </c>
      <c r="O16" s="147">
        <v>0</v>
      </c>
      <c r="P16" s="147">
        <f t="shared" si="4"/>
        <v>0</v>
      </c>
    </row>
    <row r="17" spans="1:16" s="27" customFormat="1" x14ac:dyDescent="0.25">
      <c r="A17" s="146">
        <v>8</v>
      </c>
      <c r="B17" s="167" t="s">
        <v>64</v>
      </c>
      <c r="C17" s="50" t="s">
        <v>65</v>
      </c>
      <c r="D17" s="147">
        <v>0</v>
      </c>
      <c r="E17" s="147">
        <v>0</v>
      </c>
      <c r="F17" s="147">
        <v>0</v>
      </c>
      <c r="G17" s="147">
        <v>0</v>
      </c>
      <c r="H17" s="147">
        <f t="shared" si="2"/>
        <v>0</v>
      </c>
      <c r="I17" s="147">
        <v>0</v>
      </c>
      <c r="J17" s="147">
        <v>0</v>
      </c>
      <c r="K17" s="147">
        <v>0</v>
      </c>
      <c r="L17" s="147">
        <f t="shared" si="3"/>
        <v>0</v>
      </c>
      <c r="M17" s="147">
        <v>0</v>
      </c>
      <c r="N17" s="147">
        <v>0</v>
      </c>
      <c r="O17" s="147">
        <v>0</v>
      </c>
      <c r="P17" s="147">
        <f t="shared" si="4"/>
        <v>0</v>
      </c>
    </row>
    <row r="18" spans="1:16" s="149" customFormat="1" x14ac:dyDescent="0.25">
      <c r="A18" s="146">
        <v>9</v>
      </c>
      <c r="B18" s="167" t="s">
        <v>66</v>
      </c>
      <c r="C18" s="50" t="s">
        <v>67</v>
      </c>
      <c r="D18" s="147">
        <v>0</v>
      </c>
      <c r="E18" s="147">
        <v>0</v>
      </c>
      <c r="F18" s="147">
        <v>0</v>
      </c>
      <c r="G18" s="147">
        <v>0</v>
      </c>
      <c r="H18" s="147">
        <f t="shared" si="2"/>
        <v>0</v>
      </c>
      <c r="I18" s="147">
        <v>0</v>
      </c>
      <c r="J18" s="147">
        <v>0</v>
      </c>
      <c r="K18" s="147">
        <v>0</v>
      </c>
      <c r="L18" s="147">
        <f t="shared" si="3"/>
        <v>0</v>
      </c>
      <c r="M18" s="147">
        <v>0</v>
      </c>
      <c r="N18" s="147">
        <v>0</v>
      </c>
      <c r="O18" s="147">
        <v>0</v>
      </c>
      <c r="P18" s="147">
        <f t="shared" si="4"/>
        <v>0</v>
      </c>
    </row>
    <row r="19" spans="1:16" s="27" customFormat="1" x14ac:dyDescent="0.25">
      <c r="A19" s="146">
        <v>10</v>
      </c>
      <c r="B19" s="167" t="s">
        <v>68</v>
      </c>
      <c r="C19" s="50" t="s">
        <v>69</v>
      </c>
      <c r="D19" s="147">
        <v>0</v>
      </c>
      <c r="E19" s="147">
        <v>0</v>
      </c>
      <c r="F19" s="147">
        <v>0</v>
      </c>
      <c r="G19" s="147">
        <v>0</v>
      </c>
      <c r="H19" s="147">
        <f t="shared" si="2"/>
        <v>0</v>
      </c>
      <c r="I19" s="147">
        <v>0</v>
      </c>
      <c r="J19" s="147">
        <v>0</v>
      </c>
      <c r="K19" s="147">
        <v>0</v>
      </c>
      <c r="L19" s="147">
        <f t="shared" si="3"/>
        <v>0</v>
      </c>
      <c r="M19" s="147">
        <v>0</v>
      </c>
      <c r="N19" s="147">
        <v>0</v>
      </c>
      <c r="O19" s="147">
        <v>0</v>
      </c>
      <c r="P19" s="147">
        <f t="shared" si="4"/>
        <v>0</v>
      </c>
    </row>
    <row r="20" spans="1:16" s="27" customFormat="1" x14ac:dyDescent="0.25">
      <c r="A20" s="146">
        <v>11</v>
      </c>
      <c r="B20" s="167" t="s">
        <v>70</v>
      </c>
      <c r="C20" s="50" t="s">
        <v>71</v>
      </c>
      <c r="D20" s="147">
        <v>0</v>
      </c>
      <c r="E20" s="147">
        <v>0</v>
      </c>
      <c r="F20" s="147">
        <v>0</v>
      </c>
      <c r="G20" s="147">
        <v>0</v>
      </c>
      <c r="H20" s="147">
        <f t="shared" si="2"/>
        <v>0</v>
      </c>
      <c r="I20" s="147">
        <v>0</v>
      </c>
      <c r="J20" s="147">
        <v>0</v>
      </c>
      <c r="K20" s="147">
        <v>0</v>
      </c>
      <c r="L20" s="147">
        <f t="shared" si="3"/>
        <v>0</v>
      </c>
      <c r="M20" s="147">
        <v>0</v>
      </c>
      <c r="N20" s="147">
        <v>0</v>
      </c>
      <c r="O20" s="147">
        <v>0</v>
      </c>
      <c r="P20" s="147">
        <f t="shared" si="4"/>
        <v>0</v>
      </c>
    </row>
    <row r="21" spans="1:16" s="27" customFormat="1" x14ac:dyDescent="0.25">
      <c r="A21" s="146">
        <v>12</v>
      </c>
      <c r="B21" s="167" t="s">
        <v>72</v>
      </c>
      <c r="C21" s="50" t="s">
        <v>73</v>
      </c>
      <c r="D21" s="147">
        <v>0</v>
      </c>
      <c r="E21" s="147">
        <v>1114</v>
      </c>
      <c r="F21" s="147">
        <v>0</v>
      </c>
      <c r="G21" s="147">
        <v>182</v>
      </c>
      <c r="H21" s="147">
        <f t="shared" si="2"/>
        <v>1296</v>
      </c>
      <c r="I21" s="147">
        <v>0</v>
      </c>
      <c r="J21" s="147">
        <v>0</v>
      </c>
      <c r="K21" s="147">
        <v>0</v>
      </c>
      <c r="L21" s="147">
        <f t="shared" si="3"/>
        <v>0</v>
      </c>
      <c r="M21" s="147">
        <v>0</v>
      </c>
      <c r="N21" s="147">
        <v>0</v>
      </c>
      <c r="O21" s="147">
        <v>0</v>
      </c>
      <c r="P21" s="147">
        <f t="shared" si="4"/>
        <v>0</v>
      </c>
    </row>
    <row r="22" spans="1:16" s="27" customFormat="1" x14ac:dyDescent="0.25">
      <c r="A22" s="146">
        <v>13</v>
      </c>
      <c r="B22" s="167" t="s">
        <v>74</v>
      </c>
      <c r="C22" s="50" t="s">
        <v>75</v>
      </c>
      <c r="D22" s="147">
        <v>0</v>
      </c>
      <c r="E22" s="147">
        <v>0</v>
      </c>
      <c r="F22" s="147">
        <v>0</v>
      </c>
      <c r="G22" s="147">
        <v>0</v>
      </c>
      <c r="H22" s="147">
        <f t="shared" si="2"/>
        <v>0</v>
      </c>
      <c r="I22" s="147">
        <v>0</v>
      </c>
      <c r="J22" s="147">
        <v>0</v>
      </c>
      <c r="K22" s="147">
        <v>0</v>
      </c>
      <c r="L22" s="147">
        <f t="shared" si="3"/>
        <v>0</v>
      </c>
      <c r="M22" s="147">
        <v>0</v>
      </c>
      <c r="N22" s="147">
        <v>0</v>
      </c>
      <c r="O22" s="147">
        <v>0</v>
      </c>
      <c r="P22" s="147">
        <f t="shared" si="4"/>
        <v>0</v>
      </c>
    </row>
    <row r="23" spans="1:16" s="27" customFormat="1" x14ac:dyDescent="0.25">
      <c r="A23" s="146">
        <v>14</v>
      </c>
      <c r="B23" s="167" t="s">
        <v>76</v>
      </c>
      <c r="C23" s="50" t="s">
        <v>77</v>
      </c>
      <c r="D23" s="147">
        <v>0</v>
      </c>
      <c r="E23" s="147">
        <v>0</v>
      </c>
      <c r="F23" s="147">
        <v>0</v>
      </c>
      <c r="G23" s="147">
        <v>0</v>
      </c>
      <c r="H23" s="147">
        <f t="shared" si="2"/>
        <v>0</v>
      </c>
      <c r="I23" s="147">
        <v>0</v>
      </c>
      <c r="J23" s="147">
        <v>0</v>
      </c>
      <c r="K23" s="147">
        <v>0</v>
      </c>
      <c r="L23" s="147">
        <f t="shared" si="3"/>
        <v>0</v>
      </c>
      <c r="M23" s="147">
        <v>0</v>
      </c>
      <c r="N23" s="147">
        <v>0</v>
      </c>
      <c r="O23" s="147">
        <v>0</v>
      </c>
      <c r="P23" s="147">
        <f t="shared" si="4"/>
        <v>0</v>
      </c>
    </row>
    <row r="24" spans="1:16" s="27" customFormat="1" x14ac:dyDescent="0.25">
      <c r="A24" s="146">
        <v>15</v>
      </c>
      <c r="B24" s="167" t="s">
        <v>78</v>
      </c>
      <c r="C24" s="50" t="s">
        <v>79</v>
      </c>
      <c r="D24" s="147">
        <v>0</v>
      </c>
      <c r="E24" s="147">
        <v>998</v>
      </c>
      <c r="F24" s="147">
        <v>18</v>
      </c>
      <c r="G24" s="147">
        <v>0</v>
      </c>
      <c r="H24" s="147">
        <f t="shared" si="2"/>
        <v>1016</v>
      </c>
      <c r="I24" s="147">
        <v>0</v>
      </c>
      <c r="J24" s="147">
        <v>0</v>
      </c>
      <c r="K24" s="147">
        <v>0</v>
      </c>
      <c r="L24" s="147">
        <f t="shared" si="3"/>
        <v>0</v>
      </c>
      <c r="M24" s="147">
        <v>0</v>
      </c>
      <c r="N24" s="147">
        <v>0</v>
      </c>
      <c r="O24" s="147">
        <v>0</v>
      </c>
      <c r="P24" s="147">
        <f t="shared" si="4"/>
        <v>0</v>
      </c>
    </row>
    <row r="25" spans="1:16" s="27" customFormat="1" x14ac:dyDescent="0.25">
      <c r="A25" s="146">
        <v>16</v>
      </c>
      <c r="B25" s="167" t="s">
        <v>80</v>
      </c>
      <c r="C25" s="50" t="s">
        <v>81</v>
      </c>
      <c r="D25" s="147">
        <v>0</v>
      </c>
      <c r="E25" s="147">
        <v>1649</v>
      </c>
      <c r="F25" s="147">
        <v>31</v>
      </c>
      <c r="G25" s="147">
        <v>269</v>
      </c>
      <c r="H25" s="147">
        <f t="shared" si="2"/>
        <v>1949</v>
      </c>
      <c r="I25" s="147">
        <v>0</v>
      </c>
      <c r="J25" s="147">
        <v>0</v>
      </c>
      <c r="K25" s="147">
        <v>0</v>
      </c>
      <c r="L25" s="147">
        <f t="shared" si="3"/>
        <v>0</v>
      </c>
      <c r="M25" s="147">
        <v>0</v>
      </c>
      <c r="N25" s="147">
        <v>0</v>
      </c>
      <c r="O25" s="147">
        <v>0</v>
      </c>
      <c r="P25" s="147">
        <f t="shared" si="4"/>
        <v>0</v>
      </c>
    </row>
    <row r="26" spans="1:16" s="27" customFormat="1" x14ac:dyDescent="0.25">
      <c r="A26" s="146">
        <v>17</v>
      </c>
      <c r="B26" s="167" t="s">
        <v>20</v>
      </c>
      <c r="C26" s="50" t="s">
        <v>21</v>
      </c>
      <c r="D26" s="147">
        <v>0</v>
      </c>
      <c r="E26" s="147">
        <v>3407</v>
      </c>
      <c r="F26" s="147">
        <v>0</v>
      </c>
      <c r="G26" s="147">
        <v>822</v>
      </c>
      <c r="H26" s="147">
        <f t="shared" si="2"/>
        <v>4229</v>
      </c>
      <c r="I26" s="147">
        <v>2562</v>
      </c>
      <c r="J26" s="147">
        <v>0</v>
      </c>
      <c r="K26" s="147">
        <v>0</v>
      </c>
      <c r="L26" s="147">
        <f t="shared" si="3"/>
        <v>2562</v>
      </c>
      <c r="M26" s="147">
        <v>0</v>
      </c>
      <c r="N26" s="147">
        <v>0</v>
      </c>
      <c r="O26" s="147">
        <v>0</v>
      </c>
      <c r="P26" s="147">
        <f t="shared" si="4"/>
        <v>0</v>
      </c>
    </row>
    <row r="27" spans="1:16" s="27" customFormat="1" x14ac:dyDescent="0.25">
      <c r="A27" s="146">
        <v>18</v>
      </c>
      <c r="B27" s="49" t="s">
        <v>82</v>
      </c>
      <c r="C27" s="50" t="s">
        <v>83</v>
      </c>
      <c r="D27" s="147">
        <v>0</v>
      </c>
      <c r="E27" s="147">
        <v>0</v>
      </c>
      <c r="F27" s="147">
        <v>0</v>
      </c>
      <c r="G27" s="147">
        <v>0</v>
      </c>
      <c r="H27" s="147">
        <f t="shared" si="2"/>
        <v>0</v>
      </c>
      <c r="I27" s="147">
        <v>0</v>
      </c>
      <c r="J27" s="147">
        <v>0</v>
      </c>
      <c r="K27" s="147">
        <v>0</v>
      </c>
      <c r="L27" s="147">
        <f t="shared" si="3"/>
        <v>0</v>
      </c>
      <c r="M27" s="147">
        <v>0</v>
      </c>
      <c r="N27" s="147">
        <v>0</v>
      </c>
      <c r="O27" s="147">
        <v>0</v>
      </c>
      <c r="P27" s="147">
        <f t="shared" si="4"/>
        <v>0</v>
      </c>
    </row>
    <row r="28" spans="1:16" s="27" customFormat="1" x14ac:dyDescent="0.25">
      <c r="A28" s="146">
        <v>19</v>
      </c>
      <c r="B28" s="49" t="s">
        <v>84</v>
      </c>
      <c r="C28" s="50" t="s">
        <v>85</v>
      </c>
      <c r="D28" s="147">
        <v>0</v>
      </c>
      <c r="E28" s="147">
        <v>0</v>
      </c>
      <c r="F28" s="147">
        <v>0</v>
      </c>
      <c r="G28" s="147">
        <v>0</v>
      </c>
      <c r="H28" s="147">
        <f t="shared" si="2"/>
        <v>0</v>
      </c>
      <c r="I28" s="147">
        <v>0</v>
      </c>
      <c r="J28" s="147">
        <v>0</v>
      </c>
      <c r="K28" s="147">
        <v>0</v>
      </c>
      <c r="L28" s="147">
        <f t="shared" si="3"/>
        <v>0</v>
      </c>
      <c r="M28" s="147">
        <v>0</v>
      </c>
      <c r="N28" s="147">
        <v>0</v>
      </c>
      <c r="O28" s="147">
        <v>0</v>
      </c>
      <c r="P28" s="147">
        <f t="shared" si="4"/>
        <v>0</v>
      </c>
    </row>
    <row r="29" spans="1:16" s="149" customFormat="1" x14ac:dyDescent="0.25">
      <c r="A29" s="146">
        <v>20</v>
      </c>
      <c r="B29" s="49" t="s">
        <v>86</v>
      </c>
      <c r="C29" s="50" t="s">
        <v>87</v>
      </c>
      <c r="D29" s="147">
        <v>0</v>
      </c>
      <c r="E29" s="147">
        <v>1776</v>
      </c>
      <c r="F29" s="147">
        <v>0</v>
      </c>
      <c r="G29" s="147">
        <v>0</v>
      </c>
      <c r="H29" s="147">
        <f t="shared" si="2"/>
        <v>1776</v>
      </c>
      <c r="I29" s="147">
        <v>0</v>
      </c>
      <c r="J29" s="147">
        <v>0</v>
      </c>
      <c r="K29" s="147">
        <v>0</v>
      </c>
      <c r="L29" s="147">
        <f t="shared" si="3"/>
        <v>0</v>
      </c>
      <c r="M29" s="147">
        <v>0</v>
      </c>
      <c r="N29" s="147">
        <v>0</v>
      </c>
      <c r="O29" s="147">
        <v>0</v>
      </c>
      <c r="P29" s="147">
        <f t="shared" si="4"/>
        <v>0</v>
      </c>
    </row>
    <row r="30" spans="1:16" s="27" customFormat="1" x14ac:dyDescent="0.25">
      <c r="A30" s="146">
        <v>21</v>
      </c>
      <c r="B30" s="49" t="s">
        <v>22</v>
      </c>
      <c r="C30" s="50" t="s">
        <v>23</v>
      </c>
      <c r="D30" s="147">
        <v>0</v>
      </c>
      <c r="E30" s="147">
        <v>2281</v>
      </c>
      <c r="F30" s="147">
        <v>39</v>
      </c>
      <c r="G30" s="147">
        <v>355</v>
      </c>
      <c r="H30" s="147">
        <f t="shared" si="2"/>
        <v>2675</v>
      </c>
      <c r="I30" s="147">
        <v>1117</v>
      </c>
      <c r="J30" s="147">
        <v>86</v>
      </c>
      <c r="K30" s="147">
        <v>25</v>
      </c>
      <c r="L30" s="147">
        <f t="shared" si="3"/>
        <v>1228</v>
      </c>
      <c r="M30" s="147">
        <v>0</v>
      </c>
      <c r="N30" s="147">
        <v>0</v>
      </c>
      <c r="O30" s="147">
        <v>0</v>
      </c>
      <c r="P30" s="147">
        <f t="shared" si="4"/>
        <v>0</v>
      </c>
    </row>
    <row r="31" spans="1:16" s="27" customFormat="1" x14ac:dyDescent="0.25">
      <c r="A31" s="146">
        <v>22</v>
      </c>
      <c r="B31" s="167" t="s">
        <v>24</v>
      </c>
      <c r="C31" s="50" t="s">
        <v>25</v>
      </c>
      <c r="D31" s="147">
        <v>0</v>
      </c>
      <c r="E31" s="147">
        <v>0</v>
      </c>
      <c r="F31" s="147">
        <v>0</v>
      </c>
      <c r="G31" s="147">
        <v>0</v>
      </c>
      <c r="H31" s="147">
        <f t="shared" si="2"/>
        <v>0</v>
      </c>
      <c r="I31" s="147">
        <v>0</v>
      </c>
      <c r="J31" s="147">
        <v>0</v>
      </c>
      <c r="K31" s="147">
        <v>0</v>
      </c>
      <c r="L31" s="147">
        <f t="shared" si="3"/>
        <v>0</v>
      </c>
      <c r="M31" s="147">
        <v>0</v>
      </c>
      <c r="N31" s="147">
        <v>0</v>
      </c>
      <c r="O31" s="147">
        <v>0</v>
      </c>
      <c r="P31" s="147">
        <f t="shared" si="4"/>
        <v>0</v>
      </c>
    </row>
    <row r="32" spans="1:16" x14ac:dyDescent="0.25">
      <c r="A32" s="146">
        <v>23</v>
      </c>
      <c r="B32" s="167" t="s">
        <v>88</v>
      </c>
      <c r="C32" s="50" t="s">
        <v>89</v>
      </c>
      <c r="D32" s="147">
        <v>0</v>
      </c>
      <c r="E32" s="147">
        <v>0</v>
      </c>
      <c r="F32" s="147">
        <v>0</v>
      </c>
      <c r="G32" s="147">
        <v>0</v>
      </c>
      <c r="H32" s="147">
        <f t="shared" si="2"/>
        <v>0</v>
      </c>
      <c r="I32" s="147">
        <v>874</v>
      </c>
      <c r="J32" s="147">
        <v>86</v>
      </c>
      <c r="K32" s="147">
        <v>24</v>
      </c>
      <c r="L32" s="147">
        <f t="shared" si="3"/>
        <v>984</v>
      </c>
      <c r="M32" s="147">
        <v>0</v>
      </c>
      <c r="N32" s="147">
        <v>0</v>
      </c>
      <c r="O32" s="147">
        <v>0</v>
      </c>
      <c r="P32" s="147">
        <f t="shared" si="4"/>
        <v>0</v>
      </c>
    </row>
    <row r="33" spans="1:16" s="149" customFormat="1" ht="12.75" customHeight="1" x14ac:dyDescent="0.25">
      <c r="A33" s="146">
        <v>24</v>
      </c>
      <c r="B33" s="167" t="s">
        <v>90</v>
      </c>
      <c r="C33" s="50" t="s">
        <v>91</v>
      </c>
      <c r="D33" s="147">
        <v>0</v>
      </c>
      <c r="E33" s="147">
        <v>0</v>
      </c>
      <c r="F33" s="147">
        <v>0</v>
      </c>
      <c r="G33" s="147">
        <v>0</v>
      </c>
      <c r="H33" s="147">
        <f t="shared" si="2"/>
        <v>0</v>
      </c>
      <c r="I33" s="147">
        <v>0</v>
      </c>
      <c r="J33" s="147">
        <v>0</v>
      </c>
      <c r="K33" s="147">
        <v>0</v>
      </c>
      <c r="L33" s="147">
        <f t="shared" si="3"/>
        <v>0</v>
      </c>
      <c r="M33" s="147">
        <v>0</v>
      </c>
      <c r="N33" s="147">
        <v>0</v>
      </c>
      <c r="O33" s="147">
        <v>0</v>
      </c>
      <c r="P33" s="147">
        <f t="shared" si="4"/>
        <v>0</v>
      </c>
    </row>
    <row r="34" spans="1:16" s="149" customFormat="1" ht="24" x14ac:dyDescent="0.25">
      <c r="A34" s="1135">
        <v>25</v>
      </c>
      <c r="B34" s="71" t="s">
        <v>92</v>
      </c>
      <c r="C34" s="145" t="s">
        <v>792</v>
      </c>
      <c r="D34" s="561">
        <v>2910</v>
      </c>
      <c r="E34" s="561">
        <v>9127</v>
      </c>
      <c r="F34" s="561">
        <v>165</v>
      </c>
      <c r="G34" s="561">
        <v>1312</v>
      </c>
      <c r="H34" s="561">
        <f t="shared" si="2"/>
        <v>13514</v>
      </c>
      <c r="I34" s="561">
        <v>5576</v>
      </c>
      <c r="J34" s="561">
        <v>485</v>
      </c>
      <c r="K34" s="561">
        <v>0</v>
      </c>
      <c r="L34" s="561">
        <f t="shared" si="3"/>
        <v>6061</v>
      </c>
      <c r="M34" s="561">
        <v>0</v>
      </c>
      <c r="N34" s="561">
        <v>0</v>
      </c>
      <c r="O34" s="561">
        <v>0</v>
      </c>
      <c r="P34" s="561">
        <f t="shared" si="4"/>
        <v>0</v>
      </c>
    </row>
    <row r="35" spans="1:16" s="27" customFormat="1" x14ac:dyDescent="0.25">
      <c r="A35" s="1137"/>
      <c r="B35" s="611" t="s">
        <v>94</v>
      </c>
      <c r="C35" s="31" t="s">
        <v>95</v>
      </c>
      <c r="D35" s="561">
        <v>0</v>
      </c>
      <c r="E35" s="561">
        <v>0</v>
      </c>
      <c r="F35" s="561">
        <v>0</v>
      </c>
      <c r="G35" s="561">
        <v>0</v>
      </c>
      <c r="H35" s="561">
        <f t="shared" si="2"/>
        <v>0</v>
      </c>
      <c r="I35" s="561">
        <v>0</v>
      </c>
      <c r="J35" s="561">
        <v>0</v>
      </c>
      <c r="K35" s="561">
        <v>0</v>
      </c>
      <c r="L35" s="561">
        <f t="shared" si="3"/>
        <v>0</v>
      </c>
      <c r="M35" s="561">
        <v>0</v>
      </c>
      <c r="N35" s="561">
        <v>0</v>
      </c>
      <c r="O35" s="561">
        <v>0</v>
      </c>
      <c r="P35" s="561">
        <f t="shared" si="4"/>
        <v>0</v>
      </c>
    </row>
    <row r="36" spans="1:16" s="27" customFormat="1" x14ac:dyDescent="0.25">
      <c r="A36" s="593">
        <v>26</v>
      </c>
      <c r="B36" s="72" t="s">
        <v>96</v>
      </c>
      <c r="C36" s="31" t="s">
        <v>97</v>
      </c>
      <c r="D36" s="561">
        <v>0</v>
      </c>
      <c r="E36" s="561">
        <v>0</v>
      </c>
      <c r="F36" s="561">
        <v>0</v>
      </c>
      <c r="G36" s="561">
        <v>0</v>
      </c>
      <c r="H36" s="561">
        <f t="shared" si="2"/>
        <v>0</v>
      </c>
      <c r="I36" s="561">
        <v>0</v>
      </c>
      <c r="J36" s="561">
        <v>0</v>
      </c>
      <c r="K36" s="561">
        <v>0</v>
      </c>
      <c r="L36" s="561">
        <f t="shared" si="3"/>
        <v>0</v>
      </c>
      <c r="M36" s="561">
        <v>0</v>
      </c>
      <c r="N36" s="561">
        <v>0</v>
      </c>
      <c r="O36" s="561">
        <v>0</v>
      </c>
      <c r="P36" s="561">
        <f t="shared" si="4"/>
        <v>0</v>
      </c>
    </row>
    <row r="37" spans="1:16" s="27" customFormat="1" x14ac:dyDescent="0.25">
      <c r="A37" s="593">
        <v>27</v>
      </c>
      <c r="B37" s="72" t="s">
        <v>26</v>
      </c>
      <c r="C37" s="31" t="s">
        <v>27</v>
      </c>
      <c r="D37" s="561">
        <v>0</v>
      </c>
      <c r="E37" s="561">
        <v>5954</v>
      </c>
      <c r="F37" s="561">
        <v>0</v>
      </c>
      <c r="G37" s="561">
        <v>970</v>
      </c>
      <c r="H37" s="561">
        <f t="shared" si="2"/>
        <v>6924</v>
      </c>
      <c r="I37" s="561">
        <v>0</v>
      </c>
      <c r="J37" s="561">
        <v>0</v>
      </c>
      <c r="K37" s="561">
        <v>0</v>
      </c>
      <c r="L37" s="561">
        <f t="shared" si="3"/>
        <v>0</v>
      </c>
      <c r="M37" s="561">
        <v>0</v>
      </c>
      <c r="N37" s="561">
        <v>0</v>
      </c>
      <c r="O37" s="561">
        <v>0</v>
      </c>
      <c r="P37" s="561">
        <f t="shared" si="4"/>
        <v>0</v>
      </c>
    </row>
    <row r="38" spans="1:16" s="27" customFormat="1" x14ac:dyDescent="0.25">
      <c r="A38" s="593">
        <v>28</v>
      </c>
      <c r="B38" s="71" t="s">
        <v>98</v>
      </c>
      <c r="C38" s="31" t="s">
        <v>99</v>
      </c>
      <c r="D38" s="561">
        <v>0</v>
      </c>
      <c r="E38" s="561">
        <v>4240</v>
      </c>
      <c r="F38" s="561">
        <v>78</v>
      </c>
      <c r="G38" s="561">
        <v>0</v>
      </c>
      <c r="H38" s="561">
        <f t="shared" si="2"/>
        <v>4318</v>
      </c>
      <c r="I38" s="561">
        <v>0</v>
      </c>
      <c r="J38" s="561">
        <v>0</v>
      </c>
      <c r="K38" s="561">
        <v>0</v>
      </c>
      <c r="L38" s="561">
        <f t="shared" si="3"/>
        <v>0</v>
      </c>
      <c r="M38" s="561">
        <v>0</v>
      </c>
      <c r="N38" s="561">
        <v>0</v>
      </c>
      <c r="O38" s="561">
        <v>0</v>
      </c>
      <c r="P38" s="561">
        <f t="shared" si="4"/>
        <v>0</v>
      </c>
    </row>
    <row r="39" spans="1:16" s="27" customFormat="1" x14ac:dyDescent="0.25">
      <c r="A39" s="593">
        <v>29</v>
      </c>
      <c r="B39" s="72" t="s">
        <v>100</v>
      </c>
      <c r="C39" s="31" t="s">
        <v>101</v>
      </c>
      <c r="D39" s="561">
        <v>0</v>
      </c>
      <c r="E39" s="561">
        <v>0</v>
      </c>
      <c r="F39" s="561">
        <v>0</v>
      </c>
      <c r="G39" s="561">
        <v>0</v>
      </c>
      <c r="H39" s="561">
        <f t="shared" si="2"/>
        <v>0</v>
      </c>
      <c r="I39" s="561">
        <v>0</v>
      </c>
      <c r="J39" s="561">
        <v>0</v>
      </c>
      <c r="K39" s="561">
        <v>0</v>
      </c>
      <c r="L39" s="561">
        <f t="shared" si="3"/>
        <v>0</v>
      </c>
      <c r="M39" s="561">
        <v>0</v>
      </c>
      <c r="N39" s="561">
        <v>0</v>
      </c>
      <c r="O39" s="561">
        <v>0</v>
      </c>
      <c r="P39" s="561">
        <f t="shared" si="4"/>
        <v>0</v>
      </c>
    </row>
    <row r="40" spans="1:16" s="149" customFormat="1" x14ac:dyDescent="0.25">
      <c r="A40" s="593">
        <v>30</v>
      </c>
      <c r="B40" s="611" t="s">
        <v>102</v>
      </c>
      <c r="C40" s="31" t="s">
        <v>103</v>
      </c>
      <c r="D40" s="561">
        <v>0</v>
      </c>
      <c r="E40" s="561">
        <v>2186</v>
      </c>
      <c r="F40" s="561">
        <v>55</v>
      </c>
      <c r="G40" s="561">
        <v>0</v>
      </c>
      <c r="H40" s="561">
        <f t="shared" si="2"/>
        <v>2241</v>
      </c>
      <c r="I40" s="561">
        <v>0</v>
      </c>
      <c r="J40" s="561">
        <v>0</v>
      </c>
      <c r="K40" s="561">
        <v>0</v>
      </c>
      <c r="L40" s="561">
        <f t="shared" si="3"/>
        <v>0</v>
      </c>
      <c r="M40" s="561">
        <v>0</v>
      </c>
      <c r="N40" s="561">
        <v>0</v>
      </c>
      <c r="O40" s="561">
        <v>0</v>
      </c>
      <c r="P40" s="561">
        <f t="shared" si="4"/>
        <v>0</v>
      </c>
    </row>
    <row r="41" spans="1:16" x14ac:dyDescent="0.25">
      <c r="A41" s="593">
        <v>31</v>
      </c>
      <c r="B41" s="72" t="s">
        <v>104</v>
      </c>
      <c r="C41" s="31" t="s">
        <v>105</v>
      </c>
      <c r="D41" s="561">
        <v>0</v>
      </c>
      <c r="E41" s="561">
        <v>0</v>
      </c>
      <c r="F41" s="561">
        <v>0</v>
      </c>
      <c r="G41" s="561">
        <v>0</v>
      </c>
      <c r="H41" s="561">
        <f t="shared" si="2"/>
        <v>0</v>
      </c>
      <c r="I41" s="561">
        <v>0</v>
      </c>
      <c r="J41" s="561">
        <v>0</v>
      </c>
      <c r="K41" s="561">
        <v>0</v>
      </c>
      <c r="L41" s="561">
        <f t="shared" si="3"/>
        <v>0</v>
      </c>
      <c r="M41" s="561">
        <v>0</v>
      </c>
      <c r="N41" s="561">
        <v>0</v>
      </c>
      <c r="O41" s="561">
        <v>0</v>
      </c>
      <c r="P41" s="561">
        <f t="shared" si="4"/>
        <v>0</v>
      </c>
    </row>
    <row r="42" spans="1:16" s="27" customFormat="1" x14ac:dyDescent="0.25">
      <c r="A42" s="593">
        <v>32</v>
      </c>
      <c r="B42" s="71" t="s">
        <v>106</v>
      </c>
      <c r="C42" s="31" t="s">
        <v>107</v>
      </c>
      <c r="D42" s="561">
        <v>0</v>
      </c>
      <c r="E42" s="561">
        <v>0</v>
      </c>
      <c r="F42" s="561">
        <v>0</v>
      </c>
      <c r="G42" s="561">
        <v>0</v>
      </c>
      <c r="H42" s="561">
        <f t="shared" si="2"/>
        <v>0</v>
      </c>
      <c r="I42" s="561">
        <v>0</v>
      </c>
      <c r="J42" s="561">
        <v>0</v>
      </c>
      <c r="K42" s="561">
        <v>0</v>
      </c>
      <c r="L42" s="561">
        <f t="shared" si="3"/>
        <v>0</v>
      </c>
      <c r="M42" s="561">
        <v>0</v>
      </c>
      <c r="N42" s="561">
        <v>0</v>
      </c>
      <c r="O42" s="561">
        <v>0</v>
      </c>
      <c r="P42" s="561">
        <f t="shared" si="4"/>
        <v>0</v>
      </c>
    </row>
    <row r="43" spans="1:16" s="27" customFormat="1" x14ac:dyDescent="0.25">
      <c r="A43" s="593">
        <v>33</v>
      </c>
      <c r="B43" s="594" t="s">
        <v>108</v>
      </c>
      <c r="C43" s="595" t="s">
        <v>109</v>
      </c>
      <c r="D43" s="561">
        <v>0</v>
      </c>
      <c r="E43" s="561">
        <v>0</v>
      </c>
      <c r="F43" s="561">
        <v>0</v>
      </c>
      <c r="G43" s="561">
        <v>0</v>
      </c>
      <c r="H43" s="561">
        <f t="shared" si="2"/>
        <v>0</v>
      </c>
      <c r="I43" s="561">
        <v>0</v>
      </c>
      <c r="J43" s="561">
        <v>0</v>
      </c>
      <c r="K43" s="561">
        <v>0</v>
      </c>
      <c r="L43" s="561">
        <f t="shared" si="3"/>
        <v>0</v>
      </c>
      <c r="M43" s="561">
        <v>0</v>
      </c>
      <c r="N43" s="561">
        <v>0</v>
      </c>
      <c r="O43" s="561">
        <v>0</v>
      </c>
      <c r="P43" s="561">
        <f t="shared" si="4"/>
        <v>0</v>
      </c>
    </row>
    <row r="44" spans="1:16" s="27" customFormat="1" x14ac:dyDescent="0.25">
      <c r="A44" s="593">
        <v>34</v>
      </c>
      <c r="B44" s="71" t="s">
        <v>110</v>
      </c>
      <c r="C44" s="31" t="s">
        <v>111</v>
      </c>
      <c r="D44" s="561">
        <v>0</v>
      </c>
      <c r="E44" s="561">
        <v>0</v>
      </c>
      <c r="F44" s="561">
        <v>0</v>
      </c>
      <c r="G44" s="561">
        <v>0</v>
      </c>
      <c r="H44" s="561">
        <f t="shared" si="2"/>
        <v>0</v>
      </c>
      <c r="I44" s="561">
        <v>0</v>
      </c>
      <c r="J44" s="561">
        <v>0</v>
      </c>
      <c r="K44" s="561">
        <v>0</v>
      </c>
      <c r="L44" s="561">
        <f t="shared" si="3"/>
        <v>0</v>
      </c>
      <c r="M44" s="561">
        <v>0</v>
      </c>
      <c r="N44" s="561">
        <v>0</v>
      </c>
      <c r="O44" s="561">
        <v>0</v>
      </c>
      <c r="P44" s="561">
        <f t="shared" si="4"/>
        <v>0</v>
      </c>
    </row>
    <row r="45" spans="1:16" x14ac:dyDescent="0.25">
      <c r="A45" s="593">
        <v>35</v>
      </c>
      <c r="B45" s="71" t="s">
        <v>112</v>
      </c>
      <c r="C45" s="31" t="s">
        <v>113</v>
      </c>
      <c r="D45" s="561">
        <v>0</v>
      </c>
      <c r="E45" s="561">
        <v>821</v>
      </c>
      <c r="F45" s="561">
        <v>0</v>
      </c>
      <c r="G45" s="561">
        <v>0</v>
      </c>
      <c r="H45" s="561">
        <f t="shared" si="2"/>
        <v>821</v>
      </c>
      <c r="I45" s="561">
        <v>0</v>
      </c>
      <c r="J45" s="561">
        <v>0</v>
      </c>
      <c r="K45" s="561">
        <v>0</v>
      </c>
      <c r="L45" s="561">
        <f t="shared" si="3"/>
        <v>0</v>
      </c>
      <c r="M45" s="561">
        <v>0</v>
      </c>
      <c r="N45" s="561">
        <v>0</v>
      </c>
      <c r="O45" s="561">
        <v>0</v>
      </c>
      <c r="P45" s="561">
        <f t="shared" si="4"/>
        <v>0</v>
      </c>
    </row>
    <row r="46" spans="1:16" s="27" customFormat="1" x14ac:dyDescent="0.25">
      <c r="A46" s="593">
        <v>36</v>
      </c>
      <c r="B46" s="611" t="s">
        <v>114</v>
      </c>
      <c r="C46" s="31" t="s">
        <v>115</v>
      </c>
      <c r="D46" s="561">
        <v>0</v>
      </c>
      <c r="E46" s="561">
        <v>0</v>
      </c>
      <c r="F46" s="561">
        <v>0</v>
      </c>
      <c r="G46" s="561">
        <v>0</v>
      </c>
      <c r="H46" s="561">
        <f t="shared" si="2"/>
        <v>0</v>
      </c>
      <c r="I46" s="561">
        <v>0</v>
      </c>
      <c r="J46" s="561">
        <v>0</v>
      </c>
      <c r="K46" s="561">
        <v>0</v>
      </c>
      <c r="L46" s="561">
        <f t="shared" si="3"/>
        <v>0</v>
      </c>
      <c r="M46" s="561">
        <v>0</v>
      </c>
      <c r="N46" s="561">
        <v>0</v>
      </c>
      <c r="O46" s="561">
        <v>0</v>
      </c>
      <c r="P46" s="561">
        <f t="shared" si="4"/>
        <v>0</v>
      </c>
    </row>
    <row r="47" spans="1:16" s="27" customFormat="1" x14ac:dyDescent="0.25">
      <c r="A47" s="593">
        <v>37</v>
      </c>
      <c r="B47" s="72" t="s">
        <v>116</v>
      </c>
      <c r="C47" s="31" t="s">
        <v>117</v>
      </c>
      <c r="D47" s="561">
        <v>0</v>
      </c>
      <c r="E47" s="561">
        <v>541</v>
      </c>
      <c r="F47" s="561">
        <v>10</v>
      </c>
      <c r="G47" s="561">
        <v>87</v>
      </c>
      <c r="H47" s="561">
        <f t="shared" si="2"/>
        <v>638</v>
      </c>
      <c r="I47" s="561">
        <v>245</v>
      </c>
      <c r="J47" s="561">
        <v>0</v>
      </c>
      <c r="K47" s="561">
        <v>0</v>
      </c>
      <c r="L47" s="561">
        <f t="shared" si="3"/>
        <v>245</v>
      </c>
      <c r="M47" s="561">
        <v>0</v>
      </c>
      <c r="N47" s="561">
        <v>0</v>
      </c>
      <c r="O47" s="561">
        <v>0</v>
      </c>
      <c r="P47" s="561">
        <f t="shared" si="4"/>
        <v>0</v>
      </c>
    </row>
    <row r="48" spans="1:16" s="27" customFormat="1" x14ac:dyDescent="0.25">
      <c r="A48" s="593">
        <v>38</v>
      </c>
      <c r="B48" s="611" t="s">
        <v>28</v>
      </c>
      <c r="C48" s="31" t="s">
        <v>29</v>
      </c>
      <c r="D48" s="561">
        <v>0</v>
      </c>
      <c r="E48" s="561">
        <v>4960</v>
      </c>
      <c r="F48" s="561">
        <v>90</v>
      </c>
      <c r="G48" s="561">
        <v>0</v>
      </c>
      <c r="H48" s="561">
        <f t="shared" si="2"/>
        <v>5050</v>
      </c>
      <c r="I48" s="561">
        <v>3239</v>
      </c>
      <c r="J48" s="561">
        <v>80</v>
      </c>
      <c r="K48" s="561">
        <v>30</v>
      </c>
      <c r="L48" s="561">
        <f t="shared" si="3"/>
        <v>3349</v>
      </c>
      <c r="M48" s="561">
        <v>0</v>
      </c>
      <c r="N48" s="561">
        <v>0</v>
      </c>
      <c r="O48" s="561">
        <v>0</v>
      </c>
      <c r="P48" s="561">
        <f t="shared" si="4"/>
        <v>0</v>
      </c>
    </row>
    <row r="49" spans="1:16" s="27" customFormat="1" x14ac:dyDescent="0.25">
      <c r="A49" s="593">
        <v>39</v>
      </c>
      <c r="B49" s="71" t="s">
        <v>118</v>
      </c>
      <c r="C49" s="31" t="s">
        <v>119</v>
      </c>
      <c r="D49" s="561">
        <v>0</v>
      </c>
      <c r="E49" s="561">
        <v>0</v>
      </c>
      <c r="F49" s="561">
        <v>0</v>
      </c>
      <c r="G49" s="561">
        <v>0</v>
      </c>
      <c r="H49" s="561">
        <f t="shared" si="2"/>
        <v>0</v>
      </c>
      <c r="I49" s="561">
        <v>0</v>
      </c>
      <c r="J49" s="561">
        <v>0</v>
      </c>
      <c r="K49" s="561">
        <v>0</v>
      </c>
      <c r="L49" s="561">
        <f t="shared" si="3"/>
        <v>0</v>
      </c>
      <c r="M49" s="561">
        <v>0</v>
      </c>
      <c r="N49" s="561">
        <v>0</v>
      </c>
      <c r="O49" s="561">
        <v>0</v>
      </c>
      <c r="P49" s="561">
        <f t="shared" si="4"/>
        <v>0</v>
      </c>
    </row>
    <row r="50" spans="1:16" s="27" customFormat="1" x14ac:dyDescent="0.25">
      <c r="A50" s="593">
        <v>40</v>
      </c>
      <c r="B50" s="71" t="s">
        <v>120</v>
      </c>
      <c r="C50" s="31" t="s">
        <v>121</v>
      </c>
      <c r="D50" s="561">
        <v>0</v>
      </c>
      <c r="E50" s="561">
        <v>129</v>
      </c>
      <c r="F50" s="561">
        <v>2</v>
      </c>
      <c r="G50" s="561">
        <v>0</v>
      </c>
      <c r="H50" s="561">
        <f t="shared" si="2"/>
        <v>131</v>
      </c>
      <c r="I50" s="561">
        <v>0</v>
      </c>
      <c r="J50" s="561">
        <v>0</v>
      </c>
      <c r="K50" s="561">
        <v>0</v>
      </c>
      <c r="L50" s="561">
        <f t="shared" si="3"/>
        <v>0</v>
      </c>
      <c r="M50" s="561">
        <v>0</v>
      </c>
      <c r="N50" s="561">
        <v>0</v>
      </c>
      <c r="O50" s="561">
        <v>0</v>
      </c>
      <c r="P50" s="561">
        <f t="shared" si="4"/>
        <v>0</v>
      </c>
    </row>
    <row r="51" spans="1:16" s="149" customFormat="1" x14ac:dyDescent="0.25">
      <c r="A51" s="593">
        <v>41</v>
      </c>
      <c r="B51" s="611" t="s">
        <v>122</v>
      </c>
      <c r="C51" s="31" t="s">
        <v>123</v>
      </c>
      <c r="D51" s="561">
        <v>0</v>
      </c>
      <c r="E51" s="561">
        <v>0</v>
      </c>
      <c r="F51" s="561">
        <v>0</v>
      </c>
      <c r="G51" s="561">
        <v>0</v>
      </c>
      <c r="H51" s="561">
        <f t="shared" si="2"/>
        <v>0</v>
      </c>
      <c r="I51" s="561">
        <v>0</v>
      </c>
      <c r="J51" s="561">
        <v>0</v>
      </c>
      <c r="K51" s="561">
        <v>0</v>
      </c>
      <c r="L51" s="561">
        <f t="shared" si="3"/>
        <v>0</v>
      </c>
      <c r="M51" s="561">
        <v>0</v>
      </c>
      <c r="N51" s="561">
        <v>0</v>
      </c>
      <c r="O51" s="561">
        <v>0</v>
      </c>
      <c r="P51" s="561">
        <f t="shared" si="4"/>
        <v>0</v>
      </c>
    </row>
    <row r="52" spans="1:16" s="27" customFormat="1" x14ac:dyDescent="0.25">
      <c r="A52" s="593">
        <v>42</v>
      </c>
      <c r="B52" s="72" t="s">
        <v>124</v>
      </c>
      <c r="C52" s="31" t="s">
        <v>125</v>
      </c>
      <c r="D52" s="561">
        <v>0</v>
      </c>
      <c r="E52" s="561">
        <v>681</v>
      </c>
      <c r="F52" s="561">
        <v>12</v>
      </c>
      <c r="G52" s="561">
        <v>110</v>
      </c>
      <c r="H52" s="561">
        <f t="shared" si="2"/>
        <v>803</v>
      </c>
      <c r="I52" s="561">
        <v>0</v>
      </c>
      <c r="J52" s="561">
        <v>0</v>
      </c>
      <c r="K52" s="561">
        <v>0</v>
      </c>
      <c r="L52" s="561">
        <f t="shared" si="3"/>
        <v>0</v>
      </c>
      <c r="M52" s="561">
        <v>0</v>
      </c>
      <c r="N52" s="561">
        <v>0</v>
      </c>
      <c r="O52" s="561">
        <v>0</v>
      </c>
      <c r="P52" s="561">
        <f t="shared" si="4"/>
        <v>0</v>
      </c>
    </row>
    <row r="53" spans="1:16" s="27" customFormat="1" x14ac:dyDescent="0.25">
      <c r="A53" s="593">
        <v>43</v>
      </c>
      <c r="B53" s="611" t="s">
        <v>126</v>
      </c>
      <c r="C53" s="31" t="s">
        <v>127</v>
      </c>
      <c r="D53" s="561">
        <v>0</v>
      </c>
      <c r="E53" s="561">
        <v>0</v>
      </c>
      <c r="F53" s="561">
        <v>0</v>
      </c>
      <c r="G53" s="561">
        <v>0</v>
      </c>
      <c r="H53" s="561">
        <f t="shared" si="2"/>
        <v>0</v>
      </c>
      <c r="I53" s="561">
        <v>0</v>
      </c>
      <c r="J53" s="561">
        <v>0</v>
      </c>
      <c r="K53" s="561">
        <v>0</v>
      </c>
      <c r="L53" s="561">
        <f t="shared" si="3"/>
        <v>0</v>
      </c>
      <c r="M53" s="561">
        <v>0</v>
      </c>
      <c r="N53" s="561">
        <v>0</v>
      </c>
      <c r="O53" s="561">
        <v>0</v>
      </c>
      <c r="P53" s="561">
        <f t="shared" si="4"/>
        <v>0</v>
      </c>
    </row>
    <row r="54" spans="1:16" s="27" customFormat="1" x14ac:dyDescent="0.25">
      <c r="A54" s="593">
        <v>44</v>
      </c>
      <c r="B54" s="72" t="s">
        <v>128</v>
      </c>
      <c r="C54" s="31" t="s">
        <v>129</v>
      </c>
      <c r="D54" s="561">
        <v>0</v>
      </c>
      <c r="E54" s="561">
        <v>1913</v>
      </c>
      <c r="F54" s="561">
        <v>0</v>
      </c>
      <c r="G54" s="561">
        <v>0</v>
      </c>
      <c r="H54" s="561">
        <f t="shared" si="2"/>
        <v>1913</v>
      </c>
      <c r="I54" s="561">
        <v>0</v>
      </c>
      <c r="J54" s="561">
        <v>0</v>
      </c>
      <c r="K54" s="561">
        <v>0</v>
      </c>
      <c r="L54" s="561">
        <f t="shared" si="3"/>
        <v>0</v>
      </c>
      <c r="M54" s="561">
        <v>0</v>
      </c>
      <c r="N54" s="561">
        <v>0</v>
      </c>
      <c r="O54" s="561">
        <v>0</v>
      </c>
      <c r="P54" s="561">
        <f t="shared" si="4"/>
        <v>0</v>
      </c>
    </row>
    <row r="55" spans="1:16" s="27" customFormat="1" x14ac:dyDescent="0.25">
      <c r="A55" s="593">
        <v>45</v>
      </c>
      <c r="B55" s="611" t="s">
        <v>130</v>
      </c>
      <c r="C55" s="31" t="s">
        <v>131</v>
      </c>
      <c r="D55" s="561">
        <v>0</v>
      </c>
      <c r="E55" s="561">
        <v>0</v>
      </c>
      <c r="F55" s="561">
        <v>0</v>
      </c>
      <c r="G55" s="561">
        <v>0</v>
      </c>
      <c r="H55" s="561">
        <f t="shared" si="2"/>
        <v>0</v>
      </c>
      <c r="I55" s="561">
        <v>0</v>
      </c>
      <c r="J55" s="561">
        <v>0</v>
      </c>
      <c r="K55" s="561">
        <v>0</v>
      </c>
      <c r="L55" s="561">
        <f t="shared" si="3"/>
        <v>0</v>
      </c>
      <c r="M55" s="561">
        <v>0</v>
      </c>
      <c r="N55" s="561">
        <v>0</v>
      </c>
      <c r="O55" s="561">
        <v>0</v>
      </c>
      <c r="P55" s="561">
        <f t="shared" si="4"/>
        <v>0</v>
      </c>
    </row>
    <row r="56" spans="1:16" s="27" customFormat="1" x14ac:dyDescent="0.25">
      <c r="A56" s="593">
        <v>46</v>
      </c>
      <c r="B56" s="72" t="s">
        <v>132</v>
      </c>
      <c r="C56" s="31" t="s">
        <v>133</v>
      </c>
      <c r="D56" s="561">
        <v>0</v>
      </c>
      <c r="E56" s="561">
        <v>0</v>
      </c>
      <c r="F56" s="561">
        <v>0</v>
      </c>
      <c r="G56" s="561">
        <v>0</v>
      </c>
      <c r="H56" s="561">
        <f t="shared" si="2"/>
        <v>0</v>
      </c>
      <c r="I56" s="561">
        <v>0</v>
      </c>
      <c r="J56" s="561">
        <v>0</v>
      </c>
      <c r="K56" s="561">
        <v>0</v>
      </c>
      <c r="L56" s="561">
        <f t="shared" si="3"/>
        <v>0</v>
      </c>
      <c r="M56" s="561">
        <v>0</v>
      </c>
      <c r="N56" s="561">
        <v>0</v>
      </c>
      <c r="O56" s="561">
        <v>0</v>
      </c>
      <c r="P56" s="561">
        <f t="shared" si="4"/>
        <v>0</v>
      </c>
    </row>
    <row r="57" spans="1:16" s="27" customFormat="1" x14ac:dyDescent="0.25">
      <c r="A57" s="593">
        <v>47</v>
      </c>
      <c r="B57" s="611" t="s">
        <v>134</v>
      </c>
      <c r="C57" s="31" t="s">
        <v>135</v>
      </c>
      <c r="D57" s="561">
        <v>0</v>
      </c>
      <c r="E57" s="561">
        <v>0</v>
      </c>
      <c r="F57" s="561">
        <v>0</v>
      </c>
      <c r="G57" s="561">
        <v>0</v>
      </c>
      <c r="H57" s="561">
        <f t="shared" si="2"/>
        <v>0</v>
      </c>
      <c r="I57" s="561">
        <v>0</v>
      </c>
      <c r="J57" s="561">
        <v>0</v>
      </c>
      <c r="K57" s="561">
        <v>0</v>
      </c>
      <c r="L57" s="561">
        <f t="shared" si="3"/>
        <v>0</v>
      </c>
      <c r="M57" s="561">
        <v>0</v>
      </c>
      <c r="N57" s="561">
        <v>0</v>
      </c>
      <c r="O57" s="561">
        <v>0</v>
      </c>
      <c r="P57" s="561">
        <f t="shared" si="4"/>
        <v>0</v>
      </c>
    </row>
    <row r="58" spans="1:16" s="27" customFormat="1" x14ac:dyDescent="0.25">
      <c r="A58" s="593">
        <v>48</v>
      </c>
      <c r="B58" s="611" t="s">
        <v>136</v>
      </c>
      <c r="C58" s="31" t="s">
        <v>137</v>
      </c>
      <c r="D58" s="561">
        <v>0</v>
      </c>
      <c r="E58" s="561">
        <v>4482</v>
      </c>
      <c r="F58" s="561">
        <v>0</v>
      </c>
      <c r="G58" s="561">
        <v>0</v>
      </c>
      <c r="H58" s="561">
        <f t="shared" si="2"/>
        <v>4482</v>
      </c>
      <c r="I58" s="561">
        <v>0</v>
      </c>
      <c r="J58" s="561">
        <v>0</v>
      </c>
      <c r="K58" s="561">
        <v>0</v>
      </c>
      <c r="L58" s="561">
        <f t="shared" si="3"/>
        <v>0</v>
      </c>
      <c r="M58" s="561">
        <v>0</v>
      </c>
      <c r="N58" s="561">
        <v>0</v>
      </c>
      <c r="O58" s="561">
        <v>0</v>
      </c>
      <c r="P58" s="561">
        <f t="shared" si="4"/>
        <v>0</v>
      </c>
    </row>
    <row r="59" spans="1:16" s="27" customFormat="1" x14ac:dyDescent="0.25">
      <c r="A59" s="593">
        <v>49</v>
      </c>
      <c r="B59" s="611" t="s">
        <v>138</v>
      </c>
      <c r="C59" s="31" t="s">
        <v>139</v>
      </c>
      <c r="D59" s="561">
        <v>0</v>
      </c>
      <c r="E59" s="561">
        <v>0</v>
      </c>
      <c r="F59" s="561">
        <v>0</v>
      </c>
      <c r="G59" s="561">
        <v>0</v>
      </c>
      <c r="H59" s="561">
        <f t="shared" si="2"/>
        <v>0</v>
      </c>
      <c r="I59" s="561">
        <v>0</v>
      </c>
      <c r="J59" s="561">
        <v>0</v>
      </c>
      <c r="K59" s="561">
        <v>0</v>
      </c>
      <c r="L59" s="561">
        <f t="shared" si="3"/>
        <v>0</v>
      </c>
      <c r="M59" s="561">
        <v>0</v>
      </c>
      <c r="N59" s="561">
        <v>0</v>
      </c>
      <c r="O59" s="561">
        <v>0</v>
      </c>
      <c r="P59" s="561">
        <f t="shared" si="4"/>
        <v>0</v>
      </c>
    </row>
    <row r="60" spans="1:16" s="27" customFormat="1" x14ac:dyDescent="0.25">
      <c r="A60" s="593">
        <v>50</v>
      </c>
      <c r="B60" s="611" t="s">
        <v>140</v>
      </c>
      <c r="C60" s="31" t="s">
        <v>141</v>
      </c>
      <c r="D60" s="561">
        <v>0</v>
      </c>
      <c r="E60" s="561">
        <v>0</v>
      </c>
      <c r="F60" s="561">
        <v>0</v>
      </c>
      <c r="G60" s="561">
        <v>0</v>
      </c>
      <c r="H60" s="561">
        <f t="shared" si="2"/>
        <v>0</v>
      </c>
      <c r="I60" s="561">
        <v>0</v>
      </c>
      <c r="J60" s="561">
        <v>0</v>
      </c>
      <c r="K60" s="561">
        <v>0</v>
      </c>
      <c r="L60" s="561">
        <f t="shared" si="3"/>
        <v>0</v>
      </c>
      <c r="M60" s="561">
        <v>0</v>
      </c>
      <c r="N60" s="561">
        <v>0</v>
      </c>
      <c r="O60" s="561">
        <v>0</v>
      </c>
      <c r="P60" s="561">
        <f t="shared" si="4"/>
        <v>0</v>
      </c>
    </row>
    <row r="61" spans="1:16" s="27" customFormat="1" x14ac:dyDescent="0.25">
      <c r="A61" s="593">
        <v>51</v>
      </c>
      <c r="B61" s="72" t="s">
        <v>142</v>
      </c>
      <c r="C61" s="31" t="s">
        <v>143</v>
      </c>
      <c r="D61" s="561">
        <v>0</v>
      </c>
      <c r="E61" s="561">
        <v>553</v>
      </c>
      <c r="F61" s="561">
        <v>10</v>
      </c>
      <c r="G61" s="561">
        <v>0</v>
      </c>
      <c r="H61" s="561">
        <f t="shared" si="2"/>
        <v>563</v>
      </c>
      <c r="I61" s="561">
        <v>0</v>
      </c>
      <c r="J61" s="561">
        <v>0</v>
      </c>
      <c r="K61" s="561">
        <v>0</v>
      </c>
      <c r="L61" s="561">
        <f t="shared" si="3"/>
        <v>0</v>
      </c>
      <c r="M61" s="561">
        <v>0</v>
      </c>
      <c r="N61" s="561">
        <v>0</v>
      </c>
      <c r="O61" s="561">
        <v>0</v>
      </c>
      <c r="P61" s="561">
        <f t="shared" si="4"/>
        <v>0</v>
      </c>
    </row>
    <row r="62" spans="1:16" s="27" customFormat="1" x14ac:dyDescent="0.25">
      <c r="A62" s="593">
        <v>52</v>
      </c>
      <c r="B62" s="611" t="s">
        <v>144</v>
      </c>
      <c r="C62" s="31" t="s">
        <v>145</v>
      </c>
      <c r="D62" s="561">
        <v>0</v>
      </c>
      <c r="E62" s="561">
        <v>0</v>
      </c>
      <c r="F62" s="561">
        <v>0</v>
      </c>
      <c r="G62" s="561">
        <v>0</v>
      </c>
      <c r="H62" s="561">
        <f t="shared" si="2"/>
        <v>0</v>
      </c>
      <c r="I62" s="561">
        <v>0</v>
      </c>
      <c r="J62" s="561">
        <v>0</v>
      </c>
      <c r="K62" s="561">
        <v>0</v>
      </c>
      <c r="L62" s="561">
        <f t="shared" si="3"/>
        <v>0</v>
      </c>
      <c r="M62" s="561">
        <v>0</v>
      </c>
      <c r="N62" s="561">
        <v>0</v>
      </c>
      <c r="O62" s="561">
        <v>0</v>
      </c>
      <c r="P62" s="561">
        <f t="shared" si="4"/>
        <v>0</v>
      </c>
    </row>
    <row r="63" spans="1:16" s="27" customFormat="1" x14ac:dyDescent="0.25">
      <c r="A63" s="593">
        <v>53</v>
      </c>
      <c r="B63" s="611" t="s">
        <v>146</v>
      </c>
      <c r="C63" s="31" t="s">
        <v>147</v>
      </c>
      <c r="D63" s="561">
        <v>0</v>
      </c>
      <c r="E63" s="561">
        <v>0</v>
      </c>
      <c r="F63" s="561">
        <v>0</v>
      </c>
      <c r="G63" s="561">
        <v>0</v>
      </c>
      <c r="H63" s="561">
        <f t="shared" si="2"/>
        <v>0</v>
      </c>
      <c r="I63" s="561">
        <v>0</v>
      </c>
      <c r="J63" s="561">
        <v>0</v>
      </c>
      <c r="K63" s="561">
        <v>0</v>
      </c>
      <c r="L63" s="561">
        <f t="shared" si="3"/>
        <v>0</v>
      </c>
      <c r="M63" s="561">
        <v>0</v>
      </c>
      <c r="N63" s="561">
        <v>0</v>
      </c>
      <c r="O63" s="561">
        <v>0</v>
      </c>
      <c r="P63" s="561">
        <f t="shared" si="4"/>
        <v>0</v>
      </c>
    </row>
    <row r="64" spans="1:16" s="27" customFormat="1" x14ac:dyDescent="0.25">
      <c r="A64" s="593">
        <v>54</v>
      </c>
      <c r="B64" s="611" t="s">
        <v>148</v>
      </c>
      <c r="C64" s="31" t="s">
        <v>149</v>
      </c>
      <c r="D64" s="561">
        <v>0</v>
      </c>
      <c r="E64" s="561">
        <v>0</v>
      </c>
      <c r="F64" s="561">
        <v>0</v>
      </c>
      <c r="G64" s="561">
        <v>0</v>
      </c>
      <c r="H64" s="561">
        <f t="shared" si="2"/>
        <v>0</v>
      </c>
      <c r="I64" s="561">
        <v>0</v>
      </c>
      <c r="J64" s="561">
        <v>0</v>
      </c>
      <c r="K64" s="561">
        <v>0</v>
      </c>
      <c r="L64" s="561">
        <f t="shared" si="3"/>
        <v>0</v>
      </c>
      <c r="M64" s="561">
        <v>0</v>
      </c>
      <c r="N64" s="561">
        <v>0</v>
      </c>
      <c r="O64" s="561">
        <v>0</v>
      </c>
      <c r="P64" s="561">
        <f t="shared" si="4"/>
        <v>0</v>
      </c>
    </row>
    <row r="65" spans="1:16" s="27" customFormat="1" x14ac:dyDescent="0.25">
      <c r="A65" s="593">
        <v>55</v>
      </c>
      <c r="B65" s="72" t="s">
        <v>150</v>
      </c>
      <c r="C65" s="31" t="s">
        <v>151</v>
      </c>
      <c r="D65" s="561">
        <v>0</v>
      </c>
      <c r="E65" s="561">
        <v>0</v>
      </c>
      <c r="F65" s="561">
        <v>0</v>
      </c>
      <c r="G65" s="561">
        <v>0</v>
      </c>
      <c r="H65" s="561">
        <f t="shared" si="2"/>
        <v>0</v>
      </c>
      <c r="I65" s="561">
        <v>0</v>
      </c>
      <c r="J65" s="561">
        <v>0</v>
      </c>
      <c r="K65" s="561">
        <v>0</v>
      </c>
      <c r="L65" s="561">
        <f t="shared" si="3"/>
        <v>0</v>
      </c>
      <c r="M65" s="561">
        <v>0</v>
      </c>
      <c r="N65" s="561">
        <v>0</v>
      </c>
      <c r="O65" s="561">
        <v>0</v>
      </c>
      <c r="P65" s="561">
        <f t="shared" si="4"/>
        <v>0</v>
      </c>
    </row>
    <row r="66" spans="1:16" s="27" customFormat="1" x14ac:dyDescent="0.25">
      <c r="A66" s="593">
        <v>56</v>
      </c>
      <c r="B66" s="72" t="s">
        <v>154</v>
      </c>
      <c r="C66" s="31" t="s">
        <v>155</v>
      </c>
      <c r="D66" s="561">
        <v>0</v>
      </c>
      <c r="E66" s="561">
        <v>0</v>
      </c>
      <c r="F66" s="561">
        <v>0</v>
      </c>
      <c r="G66" s="561">
        <v>0</v>
      </c>
      <c r="H66" s="561">
        <f t="shared" si="2"/>
        <v>0</v>
      </c>
      <c r="I66" s="561">
        <v>0</v>
      </c>
      <c r="J66" s="561">
        <v>0</v>
      </c>
      <c r="K66" s="561">
        <v>0</v>
      </c>
      <c r="L66" s="561">
        <f t="shared" si="3"/>
        <v>0</v>
      </c>
      <c r="M66" s="561">
        <v>0</v>
      </c>
      <c r="N66" s="561">
        <v>0</v>
      </c>
      <c r="O66" s="561">
        <v>0</v>
      </c>
      <c r="P66" s="561">
        <f t="shared" si="4"/>
        <v>0</v>
      </c>
    </row>
    <row r="67" spans="1:16" s="27" customFormat="1" ht="24" x14ac:dyDescent="0.25">
      <c r="A67" s="593">
        <v>57</v>
      </c>
      <c r="B67" s="71" t="s">
        <v>158</v>
      </c>
      <c r="C67" s="31" t="s">
        <v>159</v>
      </c>
      <c r="D67" s="561">
        <v>0</v>
      </c>
      <c r="E67" s="561">
        <v>0</v>
      </c>
      <c r="F67" s="561">
        <v>0</v>
      </c>
      <c r="G67" s="561">
        <v>0</v>
      </c>
      <c r="H67" s="561">
        <f t="shared" si="2"/>
        <v>0</v>
      </c>
      <c r="I67" s="561">
        <v>0</v>
      </c>
      <c r="J67" s="561">
        <v>0</v>
      </c>
      <c r="K67" s="561">
        <v>0</v>
      </c>
      <c r="L67" s="561">
        <f t="shared" si="3"/>
        <v>0</v>
      </c>
      <c r="M67" s="561">
        <v>0</v>
      </c>
      <c r="N67" s="561">
        <v>0</v>
      </c>
      <c r="O67" s="561">
        <v>0</v>
      </c>
      <c r="P67" s="561">
        <f t="shared" si="4"/>
        <v>0</v>
      </c>
    </row>
    <row r="68" spans="1:16" s="27" customFormat="1" ht="24" x14ac:dyDescent="0.25">
      <c r="A68" s="593">
        <v>58</v>
      </c>
      <c r="B68" s="71" t="s">
        <v>160</v>
      </c>
      <c r="C68" s="31" t="s">
        <v>161</v>
      </c>
      <c r="D68" s="561">
        <v>0</v>
      </c>
      <c r="E68" s="561">
        <v>0</v>
      </c>
      <c r="F68" s="561">
        <v>0</v>
      </c>
      <c r="G68" s="561">
        <v>0</v>
      </c>
      <c r="H68" s="561">
        <f t="shared" si="2"/>
        <v>0</v>
      </c>
      <c r="I68" s="561">
        <v>0</v>
      </c>
      <c r="J68" s="561">
        <v>0</v>
      </c>
      <c r="K68" s="561">
        <v>0</v>
      </c>
      <c r="L68" s="561">
        <f t="shared" si="3"/>
        <v>0</v>
      </c>
      <c r="M68" s="561">
        <v>0</v>
      </c>
      <c r="N68" s="561">
        <v>0</v>
      </c>
      <c r="O68" s="561">
        <v>0</v>
      </c>
      <c r="P68" s="561">
        <f t="shared" si="4"/>
        <v>0</v>
      </c>
    </row>
    <row r="69" spans="1:16" s="27" customFormat="1" x14ac:dyDescent="0.25">
      <c r="A69" s="593">
        <v>59</v>
      </c>
      <c r="B69" s="72" t="s">
        <v>162</v>
      </c>
      <c r="C69" s="31" t="s">
        <v>163</v>
      </c>
      <c r="D69" s="561">
        <v>0</v>
      </c>
      <c r="E69" s="561">
        <v>0</v>
      </c>
      <c r="F69" s="561">
        <v>0</v>
      </c>
      <c r="G69" s="561">
        <v>0</v>
      </c>
      <c r="H69" s="561">
        <f t="shared" si="2"/>
        <v>0</v>
      </c>
      <c r="I69" s="561">
        <v>0</v>
      </c>
      <c r="J69" s="561">
        <v>0</v>
      </c>
      <c r="K69" s="561">
        <v>0</v>
      </c>
      <c r="L69" s="561">
        <f t="shared" si="3"/>
        <v>0</v>
      </c>
      <c r="M69" s="561">
        <v>0</v>
      </c>
      <c r="N69" s="561">
        <v>0</v>
      </c>
      <c r="O69" s="561">
        <v>0</v>
      </c>
      <c r="P69" s="561">
        <f t="shared" si="4"/>
        <v>0</v>
      </c>
    </row>
    <row r="70" spans="1:16" s="27" customFormat="1" x14ac:dyDescent="0.25">
      <c r="A70" s="593">
        <v>60</v>
      </c>
      <c r="B70" s="72" t="s">
        <v>164</v>
      </c>
      <c r="C70" s="31" t="s">
        <v>165</v>
      </c>
      <c r="D70" s="561">
        <v>0</v>
      </c>
      <c r="E70" s="561">
        <v>1694</v>
      </c>
      <c r="F70" s="561">
        <v>0</v>
      </c>
      <c r="G70" s="561">
        <v>0</v>
      </c>
      <c r="H70" s="561">
        <f t="shared" si="2"/>
        <v>1694</v>
      </c>
      <c r="I70" s="561">
        <v>0</v>
      </c>
      <c r="J70" s="561">
        <v>0</v>
      </c>
      <c r="K70" s="561">
        <v>0</v>
      </c>
      <c r="L70" s="561">
        <f t="shared" si="3"/>
        <v>0</v>
      </c>
      <c r="M70" s="561">
        <v>0</v>
      </c>
      <c r="N70" s="561">
        <v>0</v>
      </c>
      <c r="O70" s="561">
        <v>0</v>
      </c>
      <c r="P70" s="561">
        <f t="shared" si="4"/>
        <v>0</v>
      </c>
    </row>
    <row r="71" spans="1:16" s="27" customFormat="1" x14ac:dyDescent="0.25">
      <c r="A71" s="593">
        <v>61</v>
      </c>
      <c r="B71" s="72" t="s">
        <v>166</v>
      </c>
      <c r="C71" s="31" t="s">
        <v>167</v>
      </c>
      <c r="D71" s="561">
        <v>0</v>
      </c>
      <c r="E71" s="561">
        <v>0</v>
      </c>
      <c r="F71" s="561">
        <v>0</v>
      </c>
      <c r="G71" s="561">
        <v>0</v>
      </c>
      <c r="H71" s="561">
        <f t="shared" si="2"/>
        <v>0</v>
      </c>
      <c r="I71" s="561">
        <v>0</v>
      </c>
      <c r="J71" s="561">
        <v>0</v>
      </c>
      <c r="K71" s="561">
        <v>0</v>
      </c>
      <c r="L71" s="561">
        <f t="shared" si="3"/>
        <v>0</v>
      </c>
      <c r="M71" s="561">
        <v>0</v>
      </c>
      <c r="N71" s="561">
        <v>0</v>
      </c>
      <c r="O71" s="561">
        <v>0</v>
      </c>
      <c r="P71" s="561">
        <f t="shared" si="4"/>
        <v>0</v>
      </c>
    </row>
    <row r="72" spans="1:16" s="27" customFormat="1" ht="22.5" customHeight="1" x14ac:dyDescent="0.25">
      <c r="A72" s="1135">
        <v>62</v>
      </c>
      <c r="B72" s="71" t="s">
        <v>170</v>
      </c>
      <c r="C72" s="145" t="s">
        <v>793</v>
      </c>
      <c r="D72" s="561">
        <v>0</v>
      </c>
      <c r="E72" s="561">
        <v>0</v>
      </c>
      <c r="F72" s="561">
        <v>0</v>
      </c>
      <c r="G72" s="561">
        <v>0</v>
      </c>
      <c r="H72" s="561">
        <f t="shared" ref="H72:H137" si="5">D72+E72+F72+G72</f>
        <v>0</v>
      </c>
      <c r="I72" s="561">
        <v>0</v>
      </c>
      <c r="J72" s="561">
        <v>0</v>
      </c>
      <c r="K72" s="561">
        <v>0</v>
      </c>
      <c r="L72" s="561">
        <f t="shared" ref="L72:L138" si="6">I72+J72+K72</f>
        <v>0</v>
      </c>
      <c r="M72" s="561">
        <v>0</v>
      </c>
      <c r="N72" s="561">
        <v>0</v>
      </c>
      <c r="O72" s="561">
        <v>0</v>
      </c>
      <c r="P72" s="561">
        <f t="shared" ref="P72:P138" si="7">N72+O72</f>
        <v>0</v>
      </c>
    </row>
    <row r="73" spans="1:16" s="27" customFormat="1" x14ac:dyDescent="0.25">
      <c r="A73" s="1136"/>
      <c r="B73" s="72" t="s">
        <v>168</v>
      </c>
      <c r="C73" s="31" t="s">
        <v>169</v>
      </c>
      <c r="D73" s="561"/>
      <c r="E73" s="561"/>
      <c r="F73" s="561"/>
      <c r="G73" s="561"/>
      <c r="H73" s="561"/>
      <c r="I73" s="561"/>
      <c r="J73" s="561"/>
      <c r="K73" s="561"/>
      <c r="L73" s="561"/>
      <c r="M73" s="561"/>
      <c r="N73" s="561"/>
      <c r="O73" s="561"/>
      <c r="P73" s="561"/>
    </row>
    <row r="74" spans="1:16" s="27" customFormat="1" x14ac:dyDescent="0.25">
      <c r="A74" s="1137"/>
      <c r="B74" s="72" t="s">
        <v>174</v>
      </c>
      <c r="C74" s="31" t="s">
        <v>175</v>
      </c>
      <c r="D74" s="561"/>
      <c r="E74" s="561"/>
      <c r="F74" s="561"/>
      <c r="G74" s="561"/>
      <c r="H74" s="561"/>
      <c r="I74" s="561"/>
      <c r="J74" s="561"/>
      <c r="K74" s="561"/>
      <c r="L74" s="561"/>
      <c r="M74" s="561"/>
      <c r="N74" s="561"/>
      <c r="O74" s="561"/>
      <c r="P74" s="561"/>
    </row>
    <row r="75" spans="1:16" s="27" customFormat="1" ht="24.75" customHeight="1" x14ac:dyDescent="0.25">
      <c r="A75" s="1135">
        <v>63</v>
      </c>
      <c r="B75" s="71" t="s">
        <v>176</v>
      </c>
      <c r="C75" s="145" t="s">
        <v>796</v>
      </c>
      <c r="D75" s="561">
        <v>0</v>
      </c>
      <c r="E75" s="561">
        <v>0</v>
      </c>
      <c r="F75" s="561">
        <v>0</v>
      </c>
      <c r="G75" s="561">
        <v>0</v>
      </c>
      <c r="H75" s="561">
        <f t="shared" si="5"/>
        <v>0</v>
      </c>
      <c r="I75" s="561">
        <v>0</v>
      </c>
      <c r="J75" s="561">
        <v>0</v>
      </c>
      <c r="K75" s="561">
        <v>0</v>
      </c>
      <c r="L75" s="561">
        <f t="shared" si="6"/>
        <v>0</v>
      </c>
      <c r="M75" s="561">
        <v>0</v>
      </c>
      <c r="N75" s="561">
        <v>0</v>
      </c>
      <c r="O75" s="561">
        <v>0</v>
      </c>
      <c r="P75" s="561">
        <f t="shared" si="7"/>
        <v>0</v>
      </c>
    </row>
    <row r="76" spans="1:16" s="27" customFormat="1" x14ac:dyDescent="0.25">
      <c r="A76" s="1136"/>
      <c r="B76" s="72" t="s">
        <v>172</v>
      </c>
      <c r="C76" s="31" t="s">
        <v>173</v>
      </c>
      <c r="D76" s="561"/>
      <c r="E76" s="561"/>
      <c r="F76" s="561"/>
      <c r="G76" s="561"/>
      <c r="H76" s="561"/>
      <c r="I76" s="561"/>
      <c r="J76" s="561"/>
      <c r="K76" s="561"/>
      <c r="L76" s="561"/>
      <c r="M76" s="561"/>
      <c r="N76" s="561"/>
      <c r="O76" s="561"/>
      <c r="P76" s="561"/>
    </row>
    <row r="77" spans="1:16" s="27" customFormat="1" x14ac:dyDescent="0.25">
      <c r="A77" s="1136"/>
      <c r="B77" s="71" t="s">
        <v>178</v>
      </c>
      <c r="C77" s="31" t="s">
        <v>179</v>
      </c>
      <c r="D77" s="561">
        <v>0</v>
      </c>
      <c r="E77" s="561">
        <v>0</v>
      </c>
      <c r="F77" s="561">
        <v>0</v>
      </c>
      <c r="G77" s="561">
        <v>0</v>
      </c>
      <c r="H77" s="561">
        <f t="shared" si="5"/>
        <v>0</v>
      </c>
      <c r="I77" s="561">
        <v>0</v>
      </c>
      <c r="J77" s="561">
        <v>0</v>
      </c>
      <c r="K77" s="561">
        <v>0</v>
      </c>
      <c r="L77" s="561">
        <f t="shared" si="6"/>
        <v>0</v>
      </c>
      <c r="M77" s="561">
        <v>0</v>
      </c>
      <c r="N77" s="561">
        <v>0</v>
      </c>
      <c r="O77" s="561">
        <v>0</v>
      </c>
      <c r="P77" s="561">
        <f t="shared" si="7"/>
        <v>0</v>
      </c>
    </row>
    <row r="78" spans="1:16" s="27" customFormat="1" x14ac:dyDescent="0.25">
      <c r="A78" s="1137"/>
      <c r="B78" s="71" t="s">
        <v>180</v>
      </c>
      <c r="C78" s="31" t="s">
        <v>181</v>
      </c>
      <c r="D78" s="561">
        <v>0</v>
      </c>
      <c r="E78" s="561">
        <v>0</v>
      </c>
      <c r="F78" s="561">
        <v>0</v>
      </c>
      <c r="G78" s="561">
        <v>0</v>
      </c>
      <c r="H78" s="561">
        <f t="shared" si="5"/>
        <v>0</v>
      </c>
      <c r="I78" s="561">
        <v>0</v>
      </c>
      <c r="J78" s="561">
        <v>0</v>
      </c>
      <c r="K78" s="561">
        <v>0</v>
      </c>
      <c r="L78" s="561">
        <f t="shared" si="6"/>
        <v>0</v>
      </c>
      <c r="M78" s="561">
        <v>0</v>
      </c>
      <c r="N78" s="561">
        <v>0</v>
      </c>
      <c r="O78" s="561">
        <v>0</v>
      </c>
      <c r="P78" s="561">
        <f t="shared" si="7"/>
        <v>0</v>
      </c>
    </row>
    <row r="79" spans="1:16" s="27" customFormat="1" x14ac:dyDescent="0.25">
      <c r="A79" s="593">
        <v>64</v>
      </c>
      <c r="B79" s="611" t="s">
        <v>182</v>
      </c>
      <c r="C79" s="31" t="s">
        <v>183</v>
      </c>
      <c r="D79" s="561">
        <v>0</v>
      </c>
      <c r="E79" s="561">
        <v>2272</v>
      </c>
      <c r="F79" s="561">
        <v>41</v>
      </c>
      <c r="G79" s="561">
        <v>0</v>
      </c>
      <c r="H79" s="561">
        <f t="shared" si="5"/>
        <v>2313</v>
      </c>
      <c r="I79" s="561">
        <v>0</v>
      </c>
      <c r="J79" s="561">
        <v>0</v>
      </c>
      <c r="K79" s="561">
        <v>0</v>
      </c>
      <c r="L79" s="561">
        <f t="shared" si="6"/>
        <v>0</v>
      </c>
      <c r="M79" s="561">
        <v>0</v>
      </c>
      <c r="N79" s="561">
        <v>0</v>
      </c>
      <c r="O79" s="561">
        <v>0</v>
      </c>
      <c r="P79" s="561">
        <f t="shared" si="7"/>
        <v>0</v>
      </c>
    </row>
    <row r="80" spans="1:16" s="27" customFormat="1" x14ac:dyDescent="0.25">
      <c r="A80" s="593">
        <v>65</v>
      </c>
      <c r="B80" s="71" t="s">
        <v>184</v>
      </c>
      <c r="C80" s="31" t="s">
        <v>185</v>
      </c>
      <c r="D80" s="561">
        <v>0</v>
      </c>
      <c r="E80" s="561">
        <v>5476</v>
      </c>
      <c r="F80" s="561">
        <v>100</v>
      </c>
      <c r="G80" s="561">
        <v>891</v>
      </c>
      <c r="H80" s="561">
        <f t="shared" si="5"/>
        <v>6467</v>
      </c>
      <c r="I80" s="561">
        <v>0</v>
      </c>
      <c r="J80" s="561">
        <v>0</v>
      </c>
      <c r="K80" s="561">
        <v>0</v>
      </c>
      <c r="L80" s="561">
        <f t="shared" si="6"/>
        <v>0</v>
      </c>
      <c r="M80" s="561">
        <v>0</v>
      </c>
      <c r="N80" s="561">
        <v>0</v>
      </c>
      <c r="O80" s="561">
        <v>0</v>
      </c>
      <c r="P80" s="561">
        <f t="shared" si="7"/>
        <v>0</v>
      </c>
    </row>
    <row r="81" spans="1:16" s="27" customFormat="1" x14ac:dyDescent="0.25">
      <c r="A81" s="593">
        <v>66</v>
      </c>
      <c r="B81" s="611" t="s">
        <v>186</v>
      </c>
      <c r="C81" s="31" t="s">
        <v>187</v>
      </c>
      <c r="D81" s="561">
        <v>4919</v>
      </c>
      <c r="E81" s="561">
        <v>2977</v>
      </c>
      <c r="F81" s="561">
        <v>54</v>
      </c>
      <c r="G81" s="561">
        <v>485</v>
      </c>
      <c r="H81" s="561">
        <f t="shared" si="5"/>
        <v>8435</v>
      </c>
      <c r="I81" s="561">
        <v>0</v>
      </c>
      <c r="J81" s="561">
        <v>0</v>
      </c>
      <c r="K81" s="561">
        <v>0</v>
      </c>
      <c r="L81" s="561">
        <f t="shared" si="6"/>
        <v>0</v>
      </c>
      <c r="M81" s="561">
        <v>0</v>
      </c>
      <c r="N81" s="561">
        <v>0</v>
      </c>
      <c r="O81" s="561">
        <v>0</v>
      </c>
      <c r="P81" s="561">
        <f t="shared" si="7"/>
        <v>0</v>
      </c>
    </row>
    <row r="82" spans="1:16" s="27" customFormat="1" ht="24" x14ac:dyDescent="0.25">
      <c r="A82" s="1135">
        <v>67</v>
      </c>
      <c r="B82" s="71" t="s">
        <v>188</v>
      </c>
      <c r="C82" s="145" t="s">
        <v>795</v>
      </c>
      <c r="D82" s="561">
        <v>0</v>
      </c>
      <c r="E82" s="561">
        <v>2020</v>
      </c>
      <c r="F82" s="561">
        <v>0</v>
      </c>
      <c r="G82" s="561">
        <v>0</v>
      </c>
      <c r="H82" s="561">
        <f t="shared" si="5"/>
        <v>2020</v>
      </c>
      <c r="I82" s="561">
        <v>0</v>
      </c>
      <c r="J82" s="561">
        <v>0</v>
      </c>
      <c r="K82" s="561">
        <v>0</v>
      </c>
      <c r="L82" s="561">
        <f t="shared" si="6"/>
        <v>0</v>
      </c>
      <c r="M82" s="561">
        <v>0</v>
      </c>
      <c r="N82" s="561">
        <v>0</v>
      </c>
      <c r="O82" s="561">
        <v>0</v>
      </c>
      <c r="P82" s="561">
        <f t="shared" si="7"/>
        <v>0</v>
      </c>
    </row>
    <row r="83" spans="1:16" s="27" customFormat="1" x14ac:dyDescent="0.25">
      <c r="A83" s="1137"/>
      <c r="B83" s="611" t="s">
        <v>156</v>
      </c>
      <c r="C83" s="31" t="s">
        <v>157</v>
      </c>
      <c r="D83" s="561"/>
      <c r="E83" s="561"/>
      <c r="F83" s="561"/>
      <c r="G83" s="561"/>
      <c r="H83" s="561"/>
      <c r="I83" s="561"/>
      <c r="J83" s="561"/>
      <c r="K83" s="561"/>
      <c r="L83" s="561"/>
      <c r="M83" s="561"/>
      <c r="N83" s="561"/>
      <c r="O83" s="561"/>
      <c r="P83" s="561"/>
    </row>
    <row r="84" spans="1:16" s="27" customFormat="1" x14ac:dyDescent="0.25">
      <c r="A84" s="593">
        <v>68</v>
      </c>
      <c r="B84" s="71" t="s">
        <v>190</v>
      </c>
      <c r="C84" s="31" t="s">
        <v>191</v>
      </c>
      <c r="D84" s="561">
        <v>0</v>
      </c>
      <c r="E84" s="561">
        <v>7968</v>
      </c>
      <c r="F84" s="561">
        <v>146</v>
      </c>
      <c r="G84" s="561">
        <v>1299</v>
      </c>
      <c r="H84" s="561">
        <f t="shared" si="5"/>
        <v>9413</v>
      </c>
      <c r="I84" s="561">
        <v>0</v>
      </c>
      <c r="J84" s="561">
        <v>0</v>
      </c>
      <c r="K84" s="561">
        <v>0</v>
      </c>
      <c r="L84" s="561">
        <f t="shared" si="6"/>
        <v>0</v>
      </c>
      <c r="M84" s="561">
        <v>0</v>
      </c>
      <c r="N84" s="561">
        <v>0</v>
      </c>
      <c r="O84" s="561">
        <v>0</v>
      </c>
      <c r="P84" s="561">
        <f t="shared" si="7"/>
        <v>0</v>
      </c>
    </row>
    <row r="85" spans="1:16" s="27" customFormat="1" ht="24" x14ac:dyDescent="0.25">
      <c r="A85" s="1135">
        <v>69</v>
      </c>
      <c r="B85" s="71" t="s">
        <v>192</v>
      </c>
      <c r="C85" s="145" t="s">
        <v>794</v>
      </c>
      <c r="D85" s="561">
        <v>0</v>
      </c>
      <c r="E85" s="561">
        <v>4197</v>
      </c>
      <c r="F85" s="561">
        <v>0</v>
      </c>
      <c r="G85" s="561">
        <v>0</v>
      </c>
      <c r="H85" s="561">
        <f t="shared" si="5"/>
        <v>4197</v>
      </c>
      <c r="I85" s="561">
        <v>2259</v>
      </c>
      <c r="J85" s="561">
        <v>0</v>
      </c>
      <c r="K85" s="561">
        <v>0</v>
      </c>
      <c r="L85" s="561">
        <f t="shared" si="6"/>
        <v>2259</v>
      </c>
      <c r="M85" s="561">
        <v>0</v>
      </c>
      <c r="N85" s="561">
        <v>0</v>
      </c>
      <c r="O85" s="561">
        <v>0</v>
      </c>
      <c r="P85" s="561">
        <f t="shared" si="7"/>
        <v>0</v>
      </c>
    </row>
    <row r="86" spans="1:16" s="27" customFormat="1" x14ac:dyDescent="0.25">
      <c r="A86" s="1137"/>
      <c r="B86" s="71" t="s">
        <v>152</v>
      </c>
      <c r="C86" s="31" t="s">
        <v>549</v>
      </c>
      <c r="D86" s="561"/>
      <c r="E86" s="561"/>
      <c r="F86" s="561"/>
      <c r="G86" s="561"/>
      <c r="H86" s="561"/>
      <c r="I86" s="561"/>
      <c r="J86" s="561"/>
      <c r="K86" s="561"/>
      <c r="L86" s="561"/>
      <c r="M86" s="561"/>
      <c r="N86" s="561"/>
      <c r="O86" s="561"/>
      <c r="P86" s="561"/>
    </row>
    <row r="87" spans="1:16" s="27" customFormat="1" x14ac:dyDescent="0.25">
      <c r="A87" s="593">
        <v>70</v>
      </c>
      <c r="B87" s="71" t="s">
        <v>194</v>
      </c>
      <c r="C87" s="31" t="s">
        <v>195</v>
      </c>
      <c r="D87" s="561">
        <v>0</v>
      </c>
      <c r="E87" s="561">
        <v>4058</v>
      </c>
      <c r="F87" s="561">
        <v>74</v>
      </c>
      <c r="G87" s="561">
        <v>661</v>
      </c>
      <c r="H87" s="561">
        <f t="shared" si="5"/>
        <v>4793</v>
      </c>
      <c r="I87" s="561">
        <v>0</v>
      </c>
      <c r="J87" s="561">
        <v>0</v>
      </c>
      <c r="K87" s="561">
        <v>0</v>
      </c>
      <c r="L87" s="561">
        <f t="shared" si="6"/>
        <v>0</v>
      </c>
      <c r="M87" s="561">
        <v>0</v>
      </c>
      <c r="N87" s="561">
        <v>0</v>
      </c>
      <c r="O87" s="561">
        <v>0</v>
      </c>
      <c r="P87" s="561">
        <f t="shared" si="7"/>
        <v>0</v>
      </c>
    </row>
    <row r="88" spans="1:16" s="27" customFormat="1" x14ac:dyDescent="0.25">
      <c r="A88" s="593">
        <v>71</v>
      </c>
      <c r="B88" s="71" t="s">
        <v>196</v>
      </c>
      <c r="C88" s="31" t="s">
        <v>197</v>
      </c>
      <c r="D88" s="561">
        <v>0</v>
      </c>
      <c r="E88" s="561">
        <v>0</v>
      </c>
      <c r="F88" s="561">
        <v>0</v>
      </c>
      <c r="G88" s="561">
        <v>0</v>
      </c>
      <c r="H88" s="561">
        <f t="shared" si="5"/>
        <v>0</v>
      </c>
      <c r="I88" s="561">
        <v>0</v>
      </c>
      <c r="J88" s="561">
        <v>0</v>
      </c>
      <c r="K88" s="561">
        <v>0</v>
      </c>
      <c r="L88" s="561">
        <f t="shared" si="6"/>
        <v>0</v>
      </c>
      <c r="M88" s="561">
        <v>0</v>
      </c>
      <c r="N88" s="561">
        <v>0</v>
      </c>
      <c r="O88" s="561">
        <v>0</v>
      </c>
      <c r="P88" s="561">
        <f t="shared" si="7"/>
        <v>0</v>
      </c>
    </row>
    <row r="89" spans="1:16" s="27" customFormat="1" x14ac:dyDescent="0.25">
      <c r="A89" s="593">
        <v>72</v>
      </c>
      <c r="B89" s="72" t="s">
        <v>30</v>
      </c>
      <c r="C89" s="31" t="s">
        <v>198</v>
      </c>
      <c r="D89" s="561">
        <v>0</v>
      </c>
      <c r="E89" s="561">
        <v>0</v>
      </c>
      <c r="F89" s="561">
        <v>0</v>
      </c>
      <c r="G89" s="561">
        <v>0</v>
      </c>
      <c r="H89" s="561">
        <f t="shared" si="5"/>
        <v>0</v>
      </c>
      <c r="I89" s="561">
        <v>0</v>
      </c>
      <c r="J89" s="561">
        <v>0</v>
      </c>
      <c r="K89" s="561">
        <v>0</v>
      </c>
      <c r="L89" s="561">
        <f t="shared" si="6"/>
        <v>0</v>
      </c>
      <c r="M89" s="561">
        <v>0</v>
      </c>
      <c r="N89" s="561">
        <v>0</v>
      </c>
      <c r="O89" s="561">
        <v>0</v>
      </c>
      <c r="P89" s="561">
        <f t="shared" si="7"/>
        <v>0</v>
      </c>
    </row>
    <row r="90" spans="1:16" s="27" customFormat="1" ht="24" x14ac:dyDescent="0.25">
      <c r="A90" s="1135">
        <v>73</v>
      </c>
      <c r="B90" s="1138" t="s">
        <v>199</v>
      </c>
      <c r="C90" s="145" t="s">
        <v>797</v>
      </c>
      <c r="D90" s="561">
        <v>0</v>
      </c>
      <c r="E90" s="561">
        <v>219</v>
      </c>
      <c r="F90" s="561">
        <v>0</v>
      </c>
      <c r="G90" s="561">
        <v>36</v>
      </c>
      <c r="H90" s="561">
        <f t="shared" si="5"/>
        <v>255</v>
      </c>
      <c r="I90" s="561">
        <v>109</v>
      </c>
      <c r="J90" s="561">
        <v>10</v>
      </c>
      <c r="K90" s="561">
        <v>0</v>
      </c>
      <c r="L90" s="561">
        <f t="shared" si="6"/>
        <v>119</v>
      </c>
      <c r="M90" s="561">
        <v>0</v>
      </c>
      <c r="N90" s="561">
        <v>0</v>
      </c>
      <c r="O90" s="561">
        <v>0</v>
      </c>
      <c r="P90" s="561">
        <f t="shared" si="7"/>
        <v>0</v>
      </c>
    </row>
    <row r="91" spans="1:16" s="27" customFormat="1" ht="36" x14ac:dyDescent="0.25">
      <c r="A91" s="1136"/>
      <c r="B91" s="1139"/>
      <c r="C91" s="31" t="s">
        <v>201</v>
      </c>
      <c r="D91" s="561">
        <v>0</v>
      </c>
      <c r="E91" s="561">
        <v>219</v>
      </c>
      <c r="F91" s="561">
        <v>0</v>
      </c>
      <c r="G91" s="561">
        <v>36</v>
      </c>
      <c r="H91" s="561">
        <f t="shared" si="5"/>
        <v>255</v>
      </c>
      <c r="I91" s="561">
        <v>109</v>
      </c>
      <c r="J91" s="561">
        <v>10</v>
      </c>
      <c r="K91" s="561">
        <v>0</v>
      </c>
      <c r="L91" s="561">
        <f t="shared" si="6"/>
        <v>119</v>
      </c>
      <c r="M91" s="561">
        <v>0</v>
      </c>
      <c r="N91" s="561">
        <v>0</v>
      </c>
      <c r="O91" s="561">
        <v>0</v>
      </c>
      <c r="P91" s="561">
        <f t="shared" si="7"/>
        <v>0</v>
      </c>
    </row>
    <row r="92" spans="1:16" s="27" customFormat="1" x14ac:dyDescent="0.25">
      <c r="A92" s="1136"/>
      <c r="B92" s="1139"/>
      <c r="C92" s="31" t="s">
        <v>202</v>
      </c>
      <c r="D92" s="561">
        <v>0</v>
      </c>
      <c r="E92" s="561">
        <v>0</v>
      </c>
      <c r="F92" s="561">
        <v>0</v>
      </c>
      <c r="G92" s="561">
        <v>0</v>
      </c>
      <c r="H92" s="561">
        <f t="shared" si="5"/>
        <v>0</v>
      </c>
      <c r="I92" s="561">
        <v>0</v>
      </c>
      <c r="J92" s="561">
        <v>0</v>
      </c>
      <c r="K92" s="561">
        <v>0</v>
      </c>
      <c r="L92" s="561">
        <f t="shared" si="6"/>
        <v>0</v>
      </c>
      <c r="M92" s="561">
        <v>0</v>
      </c>
      <c r="N92" s="561">
        <v>0</v>
      </c>
      <c r="O92" s="561">
        <v>0</v>
      </c>
      <c r="P92" s="561">
        <f t="shared" si="7"/>
        <v>0</v>
      </c>
    </row>
    <row r="93" spans="1:16" s="27" customFormat="1" ht="24" x14ac:dyDescent="0.25">
      <c r="A93" s="1137"/>
      <c r="B93" s="1140"/>
      <c r="C93" s="119" t="s">
        <v>203</v>
      </c>
      <c r="D93" s="561">
        <v>0</v>
      </c>
      <c r="E93" s="561">
        <v>0</v>
      </c>
      <c r="F93" s="561">
        <v>0</v>
      </c>
      <c r="G93" s="561">
        <v>0</v>
      </c>
      <c r="H93" s="561">
        <f t="shared" si="5"/>
        <v>0</v>
      </c>
      <c r="I93" s="561">
        <v>0</v>
      </c>
      <c r="J93" s="561">
        <v>0</v>
      </c>
      <c r="K93" s="561">
        <v>0</v>
      </c>
      <c r="L93" s="561">
        <f t="shared" si="6"/>
        <v>0</v>
      </c>
      <c r="M93" s="561">
        <v>0</v>
      </c>
      <c r="N93" s="561">
        <v>0</v>
      </c>
      <c r="O93" s="561">
        <v>0</v>
      </c>
      <c r="P93" s="561">
        <f t="shared" si="7"/>
        <v>0</v>
      </c>
    </row>
    <row r="94" spans="1:16" s="27" customFormat="1" ht="12.75" customHeight="1" x14ac:dyDescent="0.25">
      <c r="A94" s="593">
        <v>74</v>
      </c>
      <c r="B94" s="72" t="s">
        <v>204</v>
      </c>
      <c r="C94" s="31" t="s">
        <v>205</v>
      </c>
      <c r="D94" s="561">
        <v>0</v>
      </c>
      <c r="E94" s="561">
        <v>0</v>
      </c>
      <c r="F94" s="561">
        <v>0</v>
      </c>
      <c r="G94" s="561">
        <v>0</v>
      </c>
      <c r="H94" s="561">
        <f t="shared" si="5"/>
        <v>0</v>
      </c>
      <c r="I94" s="561">
        <v>0</v>
      </c>
      <c r="J94" s="561">
        <v>0</v>
      </c>
      <c r="K94" s="561">
        <v>0</v>
      </c>
      <c r="L94" s="561">
        <f t="shared" si="6"/>
        <v>0</v>
      </c>
      <c r="M94" s="561">
        <v>0</v>
      </c>
      <c r="N94" s="561">
        <v>0</v>
      </c>
      <c r="O94" s="561">
        <v>0</v>
      </c>
      <c r="P94" s="561">
        <f t="shared" si="7"/>
        <v>0</v>
      </c>
    </row>
    <row r="95" spans="1:16" s="27" customFormat="1" x14ac:dyDescent="0.25">
      <c r="A95" s="593">
        <v>75</v>
      </c>
      <c r="B95" s="72" t="s">
        <v>206</v>
      </c>
      <c r="C95" s="31" t="s">
        <v>207</v>
      </c>
      <c r="D95" s="561">
        <v>0</v>
      </c>
      <c r="E95" s="561">
        <v>0</v>
      </c>
      <c r="F95" s="561">
        <v>0</v>
      </c>
      <c r="G95" s="561">
        <v>0</v>
      </c>
      <c r="H95" s="561">
        <f t="shared" si="5"/>
        <v>0</v>
      </c>
      <c r="I95" s="561">
        <v>0</v>
      </c>
      <c r="J95" s="561">
        <v>0</v>
      </c>
      <c r="K95" s="561">
        <v>0</v>
      </c>
      <c r="L95" s="561">
        <f t="shared" si="6"/>
        <v>0</v>
      </c>
      <c r="M95" s="561">
        <v>0</v>
      </c>
      <c r="N95" s="561">
        <v>0</v>
      </c>
      <c r="O95" s="561">
        <v>0</v>
      </c>
      <c r="P95" s="561">
        <f t="shared" si="7"/>
        <v>0</v>
      </c>
    </row>
    <row r="96" spans="1:16" s="27" customFormat="1" x14ac:dyDescent="0.25">
      <c r="A96" s="593">
        <v>76</v>
      </c>
      <c r="B96" s="611" t="s">
        <v>208</v>
      </c>
      <c r="C96" s="31" t="s">
        <v>209</v>
      </c>
      <c r="D96" s="561">
        <v>0</v>
      </c>
      <c r="E96" s="561">
        <v>2671</v>
      </c>
      <c r="F96" s="561">
        <v>48</v>
      </c>
      <c r="G96" s="561">
        <v>0</v>
      </c>
      <c r="H96" s="561">
        <f t="shared" si="5"/>
        <v>2719</v>
      </c>
      <c r="I96" s="561">
        <v>0</v>
      </c>
      <c r="J96" s="561">
        <v>0</v>
      </c>
      <c r="K96" s="561">
        <v>0</v>
      </c>
      <c r="L96" s="561">
        <f t="shared" si="6"/>
        <v>0</v>
      </c>
      <c r="M96" s="561">
        <v>0</v>
      </c>
      <c r="N96" s="561">
        <v>0</v>
      </c>
      <c r="O96" s="561">
        <v>0</v>
      </c>
      <c r="P96" s="561">
        <f t="shared" si="7"/>
        <v>0</v>
      </c>
    </row>
    <row r="97" spans="1:16" s="27" customFormat="1" x14ac:dyDescent="0.25">
      <c r="A97" s="593">
        <v>77</v>
      </c>
      <c r="B97" s="72" t="s">
        <v>210</v>
      </c>
      <c r="C97" s="31" t="s">
        <v>211</v>
      </c>
      <c r="D97" s="561">
        <v>0</v>
      </c>
      <c r="E97" s="561">
        <v>0</v>
      </c>
      <c r="F97" s="561">
        <v>0</v>
      </c>
      <c r="G97" s="561">
        <v>0</v>
      </c>
      <c r="H97" s="561">
        <f t="shared" si="5"/>
        <v>0</v>
      </c>
      <c r="I97" s="561">
        <v>0</v>
      </c>
      <c r="J97" s="561">
        <v>0</v>
      </c>
      <c r="K97" s="561">
        <v>0</v>
      </c>
      <c r="L97" s="561">
        <f t="shared" si="6"/>
        <v>0</v>
      </c>
      <c r="M97" s="561">
        <v>0</v>
      </c>
      <c r="N97" s="561">
        <v>0</v>
      </c>
      <c r="O97" s="561">
        <v>0</v>
      </c>
      <c r="P97" s="561">
        <f t="shared" si="7"/>
        <v>0</v>
      </c>
    </row>
    <row r="98" spans="1:16" s="27" customFormat="1" x14ac:dyDescent="0.25">
      <c r="A98" s="593">
        <v>78</v>
      </c>
      <c r="B98" s="611" t="s">
        <v>212</v>
      </c>
      <c r="C98" s="31" t="s">
        <v>213</v>
      </c>
      <c r="D98" s="561">
        <v>0</v>
      </c>
      <c r="E98" s="561">
        <v>0</v>
      </c>
      <c r="F98" s="561">
        <v>0</v>
      </c>
      <c r="G98" s="561">
        <v>0</v>
      </c>
      <c r="H98" s="561">
        <f t="shared" si="5"/>
        <v>0</v>
      </c>
      <c r="I98" s="561">
        <v>0</v>
      </c>
      <c r="J98" s="561">
        <v>0</v>
      </c>
      <c r="K98" s="561">
        <v>0</v>
      </c>
      <c r="L98" s="561">
        <f t="shared" si="6"/>
        <v>0</v>
      </c>
      <c r="M98" s="561">
        <v>0</v>
      </c>
      <c r="N98" s="561">
        <v>0</v>
      </c>
      <c r="O98" s="561">
        <v>0</v>
      </c>
      <c r="P98" s="561">
        <f t="shared" si="7"/>
        <v>0</v>
      </c>
    </row>
    <row r="99" spans="1:16" s="27" customFormat="1" x14ac:dyDescent="0.25">
      <c r="A99" s="593">
        <v>79</v>
      </c>
      <c r="B99" s="611" t="s">
        <v>214</v>
      </c>
      <c r="C99" s="31" t="s">
        <v>215</v>
      </c>
      <c r="D99" s="561">
        <v>0</v>
      </c>
      <c r="E99" s="561">
        <v>1240</v>
      </c>
      <c r="F99" s="561">
        <v>22</v>
      </c>
      <c r="G99" s="561">
        <v>0</v>
      </c>
      <c r="H99" s="561">
        <f t="shared" si="5"/>
        <v>1262</v>
      </c>
      <c r="I99" s="561">
        <v>0</v>
      </c>
      <c r="J99" s="561">
        <v>0</v>
      </c>
      <c r="K99" s="561">
        <v>0</v>
      </c>
      <c r="L99" s="561">
        <f t="shared" si="6"/>
        <v>0</v>
      </c>
      <c r="M99" s="561">
        <v>0</v>
      </c>
      <c r="N99" s="561">
        <v>0</v>
      </c>
      <c r="O99" s="561">
        <v>0</v>
      </c>
      <c r="P99" s="561">
        <f t="shared" si="7"/>
        <v>0</v>
      </c>
    </row>
    <row r="100" spans="1:16" s="27" customFormat="1" x14ac:dyDescent="0.25">
      <c r="A100" s="593">
        <v>80</v>
      </c>
      <c r="B100" s="72" t="s">
        <v>216</v>
      </c>
      <c r="C100" s="31" t="s">
        <v>217</v>
      </c>
      <c r="D100" s="561">
        <v>0</v>
      </c>
      <c r="E100" s="561">
        <v>522</v>
      </c>
      <c r="F100" s="561">
        <v>0</v>
      </c>
      <c r="G100" s="561">
        <v>0</v>
      </c>
      <c r="H100" s="561">
        <f t="shared" si="5"/>
        <v>522</v>
      </c>
      <c r="I100" s="561">
        <v>0</v>
      </c>
      <c r="J100" s="561">
        <v>0</v>
      </c>
      <c r="K100" s="561">
        <v>0</v>
      </c>
      <c r="L100" s="561">
        <f t="shared" si="6"/>
        <v>0</v>
      </c>
      <c r="M100" s="561">
        <v>0</v>
      </c>
      <c r="N100" s="561">
        <v>0</v>
      </c>
      <c r="O100" s="561">
        <v>0</v>
      </c>
      <c r="P100" s="561">
        <f t="shared" si="7"/>
        <v>0</v>
      </c>
    </row>
    <row r="101" spans="1:16" s="27" customFormat="1" x14ac:dyDescent="0.25">
      <c r="A101" s="593">
        <v>81</v>
      </c>
      <c r="B101" s="71" t="s">
        <v>218</v>
      </c>
      <c r="C101" s="31" t="s">
        <v>219</v>
      </c>
      <c r="D101" s="561">
        <v>0</v>
      </c>
      <c r="E101" s="561">
        <v>0</v>
      </c>
      <c r="F101" s="561">
        <v>0</v>
      </c>
      <c r="G101" s="561">
        <v>0</v>
      </c>
      <c r="H101" s="561">
        <f t="shared" si="5"/>
        <v>0</v>
      </c>
      <c r="I101" s="561">
        <v>0</v>
      </c>
      <c r="J101" s="561">
        <v>0</v>
      </c>
      <c r="K101" s="561">
        <v>0</v>
      </c>
      <c r="L101" s="561">
        <f t="shared" si="6"/>
        <v>0</v>
      </c>
      <c r="M101" s="561">
        <v>0</v>
      </c>
      <c r="N101" s="561">
        <v>0</v>
      </c>
      <c r="O101" s="561">
        <v>0</v>
      </c>
      <c r="P101" s="561">
        <f t="shared" si="7"/>
        <v>0</v>
      </c>
    </row>
    <row r="102" spans="1:16" s="27" customFormat="1" x14ac:dyDescent="0.25">
      <c r="A102" s="593">
        <v>82</v>
      </c>
      <c r="B102" s="71" t="s">
        <v>220</v>
      </c>
      <c r="C102" s="31" t="s">
        <v>221</v>
      </c>
      <c r="D102" s="561">
        <v>0</v>
      </c>
      <c r="E102" s="561">
        <v>0</v>
      </c>
      <c r="F102" s="561">
        <v>0</v>
      </c>
      <c r="G102" s="561">
        <v>0</v>
      </c>
      <c r="H102" s="561">
        <f t="shared" si="5"/>
        <v>0</v>
      </c>
      <c r="I102" s="561">
        <v>0</v>
      </c>
      <c r="J102" s="561">
        <v>0</v>
      </c>
      <c r="K102" s="561">
        <v>0</v>
      </c>
      <c r="L102" s="561">
        <f t="shared" si="6"/>
        <v>0</v>
      </c>
      <c r="M102" s="561">
        <v>0</v>
      </c>
      <c r="N102" s="561">
        <v>0</v>
      </c>
      <c r="O102" s="561">
        <v>0</v>
      </c>
      <c r="P102" s="561">
        <f t="shared" si="7"/>
        <v>0</v>
      </c>
    </row>
    <row r="103" spans="1:16" s="27" customFormat="1" x14ac:dyDescent="0.25">
      <c r="A103" s="593">
        <v>83</v>
      </c>
      <c r="B103" s="611" t="s">
        <v>222</v>
      </c>
      <c r="C103" s="31" t="s">
        <v>223</v>
      </c>
      <c r="D103" s="561">
        <v>0</v>
      </c>
      <c r="E103" s="561">
        <v>0</v>
      </c>
      <c r="F103" s="561">
        <v>0</v>
      </c>
      <c r="G103" s="561">
        <v>0</v>
      </c>
      <c r="H103" s="561">
        <f t="shared" si="5"/>
        <v>0</v>
      </c>
      <c r="I103" s="561">
        <v>0</v>
      </c>
      <c r="J103" s="561">
        <v>0</v>
      </c>
      <c r="K103" s="561">
        <v>0</v>
      </c>
      <c r="L103" s="561">
        <f t="shared" si="6"/>
        <v>0</v>
      </c>
      <c r="M103" s="561">
        <v>0</v>
      </c>
      <c r="N103" s="561">
        <v>0</v>
      </c>
      <c r="O103" s="561">
        <v>0</v>
      </c>
      <c r="P103" s="561">
        <f t="shared" si="7"/>
        <v>0</v>
      </c>
    </row>
    <row r="104" spans="1:16" s="27" customFormat="1" x14ac:dyDescent="0.25">
      <c r="A104" s="593">
        <v>84</v>
      </c>
      <c r="B104" s="71" t="s">
        <v>224</v>
      </c>
      <c r="C104" s="31" t="s">
        <v>225</v>
      </c>
      <c r="D104" s="561">
        <v>0</v>
      </c>
      <c r="E104" s="561">
        <v>0</v>
      </c>
      <c r="F104" s="561">
        <v>0</v>
      </c>
      <c r="G104" s="561">
        <v>0</v>
      </c>
      <c r="H104" s="561">
        <f t="shared" si="5"/>
        <v>0</v>
      </c>
      <c r="I104" s="561">
        <v>0</v>
      </c>
      <c r="J104" s="561">
        <v>0</v>
      </c>
      <c r="K104" s="561">
        <v>0</v>
      </c>
      <c r="L104" s="561">
        <f t="shared" si="6"/>
        <v>0</v>
      </c>
      <c r="M104" s="561">
        <v>0</v>
      </c>
      <c r="N104" s="561">
        <v>0</v>
      </c>
      <c r="O104" s="561">
        <v>0</v>
      </c>
      <c r="P104" s="561">
        <f t="shared" si="7"/>
        <v>0</v>
      </c>
    </row>
    <row r="105" spans="1:16" s="27" customFormat="1" x14ac:dyDescent="0.25">
      <c r="A105" s="593">
        <v>85</v>
      </c>
      <c r="B105" s="71" t="s">
        <v>226</v>
      </c>
      <c r="C105" s="31" t="s">
        <v>227</v>
      </c>
      <c r="D105" s="561">
        <v>0</v>
      </c>
      <c r="E105" s="561">
        <v>593</v>
      </c>
      <c r="F105" s="561">
        <v>0</v>
      </c>
      <c r="G105" s="561">
        <v>0</v>
      </c>
      <c r="H105" s="561">
        <f t="shared" si="5"/>
        <v>593</v>
      </c>
      <c r="I105" s="561">
        <v>0</v>
      </c>
      <c r="J105" s="561">
        <v>0</v>
      </c>
      <c r="K105" s="561">
        <v>0</v>
      </c>
      <c r="L105" s="561">
        <f t="shared" si="6"/>
        <v>0</v>
      </c>
      <c r="M105" s="561">
        <v>0</v>
      </c>
      <c r="N105" s="561">
        <v>0</v>
      </c>
      <c r="O105" s="561">
        <v>0</v>
      </c>
      <c r="P105" s="561">
        <f t="shared" si="7"/>
        <v>0</v>
      </c>
    </row>
    <row r="106" spans="1:16" s="27" customFormat="1" x14ac:dyDescent="0.25">
      <c r="A106" s="593">
        <v>86</v>
      </c>
      <c r="B106" s="72" t="s">
        <v>32</v>
      </c>
      <c r="C106" s="31" t="s">
        <v>33</v>
      </c>
      <c r="D106" s="561">
        <v>0</v>
      </c>
      <c r="E106" s="561">
        <v>1615</v>
      </c>
      <c r="F106" s="561">
        <v>74</v>
      </c>
      <c r="G106" s="561">
        <v>336</v>
      </c>
      <c r="H106" s="561">
        <f t="shared" si="5"/>
        <v>2025</v>
      </c>
      <c r="I106" s="561">
        <v>0</v>
      </c>
      <c r="J106" s="561">
        <v>0</v>
      </c>
      <c r="K106" s="561">
        <v>0</v>
      </c>
      <c r="L106" s="561">
        <f t="shared" si="6"/>
        <v>0</v>
      </c>
      <c r="M106" s="561">
        <v>0</v>
      </c>
      <c r="N106" s="561">
        <v>0</v>
      </c>
      <c r="O106" s="561">
        <v>0</v>
      </c>
      <c r="P106" s="561">
        <f t="shared" si="7"/>
        <v>0</v>
      </c>
    </row>
    <row r="107" spans="1:16" s="149" customFormat="1" x14ac:dyDescent="0.25">
      <c r="A107" s="593">
        <v>87</v>
      </c>
      <c r="B107" s="611" t="s">
        <v>228</v>
      </c>
      <c r="C107" s="31" t="s">
        <v>229</v>
      </c>
      <c r="D107" s="561">
        <v>0</v>
      </c>
      <c r="E107" s="561">
        <v>0</v>
      </c>
      <c r="F107" s="561">
        <v>0</v>
      </c>
      <c r="G107" s="561">
        <v>0</v>
      </c>
      <c r="H107" s="561">
        <f t="shared" si="5"/>
        <v>0</v>
      </c>
      <c r="I107" s="561">
        <v>0</v>
      </c>
      <c r="J107" s="561">
        <v>0</v>
      </c>
      <c r="K107" s="561">
        <v>0</v>
      </c>
      <c r="L107" s="561">
        <f t="shared" si="6"/>
        <v>0</v>
      </c>
      <c r="M107" s="561">
        <v>0</v>
      </c>
      <c r="N107" s="561">
        <v>0</v>
      </c>
      <c r="O107" s="561">
        <v>0</v>
      </c>
      <c r="P107" s="561">
        <f t="shared" si="7"/>
        <v>0</v>
      </c>
    </row>
    <row r="108" spans="1:16" s="27" customFormat="1" x14ac:dyDescent="0.25">
      <c r="A108" s="593">
        <v>88</v>
      </c>
      <c r="B108" s="71" t="s">
        <v>230</v>
      </c>
      <c r="C108" s="31" t="s">
        <v>231</v>
      </c>
      <c r="D108" s="561">
        <v>0</v>
      </c>
      <c r="E108" s="561">
        <v>1216</v>
      </c>
      <c r="F108" s="561">
        <v>0</v>
      </c>
      <c r="G108" s="561">
        <v>198</v>
      </c>
      <c r="H108" s="561">
        <f t="shared" si="5"/>
        <v>1414</v>
      </c>
      <c r="I108" s="561">
        <v>0</v>
      </c>
      <c r="J108" s="561">
        <v>0</v>
      </c>
      <c r="K108" s="561">
        <v>0</v>
      </c>
      <c r="L108" s="561">
        <f t="shared" si="6"/>
        <v>0</v>
      </c>
      <c r="M108" s="561">
        <v>0</v>
      </c>
      <c r="N108" s="561">
        <v>0</v>
      </c>
      <c r="O108" s="561">
        <v>0</v>
      </c>
      <c r="P108" s="561">
        <f t="shared" si="7"/>
        <v>0</v>
      </c>
    </row>
    <row r="109" spans="1:16" s="27" customFormat="1" x14ac:dyDescent="0.25">
      <c r="A109" s="593">
        <v>89</v>
      </c>
      <c r="B109" s="71" t="s">
        <v>232</v>
      </c>
      <c r="C109" s="31" t="s">
        <v>233</v>
      </c>
      <c r="D109" s="561">
        <v>0</v>
      </c>
      <c r="E109" s="561">
        <v>0</v>
      </c>
      <c r="F109" s="561">
        <v>0</v>
      </c>
      <c r="G109" s="561">
        <v>0</v>
      </c>
      <c r="H109" s="561">
        <f t="shared" si="5"/>
        <v>0</v>
      </c>
      <c r="I109" s="561">
        <v>0</v>
      </c>
      <c r="J109" s="561">
        <v>0</v>
      </c>
      <c r="K109" s="561">
        <v>0</v>
      </c>
      <c r="L109" s="561">
        <f t="shared" si="6"/>
        <v>0</v>
      </c>
      <c r="M109" s="561">
        <v>0</v>
      </c>
      <c r="N109" s="561">
        <v>0</v>
      </c>
      <c r="O109" s="561">
        <v>0</v>
      </c>
      <c r="P109" s="561">
        <f t="shared" si="7"/>
        <v>0</v>
      </c>
    </row>
    <row r="110" spans="1:16" s="27" customFormat="1" x14ac:dyDescent="0.25">
      <c r="A110" s="593">
        <v>90</v>
      </c>
      <c r="B110" s="71" t="s">
        <v>234</v>
      </c>
      <c r="C110" s="31" t="s">
        <v>235</v>
      </c>
      <c r="D110" s="561">
        <v>0</v>
      </c>
      <c r="E110" s="561">
        <v>0</v>
      </c>
      <c r="F110" s="561">
        <v>0</v>
      </c>
      <c r="G110" s="561">
        <v>0</v>
      </c>
      <c r="H110" s="561">
        <f t="shared" si="5"/>
        <v>0</v>
      </c>
      <c r="I110" s="561">
        <v>0</v>
      </c>
      <c r="J110" s="561">
        <v>0</v>
      </c>
      <c r="K110" s="561">
        <v>0</v>
      </c>
      <c r="L110" s="561">
        <f t="shared" si="6"/>
        <v>0</v>
      </c>
      <c r="M110" s="561">
        <v>0</v>
      </c>
      <c r="N110" s="561">
        <v>0</v>
      </c>
      <c r="O110" s="561">
        <v>0</v>
      </c>
      <c r="P110" s="561">
        <f t="shared" si="7"/>
        <v>0</v>
      </c>
    </row>
    <row r="111" spans="1:16" s="27" customFormat="1" x14ac:dyDescent="0.25">
      <c r="A111" s="593">
        <v>91</v>
      </c>
      <c r="B111" s="611" t="s">
        <v>236</v>
      </c>
      <c r="C111" s="31" t="s">
        <v>237</v>
      </c>
      <c r="D111" s="561">
        <v>0</v>
      </c>
      <c r="E111" s="561">
        <v>0</v>
      </c>
      <c r="F111" s="561">
        <v>0</v>
      </c>
      <c r="G111" s="561">
        <v>0</v>
      </c>
      <c r="H111" s="561">
        <f t="shared" si="5"/>
        <v>0</v>
      </c>
      <c r="I111" s="561">
        <v>0</v>
      </c>
      <c r="J111" s="561">
        <v>0</v>
      </c>
      <c r="K111" s="561">
        <v>0</v>
      </c>
      <c r="L111" s="561">
        <f t="shared" si="6"/>
        <v>0</v>
      </c>
      <c r="M111" s="561">
        <v>0</v>
      </c>
      <c r="N111" s="561">
        <v>0</v>
      </c>
      <c r="O111" s="561">
        <v>0</v>
      </c>
      <c r="P111" s="561">
        <f t="shared" si="7"/>
        <v>0</v>
      </c>
    </row>
    <row r="112" spans="1:16" s="27" customFormat="1" x14ac:dyDescent="0.25">
      <c r="A112" s="593">
        <v>92</v>
      </c>
      <c r="B112" s="611" t="s">
        <v>238</v>
      </c>
      <c r="C112" s="31" t="s">
        <v>239</v>
      </c>
      <c r="D112" s="561">
        <v>0</v>
      </c>
      <c r="E112" s="561">
        <v>0</v>
      </c>
      <c r="F112" s="561">
        <v>0</v>
      </c>
      <c r="G112" s="561">
        <v>0</v>
      </c>
      <c r="H112" s="561">
        <f t="shared" si="5"/>
        <v>0</v>
      </c>
      <c r="I112" s="561">
        <v>0</v>
      </c>
      <c r="J112" s="561">
        <v>0</v>
      </c>
      <c r="K112" s="561">
        <v>0</v>
      </c>
      <c r="L112" s="561">
        <f t="shared" si="6"/>
        <v>0</v>
      </c>
      <c r="M112" s="561">
        <v>0</v>
      </c>
      <c r="N112" s="561">
        <v>0</v>
      </c>
      <c r="O112" s="561">
        <v>0</v>
      </c>
      <c r="P112" s="561">
        <f t="shared" si="7"/>
        <v>0</v>
      </c>
    </row>
    <row r="113" spans="1:16" s="27" customFormat="1" x14ac:dyDescent="0.25">
      <c r="A113" s="593">
        <v>93</v>
      </c>
      <c r="B113" s="611" t="s">
        <v>240</v>
      </c>
      <c r="C113" s="31" t="s">
        <v>241</v>
      </c>
      <c r="D113" s="561">
        <v>0</v>
      </c>
      <c r="E113" s="561">
        <v>0</v>
      </c>
      <c r="F113" s="561">
        <v>0</v>
      </c>
      <c r="G113" s="561">
        <v>0</v>
      </c>
      <c r="H113" s="561">
        <f t="shared" si="5"/>
        <v>0</v>
      </c>
      <c r="I113" s="561">
        <v>0</v>
      </c>
      <c r="J113" s="561">
        <v>0</v>
      </c>
      <c r="K113" s="561">
        <v>0</v>
      </c>
      <c r="L113" s="561">
        <f t="shared" si="6"/>
        <v>0</v>
      </c>
      <c r="M113" s="561">
        <v>0</v>
      </c>
      <c r="N113" s="561">
        <v>0</v>
      </c>
      <c r="O113" s="561">
        <v>0</v>
      </c>
      <c r="P113" s="561">
        <f t="shared" si="7"/>
        <v>0</v>
      </c>
    </row>
    <row r="114" spans="1:16" s="27" customFormat="1" x14ac:dyDescent="0.25">
      <c r="A114" s="593">
        <v>94</v>
      </c>
      <c r="B114" s="611" t="s">
        <v>242</v>
      </c>
      <c r="C114" s="31" t="s">
        <v>243</v>
      </c>
      <c r="D114" s="561">
        <v>0</v>
      </c>
      <c r="E114" s="561">
        <v>0</v>
      </c>
      <c r="F114" s="561">
        <v>0</v>
      </c>
      <c r="G114" s="561">
        <v>0</v>
      </c>
      <c r="H114" s="561">
        <f t="shared" si="5"/>
        <v>0</v>
      </c>
      <c r="I114" s="561">
        <v>1329</v>
      </c>
      <c r="J114" s="561">
        <v>0</v>
      </c>
      <c r="K114" s="561">
        <v>0</v>
      </c>
      <c r="L114" s="561">
        <f t="shared" si="6"/>
        <v>1329</v>
      </c>
      <c r="M114" s="561">
        <v>0</v>
      </c>
      <c r="N114" s="561">
        <v>0</v>
      </c>
      <c r="O114" s="561">
        <v>0</v>
      </c>
      <c r="P114" s="561">
        <f t="shared" si="7"/>
        <v>0</v>
      </c>
    </row>
    <row r="115" spans="1:16" s="27" customFormat="1" x14ac:dyDescent="0.25">
      <c r="A115" s="593">
        <v>95</v>
      </c>
      <c r="B115" s="611" t="s">
        <v>244</v>
      </c>
      <c r="C115" s="31" t="s">
        <v>245</v>
      </c>
      <c r="D115" s="561">
        <v>0</v>
      </c>
      <c r="E115" s="561">
        <v>0</v>
      </c>
      <c r="F115" s="561">
        <v>0</v>
      </c>
      <c r="G115" s="561">
        <v>0</v>
      </c>
      <c r="H115" s="561">
        <f t="shared" si="5"/>
        <v>0</v>
      </c>
      <c r="I115" s="561">
        <v>0</v>
      </c>
      <c r="J115" s="561">
        <v>0</v>
      </c>
      <c r="K115" s="561">
        <v>0</v>
      </c>
      <c r="L115" s="561">
        <f t="shared" si="6"/>
        <v>0</v>
      </c>
      <c r="M115" s="561">
        <v>0</v>
      </c>
      <c r="N115" s="561">
        <v>0</v>
      </c>
      <c r="O115" s="561">
        <v>0</v>
      </c>
      <c r="P115" s="561">
        <f t="shared" si="7"/>
        <v>0</v>
      </c>
    </row>
    <row r="116" spans="1:16" s="27" customFormat="1" x14ac:dyDescent="0.25">
      <c r="A116" s="593">
        <v>96</v>
      </c>
      <c r="B116" s="596" t="s">
        <v>246</v>
      </c>
      <c r="C116" s="595" t="s">
        <v>247</v>
      </c>
      <c r="D116" s="561">
        <v>0</v>
      </c>
      <c r="E116" s="561">
        <v>4063</v>
      </c>
      <c r="F116" s="561">
        <v>110</v>
      </c>
      <c r="G116" s="561">
        <v>991</v>
      </c>
      <c r="H116" s="561">
        <f t="shared" si="5"/>
        <v>5164</v>
      </c>
      <c r="I116" s="561">
        <v>13574</v>
      </c>
      <c r="J116" s="561">
        <v>1243</v>
      </c>
      <c r="K116" s="561">
        <v>323</v>
      </c>
      <c r="L116" s="561">
        <f t="shared" si="6"/>
        <v>15140</v>
      </c>
      <c r="M116" s="561">
        <v>0</v>
      </c>
      <c r="N116" s="561">
        <v>0</v>
      </c>
      <c r="O116" s="561">
        <v>0</v>
      </c>
      <c r="P116" s="561">
        <f t="shared" si="7"/>
        <v>0</v>
      </c>
    </row>
    <row r="117" spans="1:16" s="27" customFormat="1" x14ac:dyDescent="0.25">
      <c r="A117" s="593">
        <v>97</v>
      </c>
      <c r="B117" s="72" t="s">
        <v>248</v>
      </c>
      <c r="C117" s="31" t="s">
        <v>249</v>
      </c>
      <c r="D117" s="561">
        <v>0</v>
      </c>
      <c r="E117" s="561">
        <v>0</v>
      </c>
      <c r="F117" s="561">
        <v>0</v>
      </c>
      <c r="G117" s="561">
        <v>0</v>
      </c>
      <c r="H117" s="561">
        <f t="shared" si="5"/>
        <v>0</v>
      </c>
      <c r="I117" s="561">
        <v>2420</v>
      </c>
      <c r="J117" s="561">
        <v>218</v>
      </c>
      <c r="K117" s="561">
        <v>0</v>
      </c>
      <c r="L117" s="561">
        <f t="shared" si="6"/>
        <v>2638</v>
      </c>
      <c r="M117" s="561">
        <v>0</v>
      </c>
      <c r="N117" s="561">
        <v>0</v>
      </c>
      <c r="O117" s="561">
        <v>0</v>
      </c>
      <c r="P117" s="561">
        <f t="shared" si="7"/>
        <v>0</v>
      </c>
    </row>
    <row r="118" spans="1:16" s="27" customFormat="1" x14ac:dyDescent="0.25">
      <c r="A118" s="593">
        <v>98</v>
      </c>
      <c r="B118" s="611" t="s">
        <v>250</v>
      </c>
      <c r="C118" s="31" t="s">
        <v>251</v>
      </c>
      <c r="D118" s="561">
        <v>0</v>
      </c>
      <c r="E118" s="561">
        <v>0</v>
      </c>
      <c r="F118" s="561">
        <v>0</v>
      </c>
      <c r="G118" s="561">
        <v>0</v>
      </c>
      <c r="H118" s="561">
        <f t="shared" si="5"/>
        <v>0</v>
      </c>
      <c r="I118" s="561">
        <v>0</v>
      </c>
      <c r="J118" s="561">
        <v>0</v>
      </c>
      <c r="K118" s="561">
        <v>0</v>
      </c>
      <c r="L118" s="561">
        <f t="shared" si="6"/>
        <v>0</v>
      </c>
      <c r="M118" s="561">
        <v>0</v>
      </c>
      <c r="N118" s="561">
        <v>0</v>
      </c>
      <c r="O118" s="561">
        <v>0</v>
      </c>
      <c r="P118" s="561">
        <f t="shared" si="7"/>
        <v>0</v>
      </c>
    </row>
    <row r="119" spans="1:16" s="27" customFormat="1" x14ac:dyDescent="0.25">
      <c r="A119" s="593">
        <v>99</v>
      </c>
      <c r="B119" s="71" t="s">
        <v>252</v>
      </c>
      <c r="C119" s="120" t="s">
        <v>253</v>
      </c>
      <c r="D119" s="561">
        <v>0</v>
      </c>
      <c r="E119" s="561">
        <v>0</v>
      </c>
      <c r="F119" s="561">
        <v>0</v>
      </c>
      <c r="G119" s="561">
        <v>0</v>
      </c>
      <c r="H119" s="561">
        <f t="shared" si="5"/>
        <v>0</v>
      </c>
      <c r="I119" s="561">
        <v>0</v>
      </c>
      <c r="J119" s="561">
        <v>0</v>
      </c>
      <c r="K119" s="561">
        <v>0</v>
      </c>
      <c r="L119" s="561">
        <f t="shared" si="6"/>
        <v>0</v>
      </c>
      <c r="M119" s="561">
        <v>0</v>
      </c>
      <c r="N119" s="561">
        <v>0</v>
      </c>
      <c r="O119" s="561">
        <v>0</v>
      </c>
      <c r="P119" s="561">
        <f t="shared" si="7"/>
        <v>0</v>
      </c>
    </row>
    <row r="120" spans="1:16" s="27" customFormat="1" x14ac:dyDescent="0.25">
      <c r="A120" s="593">
        <v>100</v>
      </c>
      <c r="B120" s="611" t="s">
        <v>254</v>
      </c>
      <c r="C120" s="31" t="s">
        <v>255</v>
      </c>
      <c r="D120" s="561">
        <v>0</v>
      </c>
      <c r="E120" s="561">
        <v>0</v>
      </c>
      <c r="F120" s="561">
        <v>0</v>
      </c>
      <c r="G120" s="561">
        <v>0</v>
      </c>
      <c r="H120" s="561">
        <f t="shared" si="5"/>
        <v>0</v>
      </c>
      <c r="I120" s="561">
        <v>1595</v>
      </c>
      <c r="J120" s="561">
        <v>0</v>
      </c>
      <c r="K120" s="561">
        <v>0</v>
      </c>
      <c r="L120" s="561">
        <f t="shared" si="6"/>
        <v>1595</v>
      </c>
      <c r="M120" s="561">
        <v>0</v>
      </c>
      <c r="N120" s="561">
        <v>0</v>
      </c>
      <c r="O120" s="561">
        <v>0</v>
      </c>
      <c r="P120" s="561">
        <f t="shared" si="7"/>
        <v>0</v>
      </c>
    </row>
    <row r="121" spans="1:16" s="27" customFormat="1" x14ac:dyDescent="0.25">
      <c r="A121" s="593">
        <v>101</v>
      </c>
      <c r="B121" s="72" t="s">
        <v>256</v>
      </c>
      <c r="C121" s="31" t="s">
        <v>257</v>
      </c>
      <c r="D121" s="561">
        <v>0</v>
      </c>
      <c r="E121" s="561">
        <v>422</v>
      </c>
      <c r="F121" s="561">
        <v>25</v>
      </c>
      <c r="G121" s="561">
        <v>69</v>
      </c>
      <c r="H121" s="561">
        <f t="shared" si="5"/>
        <v>516</v>
      </c>
      <c r="I121" s="561">
        <v>1182</v>
      </c>
      <c r="J121" s="561">
        <v>92</v>
      </c>
      <c r="K121" s="561">
        <v>0</v>
      </c>
      <c r="L121" s="561">
        <f t="shared" si="6"/>
        <v>1274</v>
      </c>
      <c r="M121" s="561">
        <v>0</v>
      </c>
      <c r="N121" s="561">
        <v>0</v>
      </c>
      <c r="O121" s="561">
        <v>0</v>
      </c>
      <c r="P121" s="561">
        <f t="shared" si="7"/>
        <v>0</v>
      </c>
    </row>
    <row r="122" spans="1:16" s="27" customFormat="1" x14ac:dyDescent="0.25">
      <c r="A122" s="593">
        <v>102</v>
      </c>
      <c r="B122" s="71" t="s">
        <v>258</v>
      </c>
      <c r="C122" s="31" t="s">
        <v>259</v>
      </c>
      <c r="D122" s="561">
        <v>0</v>
      </c>
      <c r="E122" s="561">
        <v>0</v>
      </c>
      <c r="F122" s="561">
        <v>0</v>
      </c>
      <c r="G122" s="561">
        <v>0</v>
      </c>
      <c r="H122" s="561">
        <f t="shared" si="5"/>
        <v>0</v>
      </c>
      <c r="I122" s="561">
        <v>0</v>
      </c>
      <c r="J122" s="561">
        <v>0</v>
      </c>
      <c r="K122" s="561">
        <v>0</v>
      </c>
      <c r="L122" s="561">
        <f t="shared" si="6"/>
        <v>0</v>
      </c>
      <c r="M122" s="561">
        <v>0</v>
      </c>
      <c r="N122" s="561">
        <v>0</v>
      </c>
      <c r="O122" s="561">
        <v>0</v>
      </c>
      <c r="P122" s="561">
        <f t="shared" si="7"/>
        <v>0</v>
      </c>
    </row>
    <row r="123" spans="1:16" s="27" customFormat="1" x14ac:dyDescent="0.25">
      <c r="A123" s="593">
        <v>103</v>
      </c>
      <c r="B123" s="597" t="s">
        <v>543</v>
      </c>
      <c r="C123" s="595" t="s">
        <v>544</v>
      </c>
      <c r="D123" s="561">
        <v>0</v>
      </c>
      <c r="E123" s="561">
        <v>0</v>
      </c>
      <c r="F123" s="561">
        <v>0</v>
      </c>
      <c r="G123" s="561">
        <v>0</v>
      </c>
      <c r="H123" s="561">
        <f t="shared" si="5"/>
        <v>0</v>
      </c>
      <c r="I123" s="561">
        <v>0</v>
      </c>
      <c r="J123" s="561">
        <v>0</v>
      </c>
      <c r="K123" s="561">
        <v>0</v>
      </c>
      <c r="L123" s="561">
        <f t="shared" si="6"/>
        <v>0</v>
      </c>
      <c r="M123" s="561">
        <v>0</v>
      </c>
      <c r="N123" s="561">
        <v>0</v>
      </c>
      <c r="O123" s="561">
        <v>0</v>
      </c>
      <c r="P123" s="561">
        <f t="shared" si="7"/>
        <v>0</v>
      </c>
    </row>
    <row r="124" spans="1:16" s="27" customFormat="1" x14ac:dyDescent="0.25">
      <c r="A124" s="593">
        <v>104</v>
      </c>
      <c r="B124" s="72" t="s">
        <v>260</v>
      </c>
      <c r="C124" s="31" t="s">
        <v>261</v>
      </c>
      <c r="D124" s="561">
        <v>0</v>
      </c>
      <c r="E124" s="561">
        <v>0</v>
      </c>
      <c r="F124" s="561">
        <v>0</v>
      </c>
      <c r="G124" s="561">
        <v>0</v>
      </c>
      <c r="H124" s="561">
        <f t="shared" si="5"/>
        <v>0</v>
      </c>
      <c r="I124" s="561">
        <v>0</v>
      </c>
      <c r="J124" s="561">
        <v>0</v>
      </c>
      <c r="K124" s="561">
        <v>0</v>
      </c>
      <c r="L124" s="561">
        <f t="shared" si="6"/>
        <v>0</v>
      </c>
      <c r="M124" s="561">
        <v>0</v>
      </c>
      <c r="N124" s="561">
        <v>0</v>
      </c>
      <c r="O124" s="561">
        <v>0</v>
      </c>
      <c r="P124" s="561">
        <f t="shared" si="7"/>
        <v>0</v>
      </c>
    </row>
    <row r="125" spans="1:16" s="27" customFormat="1" x14ac:dyDescent="0.25">
      <c r="A125" s="593">
        <v>105</v>
      </c>
      <c r="B125" s="611" t="s">
        <v>262</v>
      </c>
      <c r="C125" s="31" t="s">
        <v>263</v>
      </c>
      <c r="D125" s="561">
        <v>0</v>
      </c>
      <c r="E125" s="561">
        <v>0</v>
      </c>
      <c r="F125" s="561">
        <v>0</v>
      </c>
      <c r="G125" s="561">
        <v>0</v>
      </c>
      <c r="H125" s="561">
        <f t="shared" si="5"/>
        <v>0</v>
      </c>
      <c r="I125" s="561">
        <v>0</v>
      </c>
      <c r="J125" s="561">
        <v>0</v>
      </c>
      <c r="K125" s="561">
        <v>0</v>
      </c>
      <c r="L125" s="561">
        <f t="shared" si="6"/>
        <v>0</v>
      </c>
      <c r="M125" s="561">
        <v>0</v>
      </c>
      <c r="N125" s="561">
        <v>0</v>
      </c>
      <c r="O125" s="561">
        <v>0</v>
      </c>
      <c r="P125" s="561">
        <f t="shared" si="7"/>
        <v>0</v>
      </c>
    </row>
    <row r="126" spans="1:16" s="27" customFormat="1" x14ac:dyDescent="0.25">
      <c r="A126" s="593">
        <v>106</v>
      </c>
      <c r="B126" s="611" t="s">
        <v>264</v>
      </c>
      <c r="C126" s="121" t="s">
        <v>265</v>
      </c>
      <c r="D126" s="561">
        <v>0</v>
      </c>
      <c r="E126" s="561">
        <v>0</v>
      </c>
      <c r="F126" s="561">
        <v>0</v>
      </c>
      <c r="G126" s="561">
        <v>0</v>
      </c>
      <c r="H126" s="561">
        <f t="shared" si="5"/>
        <v>0</v>
      </c>
      <c r="I126" s="561">
        <v>0</v>
      </c>
      <c r="J126" s="561">
        <v>0</v>
      </c>
      <c r="K126" s="561">
        <v>0</v>
      </c>
      <c r="L126" s="561">
        <f t="shared" si="6"/>
        <v>0</v>
      </c>
      <c r="M126" s="561">
        <v>0</v>
      </c>
      <c r="N126" s="561">
        <v>0</v>
      </c>
      <c r="O126" s="561">
        <v>0</v>
      </c>
      <c r="P126" s="561">
        <f t="shared" si="7"/>
        <v>0</v>
      </c>
    </row>
    <row r="127" spans="1:16" s="27" customFormat="1" x14ac:dyDescent="0.25">
      <c r="A127" s="593">
        <v>107</v>
      </c>
      <c r="B127" s="611" t="s">
        <v>266</v>
      </c>
      <c r="C127" s="31" t="s">
        <v>267</v>
      </c>
      <c r="D127" s="561">
        <v>0</v>
      </c>
      <c r="E127" s="561">
        <v>10601</v>
      </c>
      <c r="F127" s="561">
        <v>0</v>
      </c>
      <c r="G127" s="561">
        <v>3829</v>
      </c>
      <c r="H127" s="561">
        <f t="shared" si="5"/>
        <v>14430</v>
      </c>
      <c r="I127" s="561">
        <v>6430</v>
      </c>
      <c r="J127" s="561">
        <v>0</v>
      </c>
      <c r="K127" s="561">
        <v>1498</v>
      </c>
      <c r="L127" s="561">
        <f t="shared" si="6"/>
        <v>7928</v>
      </c>
      <c r="M127" s="561">
        <v>0</v>
      </c>
      <c r="N127" s="561">
        <v>3161</v>
      </c>
      <c r="O127" s="561">
        <v>0</v>
      </c>
      <c r="P127" s="561">
        <f t="shared" si="7"/>
        <v>3161</v>
      </c>
    </row>
    <row r="128" spans="1:16" s="27" customFormat="1" x14ac:dyDescent="0.25">
      <c r="A128" s="593">
        <v>108</v>
      </c>
      <c r="B128" s="611" t="s">
        <v>268</v>
      </c>
      <c r="C128" s="31" t="s">
        <v>269</v>
      </c>
      <c r="D128" s="561">
        <v>0</v>
      </c>
      <c r="E128" s="561">
        <v>36242</v>
      </c>
      <c r="F128" s="561">
        <v>0</v>
      </c>
      <c r="G128" s="561">
        <v>15069</v>
      </c>
      <c r="H128" s="561">
        <f t="shared" si="5"/>
        <v>51311</v>
      </c>
      <c r="I128" s="561">
        <v>14194</v>
      </c>
      <c r="J128" s="561">
        <v>0</v>
      </c>
      <c r="K128" s="561">
        <v>2354</v>
      </c>
      <c r="L128" s="561">
        <f t="shared" si="6"/>
        <v>16548</v>
      </c>
      <c r="M128" s="561">
        <v>0</v>
      </c>
      <c r="N128" s="561">
        <v>5279</v>
      </c>
      <c r="O128" s="561">
        <v>3171</v>
      </c>
      <c r="P128" s="561">
        <f t="shared" si="7"/>
        <v>8450</v>
      </c>
    </row>
    <row r="129" spans="1:16" s="27" customFormat="1" x14ac:dyDescent="0.25">
      <c r="A129" s="593">
        <v>109</v>
      </c>
      <c r="B129" s="611" t="s">
        <v>270</v>
      </c>
      <c r="C129" s="31" t="s">
        <v>271</v>
      </c>
      <c r="D129" s="561">
        <v>0</v>
      </c>
      <c r="E129" s="561">
        <v>601</v>
      </c>
      <c r="F129" s="561">
        <v>0</v>
      </c>
      <c r="G129" s="561">
        <v>2536</v>
      </c>
      <c r="H129" s="561">
        <f t="shared" si="5"/>
        <v>3137</v>
      </c>
      <c r="I129" s="561">
        <v>400</v>
      </c>
      <c r="J129" s="561">
        <v>0</v>
      </c>
      <c r="K129" s="561">
        <v>100</v>
      </c>
      <c r="L129" s="561">
        <f t="shared" si="6"/>
        <v>500</v>
      </c>
      <c r="M129" s="561">
        <v>0</v>
      </c>
      <c r="N129" s="561">
        <v>2901</v>
      </c>
      <c r="O129" s="561">
        <v>0</v>
      </c>
      <c r="P129" s="561">
        <f t="shared" si="7"/>
        <v>2901</v>
      </c>
    </row>
    <row r="130" spans="1:16" s="27" customFormat="1" x14ac:dyDescent="0.25">
      <c r="A130" s="593">
        <v>110</v>
      </c>
      <c r="B130" s="71" t="s">
        <v>272</v>
      </c>
      <c r="C130" s="31" t="s">
        <v>273</v>
      </c>
      <c r="D130" s="561">
        <v>0</v>
      </c>
      <c r="E130" s="561">
        <v>4472</v>
      </c>
      <c r="F130" s="561">
        <v>0</v>
      </c>
      <c r="G130" s="561">
        <v>0</v>
      </c>
      <c r="H130" s="561">
        <f t="shared" si="5"/>
        <v>4472</v>
      </c>
      <c r="I130" s="561">
        <v>2893</v>
      </c>
      <c r="J130" s="561">
        <v>0</v>
      </c>
      <c r="K130" s="561">
        <v>0</v>
      </c>
      <c r="L130" s="561">
        <f t="shared" si="6"/>
        <v>2893</v>
      </c>
      <c r="M130" s="561">
        <v>0</v>
      </c>
      <c r="N130" s="561">
        <v>0</v>
      </c>
      <c r="O130" s="561">
        <v>0</v>
      </c>
      <c r="P130" s="561">
        <f t="shared" si="7"/>
        <v>0</v>
      </c>
    </row>
    <row r="131" spans="1:16" x14ac:dyDescent="0.25">
      <c r="A131" s="593">
        <v>111</v>
      </c>
      <c r="B131" s="71" t="s">
        <v>274</v>
      </c>
      <c r="C131" s="31" t="s">
        <v>275</v>
      </c>
      <c r="D131" s="561">
        <v>0</v>
      </c>
      <c r="E131" s="561">
        <v>0</v>
      </c>
      <c r="F131" s="561">
        <v>0</v>
      </c>
      <c r="G131" s="561">
        <v>0</v>
      </c>
      <c r="H131" s="561">
        <f t="shared" si="5"/>
        <v>0</v>
      </c>
      <c r="I131" s="561">
        <v>0</v>
      </c>
      <c r="J131" s="561">
        <v>0</v>
      </c>
      <c r="K131" s="561">
        <v>0</v>
      </c>
      <c r="L131" s="561">
        <f t="shared" si="6"/>
        <v>0</v>
      </c>
      <c r="M131" s="561">
        <v>0</v>
      </c>
      <c r="N131" s="561">
        <v>0</v>
      </c>
      <c r="O131" s="561">
        <v>0</v>
      </c>
      <c r="P131" s="561">
        <f t="shared" si="7"/>
        <v>0</v>
      </c>
    </row>
    <row r="132" spans="1:16" s="27" customFormat="1" x14ac:dyDescent="0.25">
      <c r="A132" s="593">
        <v>112</v>
      </c>
      <c r="B132" s="71" t="s">
        <v>276</v>
      </c>
      <c r="C132" s="31" t="s">
        <v>277</v>
      </c>
      <c r="D132" s="561">
        <v>0</v>
      </c>
      <c r="E132" s="561">
        <v>0</v>
      </c>
      <c r="F132" s="561">
        <v>0</v>
      </c>
      <c r="G132" s="561">
        <v>0</v>
      </c>
      <c r="H132" s="561">
        <f t="shared" si="5"/>
        <v>0</v>
      </c>
      <c r="I132" s="561">
        <v>3623</v>
      </c>
      <c r="J132" s="561">
        <v>0</v>
      </c>
      <c r="K132" s="561">
        <v>0</v>
      </c>
      <c r="L132" s="561">
        <f t="shared" si="6"/>
        <v>3623</v>
      </c>
      <c r="M132" s="561">
        <v>0</v>
      </c>
      <c r="N132" s="561">
        <v>0</v>
      </c>
      <c r="O132" s="561">
        <v>0</v>
      </c>
      <c r="P132" s="561">
        <f t="shared" si="7"/>
        <v>0</v>
      </c>
    </row>
    <row r="133" spans="1:16" s="27" customFormat="1" x14ac:dyDescent="0.25">
      <c r="A133" s="593">
        <v>113</v>
      </c>
      <c r="B133" s="611" t="s">
        <v>278</v>
      </c>
      <c r="C133" s="31" t="s">
        <v>279</v>
      </c>
      <c r="D133" s="561">
        <v>0</v>
      </c>
      <c r="E133" s="561">
        <v>0</v>
      </c>
      <c r="F133" s="561">
        <v>0</v>
      </c>
      <c r="G133" s="561">
        <v>0</v>
      </c>
      <c r="H133" s="561">
        <f t="shared" si="5"/>
        <v>0</v>
      </c>
      <c r="I133" s="561">
        <v>0</v>
      </c>
      <c r="J133" s="561">
        <v>0</v>
      </c>
      <c r="K133" s="561">
        <v>0</v>
      </c>
      <c r="L133" s="561">
        <f t="shared" si="6"/>
        <v>0</v>
      </c>
      <c r="M133" s="561">
        <v>0</v>
      </c>
      <c r="N133" s="561">
        <v>0</v>
      </c>
      <c r="O133" s="561">
        <v>0</v>
      </c>
      <c r="P133" s="561">
        <f t="shared" si="7"/>
        <v>0</v>
      </c>
    </row>
    <row r="134" spans="1:16" s="27" customFormat="1" x14ac:dyDescent="0.25">
      <c r="A134" s="593">
        <v>114</v>
      </c>
      <c r="B134" s="611" t="s">
        <v>280</v>
      </c>
      <c r="C134" s="31" t="s">
        <v>281</v>
      </c>
      <c r="D134" s="561">
        <v>0</v>
      </c>
      <c r="E134" s="561">
        <v>0</v>
      </c>
      <c r="F134" s="561">
        <v>0</v>
      </c>
      <c r="G134" s="561">
        <v>0</v>
      </c>
      <c r="H134" s="561">
        <f t="shared" si="5"/>
        <v>0</v>
      </c>
      <c r="I134" s="561">
        <v>0</v>
      </c>
      <c r="J134" s="561">
        <v>0</v>
      </c>
      <c r="K134" s="561">
        <v>0</v>
      </c>
      <c r="L134" s="561">
        <f t="shared" si="6"/>
        <v>0</v>
      </c>
      <c r="M134" s="561">
        <v>0</v>
      </c>
      <c r="N134" s="561">
        <v>0</v>
      </c>
      <c r="O134" s="561">
        <v>0</v>
      </c>
      <c r="P134" s="561">
        <f t="shared" si="7"/>
        <v>0</v>
      </c>
    </row>
    <row r="135" spans="1:16" s="27" customFormat="1" x14ac:dyDescent="0.25">
      <c r="A135" s="593">
        <v>115</v>
      </c>
      <c r="B135" s="611" t="s">
        <v>282</v>
      </c>
      <c r="C135" s="31" t="s">
        <v>772</v>
      </c>
      <c r="D135" s="561">
        <v>0</v>
      </c>
      <c r="E135" s="561">
        <v>2416</v>
      </c>
      <c r="F135" s="561">
        <v>176</v>
      </c>
      <c r="G135" s="561">
        <v>583</v>
      </c>
      <c r="H135" s="561">
        <f t="shared" si="5"/>
        <v>3175</v>
      </c>
      <c r="I135" s="561">
        <v>0</v>
      </c>
      <c r="J135" s="561">
        <v>0</v>
      </c>
      <c r="K135" s="561">
        <v>0</v>
      </c>
      <c r="L135" s="561">
        <f t="shared" si="6"/>
        <v>0</v>
      </c>
      <c r="M135" s="561">
        <v>0</v>
      </c>
      <c r="N135" s="561">
        <v>0</v>
      </c>
      <c r="O135" s="561">
        <v>0</v>
      </c>
      <c r="P135" s="561">
        <f t="shared" si="7"/>
        <v>0</v>
      </c>
    </row>
    <row r="136" spans="1:16" s="27" customFormat="1" x14ac:dyDescent="0.25">
      <c r="A136" s="593">
        <v>116</v>
      </c>
      <c r="B136" s="71" t="s">
        <v>283</v>
      </c>
      <c r="C136" s="31" t="s">
        <v>284</v>
      </c>
      <c r="D136" s="561">
        <v>0</v>
      </c>
      <c r="E136" s="561">
        <v>8407</v>
      </c>
      <c r="F136" s="561">
        <v>108</v>
      </c>
      <c r="G136" s="561">
        <v>4336</v>
      </c>
      <c r="H136" s="561">
        <f t="shared" si="5"/>
        <v>12851</v>
      </c>
      <c r="I136" s="561">
        <v>6523</v>
      </c>
      <c r="J136" s="561">
        <v>952</v>
      </c>
      <c r="K136" s="561">
        <v>952</v>
      </c>
      <c r="L136" s="561">
        <f t="shared" si="6"/>
        <v>8427</v>
      </c>
      <c r="M136" s="561">
        <v>0</v>
      </c>
      <c r="N136" s="561">
        <v>0</v>
      </c>
      <c r="O136" s="561">
        <v>0</v>
      </c>
      <c r="P136" s="561">
        <f t="shared" si="7"/>
        <v>0</v>
      </c>
    </row>
    <row r="137" spans="1:16" s="27" customFormat="1" x14ac:dyDescent="0.25">
      <c r="A137" s="593">
        <v>117</v>
      </c>
      <c r="B137" s="72" t="s">
        <v>285</v>
      </c>
      <c r="C137" s="31" t="s">
        <v>728</v>
      </c>
      <c r="D137" s="561">
        <v>0</v>
      </c>
      <c r="E137" s="561">
        <v>2661</v>
      </c>
      <c r="F137" s="561">
        <v>48</v>
      </c>
      <c r="G137" s="561">
        <v>433</v>
      </c>
      <c r="H137" s="561">
        <f t="shared" si="5"/>
        <v>3142</v>
      </c>
      <c r="I137" s="561">
        <v>1114</v>
      </c>
      <c r="J137" s="561">
        <v>91</v>
      </c>
      <c r="K137" s="561">
        <v>0</v>
      </c>
      <c r="L137" s="561">
        <f t="shared" si="6"/>
        <v>1205</v>
      </c>
      <c r="M137" s="561">
        <v>0</v>
      </c>
      <c r="N137" s="561">
        <v>0</v>
      </c>
      <c r="O137" s="561">
        <v>0</v>
      </c>
      <c r="P137" s="561">
        <f t="shared" si="7"/>
        <v>0</v>
      </c>
    </row>
    <row r="138" spans="1:16" s="27" customFormat="1" x14ac:dyDescent="0.25">
      <c r="A138" s="593">
        <v>118</v>
      </c>
      <c r="B138" s="611" t="s">
        <v>286</v>
      </c>
      <c r="C138" s="31" t="s">
        <v>287</v>
      </c>
      <c r="D138" s="561">
        <v>4159</v>
      </c>
      <c r="E138" s="561">
        <v>0</v>
      </c>
      <c r="F138" s="561">
        <v>0</v>
      </c>
      <c r="G138" s="561">
        <v>0</v>
      </c>
      <c r="H138" s="561">
        <f t="shared" ref="H138:H147" si="8">D138+E138+F138+G138</f>
        <v>4159</v>
      </c>
      <c r="I138" s="561">
        <v>0</v>
      </c>
      <c r="J138" s="561">
        <v>0</v>
      </c>
      <c r="K138" s="561">
        <v>0</v>
      </c>
      <c r="L138" s="561">
        <f t="shared" si="6"/>
        <v>0</v>
      </c>
      <c r="M138" s="561">
        <v>0</v>
      </c>
      <c r="N138" s="561">
        <v>0</v>
      </c>
      <c r="O138" s="561">
        <v>0</v>
      </c>
      <c r="P138" s="561">
        <f t="shared" si="7"/>
        <v>0</v>
      </c>
    </row>
    <row r="139" spans="1:16" s="27" customFormat="1" x14ac:dyDescent="0.25">
      <c r="A139" s="593">
        <v>119</v>
      </c>
      <c r="B139" s="71" t="s">
        <v>288</v>
      </c>
      <c r="C139" s="31" t="s">
        <v>289</v>
      </c>
      <c r="D139" s="561">
        <v>0</v>
      </c>
      <c r="E139" s="561">
        <v>0</v>
      </c>
      <c r="F139" s="561">
        <v>0</v>
      </c>
      <c r="G139" s="561">
        <v>0</v>
      </c>
      <c r="H139" s="561">
        <f t="shared" si="8"/>
        <v>0</v>
      </c>
      <c r="I139" s="561">
        <v>0</v>
      </c>
      <c r="J139" s="561">
        <v>0</v>
      </c>
      <c r="K139" s="561">
        <v>0</v>
      </c>
      <c r="L139" s="561">
        <f t="shared" ref="L139:L147" si="9">I139+J139+K139</f>
        <v>0</v>
      </c>
      <c r="M139" s="561">
        <v>0</v>
      </c>
      <c r="N139" s="561">
        <v>0</v>
      </c>
      <c r="O139" s="561">
        <v>0</v>
      </c>
      <c r="P139" s="561">
        <f t="shared" ref="P139:P147" si="10">N139+O139</f>
        <v>0</v>
      </c>
    </row>
    <row r="140" spans="1:16" s="27" customFormat="1" x14ac:dyDescent="0.25">
      <c r="A140" s="593">
        <v>120</v>
      </c>
      <c r="B140" s="611" t="s">
        <v>290</v>
      </c>
      <c r="C140" s="31" t="s">
        <v>291</v>
      </c>
      <c r="D140" s="561">
        <v>0</v>
      </c>
      <c r="E140" s="561">
        <v>0</v>
      </c>
      <c r="F140" s="561">
        <v>0</v>
      </c>
      <c r="G140" s="561">
        <v>0</v>
      </c>
      <c r="H140" s="561">
        <f t="shared" si="8"/>
        <v>0</v>
      </c>
      <c r="I140" s="561">
        <v>0</v>
      </c>
      <c r="J140" s="561">
        <v>0</v>
      </c>
      <c r="K140" s="561">
        <v>0</v>
      </c>
      <c r="L140" s="561">
        <f t="shared" si="9"/>
        <v>0</v>
      </c>
      <c r="M140" s="561">
        <v>7983</v>
      </c>
      <c r="N140" s="561">
        <v>0</v>
      </c>
      <c r="O140" s="561">
        <v>0</v>
      </c>
      <c r="P140" s="561">
        <f t="shared" si="10"/>
        <v>0</v>
      </c>
    </row>
    <row r="141" spans="1:16" x14ac:dyDescent="0.25">
      <c r="A141" s="593">
        <v>121</v>
      </c>
      <c r="B141" s="139" t="s">
        <v>292</v>
      </c>
      <c r="C141" s="598" t="s">
        <v>293</v>
      </c>
      <c r="D141" s="561">
        <v>0</v>
      </c>
      <c r="E141" s="561">
        <v>0</v>
      </c>
      <c r="F141" s="561">
        <v>0</v>
      </c>
      <c r="G141" s="561">
        <v>0</v>
      </c>
      <c r="H141" s="561">
        <f t="shared" si="8"/>
        <v>0</v>
      </c>
      <c r="I141" s="561">
        <v>0</v>
      </c>
      <c r="J141" s="561">
        <v>0</v>
      </c>
      <c r="K141" s="561">
        <v>0</v>
      </c>
      <c r="L141" s="561">
        <f t="shared" si="9"/>
        <v>0</v>
      </c>
      <c r="M141" s="561">
        <v>0</v>
      </c>
      <c r="N141" s="561">
        <v>0</v>
      </c>
      <c r="O141" s="561">
        <v>0</v>
      </c>
      <c r="P141" s="561">
        <f t="shared" si="10"/>
        <v>0</v>
      </c>
    </row>
    <row r="142" spans="1:16" x14ac:dyDescent="0.25">
      <c r="A142" s="593">
        <v>122</v>
      </c>
      <c r="B142" s="141" t="s">
        <v>294</v>
      </c>
      <c r="C142" s="599" t="s">
        <v>295</v>
      </c>
      <c r="D142" s="561">
        <v>0</v>
      </c>
      <c r="E142" s="561">
        <v>0</v>
      </c>
      <c r="F142" s="561">
        <v>0</v>
      </c>
      <c r="G142" s="561">
        <v>0</v>
      </c>
      <c r="H142" s="561">
        <f t="shared" si="8"/>
        <v>0</v>
      </c>
      <c r="I142" s="561">
        <v>0</v>
      </c>
      <c r="J142" s="561">
        <v>0</v>
      </c>
      <c r="K142" s="561">
        <v>0</v>
      </c>
      <c r="L142" s="561">
        <f t="shared" si="9"/>
        <v>0</v>
      </c>
      <c r="M142" s="561">
        <v>0</v>
      </c>
      <c r="N142" s="561">
        <v>0</v>
      </c>
      <c r="O142" s="561">
        <v>0</v>
      </c>
      <c r="P142" s="561">
        <f t="shared" si="10"/>
        <v>0</v>
      </c>
    </row>
    <row r="143" spans="1:16" x14ac:dyDescent="0.2">
      <c r="A143" s="593">
        <v>123</v>
      </c>
      <c r="B143" s="600" t="s">
        <v>296</v>
      </c>
      <c r="C143" s="601" t="s">
        <v>461</v>
      </c>
      <c r="D143" s="561">
        <v>0</v>
      </c>
      <c r="E143" s="561">
        <v>0</v>
      </c>
      <c r="F143" s="561">
        <v>0</v>
      </c>
      <c r="G143" s="561">
        <v>0</v>
      </c>
      <c r="H143" s="561">
        <f t="shared" si="8"/>
        <v>0</v>
      </c>
      <c r="I143" s="561">
        <v>0</v>
      </c>
      <c r="J143" s="561">
        <v>0</v>
      </c>
      <c r="K143" s="561">
        <v>0</v>
      </c>
      <c r="L143" s="561">
        <f t="shared" si="9"/>
        <v>0</v>
      </c>
      <c r="M143" s="561">
        <v>0</v>
      </c>
      <c r="N143" s="561">
        <v>0</v>
      </c>
      <c r="O143" s="561">
        <v>0</v>
      </c>
      <c r="P143" s="561">
        <f t="shared" si="10"/>
        <v>0</v>
      </c>
    </row>
    <row r="144" spans="1:16" x14ac:dyDescent="0.25">
      <c r="A144" s="593">
        <v>124</v>
      </c>
      <c r="B144" s="593" t="s">
        <v>298</v>
      </c>
      <c r="C144" s="602" t="s">
        <v>299</v>
      </c>
      <c r="D144" s="561">
        <v>0</v>
      </c>
      <c r="E144" s="561">
        <v>0</v>
      </c>
      <c r="F144" s="561">
        <v>0</v>
      </c>
      <c r="G144" s="561">
        <v>0</v>
      </c>
      <c r="H144" s="561">
        <f t="shared" si="8"/>
        <v>0</v>
      </c>
      <c r="I144" s="561">
        <v>0</v>
      </c>
      <c r="J144" s="561">
        <v>0</v>
      </c>
      <c r="K144" s="561">
        <v>0</v>
      </c>
      <c r="L144" s="561">
        <f t="shared" si="9"/>
        <v>0</v>
      </c>
      <c r="M144" s="561">
        <v>0</v>
      </c>
      <c r="N144" s="561">
        <v>0</v>
      </c>
      <c r="O144" s="561">
        <v>0</v>
      </c>
      <c r="P144" s="561">
        <f t="shared" si="10"/>
        <v>0</v>
      </c>
    </row>
    <row r="145" spans="1:16" x14ac:dyDescent="0.25">
      <c r="A145" s="593">
        <v>125</v>
      </c>
      <c r="B145" s="597" t="s">
        <v>300</v>
      </c>
      <c r="C145" s="602" t="s">
        <v>301</v>
      </c>
      <c r="D145" s="561">
        <v>0</v>
      </c>
      <c r="E145" s="561">
        <v>0</v>
      </c>
      <c r="F145" s="561">
        <v>0</v>
      </c>
      <c r="G145" s="561">
        <v>0</v>
      </c>
      <c r="H145" s="561">
        <f t="shared" si="8"/>
        <v>0</v>
      </c>
      <c r="I145" s="561">
        <v>0</v>
      </c>
      <c r="J145" s="561">
        <v>0</v>
      </c>
      <c r="K145" s="561">
        <v>0</v>
      </c>
      <c r="L145" s="561">
        <f t="shared" si="9"/>
        <v>0</v>
      </c>
      <c r="M145" s="561">
        <v>0</v>
      </c>
      <c r="N145" s="561">
        <v>0</v>
      </c>
      <c r="O145" s="561">
        <v>0</v>
      </c>
      <c r="P145" s="561">
        <f t="shared" si="10"/>
        <v>0</v>
      </c>
    </row>
    <row r="146" spans="1:16" x14ac:dyDescent="0.25">
      <c r="A146" s="593">
        <v>126</v>
      </c>
      <c r="B146" s="597" t="s">
        <v>302</v>
      </c>
      <c r="C146" s="602" t="s">
        <v>303</v>
      </c>
      <c r="D146" s="561">
        <v>0</v>
      </c>
      <c r="E146" s="561">
        <v>0</v>
      </c>
      <c r="F146" s="561">
        <v>0</v>
      </c>
      <c r="G146" s="561">
        <v>0</v>
      </c>
      <c r="H146" s="561">
        <f t="shared" si="8"/>
        <v>0</v>
      </c>
      <c r="I146" s="561">
        <v>0</v>
      </c>
      <c r="J146" s="561">
        <v>0</v>
      </c>
      <c r="K146" s="561">
        <v>0</v>
      </c>
      <c r="L146" s="561">
        <f t="shared" si="9"/>
        <v>0</v>
      </c>
      <c r="M146" s="561">
        <v>0</v>
      </c>
      <c r="N146" s="561">
        <v>0</v>
      </c>
      <c r="O146" s="561">
        <v>0</v>
      </c>
      <c r="P146" s="561">
        <f t="shared" si="10"/>
        <v>0</v>
      </c>
    </row>
    <row r="147" spans="1:16" x14ac:dyDescent="0.25">
      <c r="A147" s="593">
        <v>127</v>
      </c>
      <c r="B147" s="597" t="s">
        <v>304</v>
      </c>
      <c r="C147" s="595" t="s">
        <v>305</v>
      </c>
      <c r="D147" s="561">
        <v>0</v>
      </c>
      <c r="E147" s="561">
        <v>0</v>
      </c>
      <c r="F147" s="561">
        <v>0</v>
      </c>
      <c r="G147" s="561">
        <v>0</v>
      </c>
      <c r="H147" s="561">
        <f t="shared" si="8"/>
        <v>0</v>
      </c>
      <c r="I147" s="561">
        <v>0</v>
      </c>
      <c r="J147" s="561">
        <v>0</v>
      </c>
      <c r="K147" s="561">
        <v>0</v>
      </c>
      <c r="L147" s="561">
        <f t="shared" si="9"/>
        <v>0</v>
      </c>
      <c r="M147" s="561">
        <v>0</v>
      </c>
      <c r="N147" s="561">
        <v>0</v>
      </c>
      <c r="O147" s="561">
        <v>0</v>
      </c>
      <c r="P147" s="561">
        <f t="shared" si="10"/>
        <v>0</v>
      </c>
    </row>
    <row r="148" spans="1:16" x14ac:dyDescent="0.25">
      <c r="M148" s="32"/>
      <c r="N148" s="32"/>
    </row>
    <row r="150" spans="1:16" s="32" customFormat="1" x14ac:dyDescent="0.25">
      <c r="A150" s="1"/>
      <c r="B150" s="1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mergeCells count="18">
    <mergeCell ref="A2:P2"/>
    <mergeCell ref="D4:H4"/>
    <mergeCell ref="I4:L4"/>
    <mergeCell ref="M4:M5"/>
    <mergeCell ref="N4:P4"/>
    <mergeCell ref="C4:C5"/>
    <mergeCell ref="B4:B5"/>
    <mergeCell ref="M3:O3"/>
    <mergeCell ref="A6:C6"/>
    <mergeCell ref="A9:C9"/>
    <mergeCell ref="A90:A93"/>
    <mergeCell ref="B90:B93"/>
    <mergeCell ref="A4:A5"/>
    <mergeCell ref="A34:A35"/>
    <mergeCell ref="A82:A83"/>
    <mergeCell ref="A85:A86"/>
    <mergeCell ref="A72:A74"/>
    <mergeCell ref="A75:A78"/>
  </mergeCells>
  <pageMargins left="0" right="0" top="0" bottom="0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H151"/>
  <sheetViews>
    <sheetView zoomScaleNormal="100" workbookViewId="0">
      <pane xSplit="3" ySplit="9" topLeftCell="E122" activePane="bottomRight" state="frozen"/>
      <selection pane="topRight" activeCell="D1" sqref="D1"/>
      <selection pane="bottomLeft" activeCell="A9" sqref="A9"/>
      <selection pane="bottomRight" activeCell="H83" sqref="H83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4.28515625" style="2" customWidth="1"/>
    <col min="4" max="4" width="11.7109375" style="5" customWidth="1"/>
    <col min="5" max="5" width="14.5703125" style="5" customWidth="1"/>
    <col min="6" max="6" width="17.42578125" style="5" customWidth="1"/>
    <col min="7" max="7" width="16.7109375" style="5" customWidth="1"/>
    <col min="8" max="8" width="13.42578125" style="5" customWidth="1"/>
    <col min="9" max="16384" width="9.140625" style="5"/>
  </cols>
  <sheetData>
    <row r="2" spans="1:8" ht="15.75" customHeight="1" x14ac:dyDescent="0.25">
      <c r="A2" s="1143" t="s">
        <v>548</v>
      </c>
      <c r="B2" s="1143"/>
      <c r="C2" s="1143"/>
      <c r="D2" s="1143"/>
      <c r="E2" s="1143"/>
      <c r="F2" s="1143"/>
      <c r="G2" s="1143"/>
      <c r="H2" s="1143"/>
    </row>
    <row r="3" spans="1:8" x14ac:dyDescent="0.25">
      <c r="C3" s="6"/>
      <c r="E3" s="32"/>
    </row>
    <row r="4" spans="1:8" s="10" customFormat="1" ht="12" customHeight="1" x14ac:dyDescent="0.25">
      <c r="A4" s="1141" t="s">
        <v>0</v>
      </c>
      <c r="B4" s="1141" t="s">
        <v>1</v>
      </c>
      <c r="C4" s="1151" t="s">
        <v>2</v>
      </c>
      <c r="D4" s="1144" t="s">
        <v>506</v>
      </c>
      <c r="E4" s="1145"/>
      <c r="F4" s="1145"/>
      <c r="G4" s="1145"/>
      <c r="H4" s="1146"/>
    </row>
    <row r="5" spans="1:8" ht="44.25" customHeight="1" x14ac:dyDescent="0.25">
      <c r="A5" s="1142"/>
      <c r="B5" s="1142"/>
      <c r="C5" s="1152"/>
      <c r="D5" s="168" t="s">
        <v>507</v>
      </c>
      <c r="E5" s="168" t="s">
        <v>550</v>
      </c>
      <c r="F5" s="168" t="s">
        <v>508</v>
      </c>
      <c r="G5" s="168" t="s">
        <v>551</v>
      </c>
      <c r="H5" s="169" t="s">
        <v>13</v>
      </c>
    </row>
    <row r="6" spans="1:8" x14ac:dyDescent="0.25">
      <c r="A6" s="1134" t="s">
        <v>13</v>
      </c>
      <c r="B6" s="1134"/>
      <c r="C6" s="1134"/>
      <c r="D6" s="171">
        <f>D7+D9+D8</f>
        <v>252754</v>
      </c>
      <c r="E6" s="171">
        <f t="shared" ref="E6:H6" si="0">E7+E9+E8</f>
        <v>125327</v>
      </c>
      <c r="F6" s="171">
        <f t="shared" si="0"/>
        <v>84519</v>
      </c>
      <c r="G6" s="171">
        <f t="shared" si="0"/>
        <v>6961</v>
      </c>
      <c r="H6" s="171">
        <f t="shared" si="0"/>
        <v>469561</v>
      </c>
    </row>
    <row r="7" spans="1:8" x14ac:dyDescent="0.25">
      <c r="A7" s="16"/>
      <c r="B7" s="16"/>
      <c r="C7" s="17" t="s">
        <v>14</v>
      </c>
      <c r="D7" s="147"/>
      <c r="E7" s="147"/>
      <c r="F7" s="147"/>
      <c r="G7" s="147">
        <v>42</v>
      </c>
      <c r="H7" s="147">
        <f>E7+F7+G7+D7</f>
        <v>42</v>
      </c>
    </row>
    <row r="8" spans="1:8" x14ac:dyDescent="0.25">
      <c r="A8" s="16"/>
      <c r="B8" s="16"/>
      <c r="C8" s="17" t="s">
        <v>546</v>
      </c>
      <c r="D8" s="147"/>
      <c r="E8" s="147"/>
      <c r="F8" s="147"/>
      <c r="G8" s="147"/>
      <c r="H8" s="147">
        <f>E8+F8+G8+D8</f>
        <v>0</v>
      </c>
    </row>
    <row r="9" spans="1:8" s="10" customFormat="1" x14ac:dyDescent="0.25">
      <c r="A9" s="1134" t="s">
        <v>15</v>
      </c>
      <c r="B9" s="1134"/>
      <c r="C9" s="1134"/>
      <c r="D9" s="171">
        <f>SUM(D10:D147)-D35-D73-D74-D76-D77-D78-D83-D86-D90</f>
        <v>252754</v>
      </c>
      <c r="E9" s="171">
        <f t="shared" ref="E9:H9" si="1">SUM(E10:E147)-E35-E73-E74-E76-E77-E78-E83-E86-E90</f>
        <v>125327</v>
      </c>
      <c r="F9" s="171">
        <f t="shared" si="1"/>
        <v>84519</v>
      </c>
      <c r="G9" s="171">
        <f t="shared" si="1"/>
        <v>6919</v>
      </c>
      <c r="H9" s="171">
        <f t="shared" si="1"/>
        <v>469519</v>
      </c>
    </row>
    <row r="10" spans="1:8" s="20" customFormat="1" x14ac:dyDescent="0.25">
      <c r="A10" s="146">
        <v>1</v>
      </c>
      <c r="B10" s="49" t="s">
        <v>54</v>
      </c>
      <c r="C10" s="50" t="s">
        <v>55</v>
      </c>
      <c r="D10" s="561">
        <v>1018</v>
      </c>
      <c r="E10" s="561">
        <v>538</v>
      </c>
      <c r="F10" s="561">
        <v>365</v>
      </c>
      <c r="G10" s="561">
        <v>0</v>
      </c>
      <c r="H10" s="561">
        <f t="shared" ref="H10:H71" si="2">D10+E10+F10+G10</f>
        <v>1921</v>
      </c>
    </row>
    <row r="11" spans="1:8" s="20" customFormat="1" x14ac:dyDescent="0.25">
      <c r="A11" s="146">
        <v>2</v>
      </c>
      <c r="B11" s="52" t="s">
        <v>56</v>
      </c>
      <c r="C11" s="50" t="s">
        <v>57</v>
      </c>
      <c r="D11" s="561">
        <v>1020</v>
      </c>
      <c r="E11" s="561">
        <v>557</v>
      </c>
      <c r="F11" s="561">
        <v>378</v>
      </c>
      <c r="G11" s="561">
        <v>0</v>
      </c>
      <c r="H11" s="561">
        <f t="shared" si="2"/>
        <v>1955</v>
      </c>
    </row>
    <row r="12" spans="1:8" s="10" customFormat="1" x14ac:dyDescent="0.25">
      <c r="A12" s="146">
        <v>3</v>
      </c>
      <c r="B12" s="167" t="s">
        <v>16</v>
      </c>
      <c r="C12" s="50" t="s">
        <v>17</v>
      </c>
      <c r="D12" s="561">
        <v>3524</v>
      </c>
      <c r="E12" s="561">
        <v>1689</v>
      </c>
      <c r="F12" s="561">
        <v>1555</v>
      </c>
      <c r="G12" s="561">
        <v>0</v>
      </c>
      <c r="H12" s="561">
        <f t="shared" si="2"/>
        <v>6768</v>
      </c>
    </row>
    <row r="13" spans="1:8" s="27" customFormat="1" x14ac:dyDescent="0.25">
      <c r="A13" s="146">
        <v>4</v>
      </c>
      <c r="B13" s="49" t="s">
        <v>58</v>
      </c>
      <c r="C13" s="50" t="s">
        <v>59</v>
      </c>
      <c r="D13" s="561">
        <v>851</v>
      </c>
      <c r="E13" s="561">
        <v>599</v>
      </c>
      <c r="F13" s="561">
        <v>0</v>
      </c>
      <c r="G13" s="561">
        <v>0</v>
      </c>
      <c r="H13" s="561">
        <f t="shared" si="2"/>
        <v>1450</v>
      </c>
    </row>
    <row r="14" spans="1:8" s="27" customFormat="1" x14ac:dyDescent="0.25">
      <c r="A14" s="146">
        <v>5</v>
      </c>
      <c r="B14" s="49" t="s">
        <v>60</v>
      </c>
      <c r="C14" s="50" t="s">
        <v>61</v>
      </c>
      <c r="D14" s="561">
        <v>1220</v>
      </c>
      <c r="E14" s="561">
        <v>650</v>
      </c>
      <c r="F14" s="561">
        <v>442</v>
      </c>
      <c r="G14" s="561">
        <v>0</v>
      </c>
      <c r="H14" s="561">
        <f t="shared" si="2"/>
        <v>2312</v>
      </c>
    </row>
    <row r="15" spans="1:8" s="149" customFormat="1" x14ac:dyDescent="0.25">
      <c r="A15" s="146">
        <v>6</v>
      </c>
      <c r="B15" s="167" t="s">
        <v>18</v>
      </c>
      <c r="C15" s="50" t="s">
        <v>19</v>
      </c>
      <c r="D15" s="561">
        <v>5779</v>
      </c>
      <c r="E15" s="561">
        <v>2327</v>
      </c>
      <c r="F15" s="561">
        <v>1581</v>
      </c>
      <c r="G15" s="561">
        <v>243</v>
      </c>
      <c r="H15" s="561">
        <f t="shared" si="2"/>
        <v>9930</v>
      </c>
    </row>
    <row r="16" spans="1:8" s="27" customFormat="1" x14ac:dyDescent="0.25">
      <c r="A16" s="146">
        <v>7</v>
      </c>
      <c r="B16" s="49" t="s">
        <v>62</v>
      </c>
      <c r="C16" s="50" t="s">
        <v>63</v>
      </c>
      <c r="D16" s="561">
        <v>2312</v>
      </c>
      <c r="E16" s="561">
        <v>1706</v>
      </c>
      <c r="F16" s="561">
        <v>1159</v>
      </c>
      <c r="G16" s="561">
        <v>0</v>
      </c>
      <c r="H16" s="561">
        <f t="shared" si="2"/>
        <v>5177</v>
      </c>
    </row>
    <row r="17" spans="1:8" s="27" customFormat="1" x14ac:dyDescent="0.25">
      <c r="A17" s="146">
        <v>8</v>
      </c>
      <c r="B17" s="167" t="s">
        <v>64</v>
      </c>
      <c r="C17" s="50" t="s">
        <v>65</v>
      </c>
      <c r="D17" s="561">
        <v>0</v>
      </c>
      <c r="E17" s="561">
        <v>689</v>
      </c>
      <c r="F17" s="561">
        <v>468</v>
      </c>
      <c r="G17" s="561">
        <v>0</v>
      </c>
      <c r="H17" s="561">
        <f t="shared" si="2"/>
        <v>1157</v>
      </c>
    </row>
    <row r="18" spans="1:8" s="149" customFormat="1" x14ac:dyDescent="0.25">
      <c r="A18" s="146">
        <v>9</v>
      </c>
      <c r="B18" s="167" t="s">
        <v>66</v>
      </c>
      <c r="C18" s="50" t="s">
        <v>67</v>
      </c>
      <c r="D18" s="561">
        <v>1134</v>
      </c>
      <c r="E18" s="561">
        <v>617</v>
      </c>
      <c r="F18" s="561">
        <v>419</v>
      </c>
      <c r="G18" s="561">
        <v>0</v>
      </c>
      <c r="H18" s="561">
        <f t="shared" si="2"/>
        <v>2170</v>
      </c>
    </row>
    <row r="19" spans="1:8" s="27" customFormat="1" x14ac:dyDescent="0.25">
      <c r="A19" s="146">
        <v>10</v>
      </c>
      <c r="B19" s="167" t="s">
        <v>68</v>
      </c>
      <c r="C19" s="50" t="s">
        <v>69</v>
      </c>
      <c r="D19" s="561">
        <v>1542</v>
      </c>
      <c r="E19" s="561">
        <v>862</v>
      </c>
      <c r="F19" s="561">
        <v>586</v>
      </c>
      <c r="G19" s="561">
        <v>0</v>
      </c>
      <c r="H19" s="561">
        <f t="shared" si="2"/>
        <v>2990</v>
      </c>
    </row>
    <row r="20" spans="1:8" s="27" customFormat="1" x14ac:dyDescent="0.25">
      <c r="A20" s="146">
        <v>11</v>
      </c>
      <c r="B20" s="167" t="s">
        <v>70</v>
      </c>
      <c r="C20" s="50" t="s">
        <v>71</v>
      </c>
      <c r="D20" s="561">
        <v>1159</v>
      </c>
      <c r="E20" s="561">
        <v>613</v>
      </c>
      <c r="F20" s="561">
        <v>417</v>
      </c>
      <c r="G20" s="561">
        <v>0</v>
      </c>
      <c r="H20" s="561">
        <f t="shared" si="2"/>
        <v>2189</v>
      </c>
    </row>
    <row r="21" spans="1:8" s="27" customFormat="1" x14ac:dyDescent="0.25">
      <c r="A21" s="146">
        <v>12</v>
      </c>
      <c r="B21" s="167" t="s">
        <v>72</v>
      </c>
      <c r="C21" s="50" t="s">
        <v>73</v>
      </c>
      <c r="D21" s="561">
        <v>1000</v>
      </c>
      <c r="E21" s="561">
        <v>0</v>
      </c>
      <c r="F21" s="561">
        <v>0</v>
      </c>
      <c r="G21" s="561">
        <v>0</v>
      </c>
      <c r="H21" s="561">
        <f t="shared" si="2"/>
        <v>1000</v>
      </c>
    </row>
    <row r="22" spans="1:8" s="27" customFormat="1" x14ac:dyDescent="0.25">
      <c r="A22" s="146">
        <v>13</v>
      </c>
      <c r="B22" s="167" t="s">
        <v>74</v>
      </c>
      <c r="C22" s="50" t="s">
        <v>75</v>
      </c>
      <c r="D22" s="561">
        <v>5677</v>
      </c>
      <c r="E22" s="561">
        <v>3597</v>
      </c>
      <c r="F22" s="561">
        <v>2444</v>
      </c>
      <c r="G22" s="561">
        <v>0</v>
      </c>
      <c r="H22" s="561">
        <f t="shared" si="2"/>
        <v>11718</v>
      </c>
    </row>
    <row r="23" spans="1:8" s="27" customFormat="1" x14ac:dyDescent="0.25">
      <c r="A23" s="146">
        <v>14</v>
      </c>
      <c r="B23" s="167" t="s">
        <v>76</v>
      </c>
      <c r="C23" s="50" t="s">
        <v>77</v>
      </c>
      <c r="D23" s="561">
        <v>1121</v>
      </c>
      <c r="E23" s="561">
        <v>0</v>
      </c>
      <c r="F23" s="561">
        <v>0</v>
      </c>
      <c r="G23" s="561">
        <v>0</v>
      </c>
      <c r="H23" s="561">
        <f t="shared" si="2"/>
        <v>1121</v>
      </c>
    </row>
    <row r="24" spans="1:8" s="27" customFormat="1" x14ac:dyDescent="0.25">
      <c r="A24" s="146">
        <v>15</v>
      </c>
      <c r="B24" s="167" t="s">
        <v>78</v>
      </c>
      <c r="C24" s="50" t="s">
        <v>79</v>
      </c>
      <c r="D24" s="561">
        <v>2368</v>
      </c>
      <c r="E24" s="561">
        <v>1138</v>
      </c>
      <c r="F24" s="561">
        <v>773</v>
      </c>
      <c r="G24" s="561">
        <v>0</v>
      </c>
      <c r="H24" s="561">
        <f t="shared" si="2"/>
        <v>4279</v>
      </c>
    </row>
    <row r="25" spans="1:8" s="27" customFormat="1" x14ac:dyDescent="0.25">
      <c r="A25" s="146">
        <v>16</v>
      </c>
      <c r="B25" s="167" t="s">
        <v>80</v>
      </c>
      <c r="C25" s="50" t="s">
        <v>81</v>
      </c>
      <c r="D25" s="561">
        <v>2996</v>
      </c>
      <c r="E25" s="561">
        <v>1488</v>
      </c>
      <c r="F25" s="561">
        <v>1011</v>
      </c>
      <c r="G25" s="561">
        <v>0</v>
      </c>
      <c r="H25" s="561">
        <f t="shared" si="2"/>
        <v>5495</v>
      </c>
    </row>
    <row r="26" spans="1:8" s="27" customFormat="1" x14ac:dyDescent="0.25">
      <c r="A26" s="146">
        <v>17</v>
      </c>
      <c r="B26" s="167" t="s">
        <v>20</v>
      </c>
      <c r="C26" s="50" t="s">
        <v>21</v>
      </c>
      <c r="D26" s="561">
        <v>5889</v>
      </c>
      <c r="E26" s="561">
        <v>3307</v>
      </c>
      <c r="F26" s="561">
        <v>2248</v>
      </c>
      <c r="G26" s="561">
        <v>148</v>
      </c>
      <c r="H26" s="561">
        <f t="shared" si="2"/>
        <v>11592</v>
      </c>
    </row>
    <row r="27" spans="1:8" s="27" customFormat="1" x14ac:dyDescent="0.25">
      <c r="A27" s="146">
        <v>18</v>
      </c>
      <c r="B27" s="49" t="s">
        <v>82</v>
      </c>
      <c r="C27" s="50" t="s">
        <v>83</v>
      </c>
      <c r="D27" s="561">
        <v>658</v>
      </c>
      <c r="E27" s="561">
        <v>0</v>
      </c>
      <c r="F27" s="561">
        <v>0</v>
      </c>
      <c r="G27" s="561">
        <v>0</v>
      </c>
      <c r="H27" s="561">
        <f t="shared" si="2"/>
        <v>658</v>
      </c>
    </row>
    <row r="28" spans="1:8" s="27" customFormat="1" x14ac:dyDescent="0.25">
      <c r="A28" s="146">
        <v>19</v>
      </c>
      <c r="B28" s="49" t="s">
        <v>84</v>
      </c>
      <c r="C28" s="50" t="s">
        <v>85</v>
      </c>
      <c r="D28" s="561">
        <v>0</v>
      </c>
      <c r="E28" s="561">
        <v>0</v>
      </c>
      <c r="F28" s="561">
        <v>0</v>
      </c>
      <c r="G28" s="561">
        <v>0</v>
      </c>
      <c r="H28" s="561">
        <f t="shared" si="2"/>
        <v>0</v>
      </c>
    </row>
    <row r="29" spans="1:8" s="149" customFormat="1" x14ac:dyDescent="0.25">
      <c r="A29" s="146">
        <v>20</v>
      </c>
      <c r="B29" s="49" t="s">
        <v>86</v>
      </c>
      <c r="C29" s="50" t="s">
        <v>87</v>
      </c>
      <c r="D29" s="561">
        <v>3947</v>
      </c>
      <c r="E29" s="561">
        <v>2025</v>
      </c>
      <c r="F29" s="561">
        <v>1376</v>
      </c>
      <c r="G29" s="561">
        <v>106</v>
      </c>
      <c r="H29" s="561">
        <f t="shared" si="2"/>
        <v>7454</v>
      </c>
    </row>
    <row r="30" spans="1:8" s="27" customFormat="1" x14ac:dyDescent="0.25">
      <c r="A30" s="146">
        <v>21</v>
      </c>
      <c r="B30" s="49" t="s">
        <v>22</v>
      </c>
      <c r="C30" s="50" t="s">
        <v>23</v>
      </c>
      <c r="D30" s="561">
        <v>4596</v>
      </c>
      <c r="E30" s="561">
        <v>2379</v>
      </c>
      <c r="F30" s="561">
        <v>1958</v>
      </c>
      <c r="G30" s="561">
        <v>228</v>
      </c>
      <c r="H30" s="561">
        <f t="shared" si="2"/>
        <v>9161</v>
      </c>
    </row>
    <row r="31" spans="1:8" s="27" customFormat="1" x14ac:dyDescent="0.25">
      <c r="A31" s="146">
        <v>22</v>
      </c>
      <c r="B31" s="167" t="s">
        <v>24</v>
      </c>
      <c r="C31" s="50" t="s">
        <v>25</v>
      </c>
      <c r="D31" s="561">
        <v>779</v>
      </c>
      <c r="E31" s="561">
        <v>420</v>
      </c>
      <c r="F31" s="561">
        <v>285</v>
      </c>
      <c r="G31" s="561">
        <v>0</v>
      </c>
      <c r="H31" s="561">
        <f t="shared" si="2"/>
        <v>1484</v>
      </c>
    </row>
    <row r="32" spans="1:8" x14ac:dyDescent="0.25">
      <c r="A32" s="146">
        <v>23</v>
      </c>
      <c r="B32" s="167" t="s">
        <v>88</v>
      </c>
      <c r="C32" s="50" t="s">
        <v>89</v>
      </c>
      <c r="D32" s="561">
        <v>0</v>
      </c>
      <c r="E32" s="561">
        <v>0</v>
      </c>
      <c r="F32" s="561">
        <v>0</v>
      </c>
      <c r="G32" s="561">
        <v>0</v>
      </c>
      <c r="H32" s="561">
        <f t="shared" si="2"/>
        <v>0</v>
      </c>
    </row>
    <row r="33" spans="1:8" s="149" customFormat="1" ht="12.75" customHeight="1" x14ac:dyDescent="0.25">
      <c r="A33" s="593">
        <v>24</v>
      </c>
      <c r="B33" s="611" t="s">
        <v>90</v>
      </c>
      <c r="C33" s="31" t="s">
        <v>91</v>
      </c>
      <c r="D33" s="561">
        <v>0</v>
      </c>
      <c r="E33" s="561">
        <v>0</v>
      </c>
      <c r="F33" s="561">
        <v>0</v>
      </c>
      <c r="G33" s="561">
        <v>0</v>
      </c>
      <c r="H33" s="561">
        <f t="shared" si="2"/>
        <v>0</v>
      </c>
    </row>
    <row r="34" spans="1:8" s="149" customFormat="1" ht="24" x14ac:dyDescent="0.25">
      <c r="A34" s="1135">
        <v>25</v>
      </c>
      <c r="B34" s="71" t="s">
        <v>92</v>
      </c>
      <c r="C34" s="145" t="s">
        <v>792</v>
      </c>
      <c r="D34" s="561">
        <v>19216</v>
      </c>
      <c r="E34" s="561">
        <v>9446</v>
      </c>
      <c r="F34" s="561">
        <v>6597</v>
      </c>
      <c r="G34" s="561">
        <v>564</v>
      </c>
      <c r="H34" s="561">
        <f t="shared" si="2"/>
        <v>35823</v>
      </c>
    </row>
    <row r="35" spans="1:8" s="27" customFormat="1" x14ac:dyDescent="0.25">
      <c r="A35" s="1137"/>
      <c r="B35" s="611" t="s">
        <v>94</v>
      </c>
      <c r="C35" s="31" t="s">
        <v>95</v>
      </c>
      <c r="D35" s="561">
        <v>1928</v>
      </c>
      <c r="E35" s="561">
        <v>0</v>
      </c>
      <c r="F35" s="561">
        <v>0</v>
      </c>
      <c r="G35" s="561">
        <v>0</v>
      </c>
      <c r="H35" s="561">
        <f t="shared" si="2"/>
        <v>1928</v>
      </c>
    </row>
    <row r="36" spans="1:8" s="27" customFormat="1" x14ac:dyDescent="0.25">
      <c r="A36" s="593">
        <v>26</v>
      </c>
      <c r="B36" s="72" t="s">
        <v>96</v>
      </c>
      <c r="C36" s="31" t="s">
        <v>97</v>
      </c>
      <c r="D36" s="561">
        <v>0</v>
      </c>
      <c r="E36" s="561">
        <v>0</v>
      </c>
      <c r="F36" s="561">
        <v>0</v>
      </c>
      <c r="G36" s="561">
        <v>0</v>
      </c>
      <c r="H36" s="561">
        <f t="shared" si="2"/>
        <v>0</v>
      </c>
    </row>
    <row r="37" spans="1:8" s="27" customFormat="1" x14ac:dyDescent="0.25">
      <c r="A37" s="593">
        <v>27</v>
      </c>
      <c r="B37" s="72" t="s">
        <v>26</v>
      </c>
      <c r="C37" s="31" t="s">
        <v>27</v>
      </c>
      <c r="D37" s="561">
        <v>4638</v>
      </c>
      <c r="E37" s="561">
        <v>2300</v>
      </c>
      <c r="F37" s="561">
        <v>1515</v>
      </c>
      <c r="G37" s="561">
        <v>128</v>
      </c>
      <c r="H37" s="561">
        <f t="shared" si="2"/>
        <v>8581</v>
      </c>
    </row>
    <row r="38" spans="1:8" s="27" customFormat="1" x14ac:dyDescent="0.25">
      <c r="A38" s="593">
        <v>28</v>
      </c>
      <c r="B38" s="71" t="s">
        <v>98</v>
      </c>
      <c r="C38" s="31" t="s">
        <v>99</v>
      </c>
      <c r="D38" s="561">
        <v>6937</v>
      </c>
      <c r="E38" s="561">
        <v>3607</v>
      </c>
      <c r="F38" s="561">
        <v>2451</v>
      </c>
      <c r="G38" s="561">
        <v>318</v>
      </c>
      <c r="H38" s="561">
        <f t="shared" si="2"/>
        <v>13313</v>
      </c>
    </row>
    <row r="39" spans="1:8" s="27" customFormat="1" x14ac:dyDescent="0.25">
      <c r="A39" s="593">
        <v>29</v>
      </c>
      <c r="B39" s="72" t="s">
        <v>100</v>
      </c>
      <c r="C39" s="31" t="s">
        <v>101</v>
      </c>
      <c r="D39" s="561">
        <v>1327</v>
      </c>
      <c r="E39" s="561">
        <v>692</v>
      </c>
      <c r="F39" s="561">
        <v>470</v>
      </c>
      <c r="G39" s="561">
        <v>0</v>
      </c>
      <c r="H39" s="561">
        <f t="shared" si="2"/>
        <v>2489</v>
      </c>
    </row>
    <row r="40" spans="1:8" s="149" customFormat="1" x14ac:dyDescent="0.25">
      <c r="A40" s="593">
        <v>30</v>
      </c>
      <c r="B40" s="611" t="s">
        <v>102</v>
      </c>
      <c r="C40" s="31" t="s">
        <v>103</v>
      </c>
      <c r="D40" s="561">
        <v>4759</v>
      </c>
      <c r="E40" s="561">
        <v>2493</v>
      </c>
      <c r="F40" s="561">
        <v>1194</v>
      </c>
      <c r="G40" s="561">
        <v>0</v>
      </c>
      <c r="H40" s="561">
        <f t="shared" si="2"/>
        <v>8446</v>
      </c>
    </row>
    <row r="41" spans="1:8" x14ac:dyDescent="0.25">
      <c r="A41" s="593">
        <v>31</v>
      </c>
      <c r="B41" s="72" t="s">
        <v>104</v>
      </c>
      <c r="C41" s="31" t="s">
        <v>105</v>
      </c>
      <c r="D41" s="561">
        <v>1763</v>
      </c>
      <c r="E41" s="561">
        <v>916</v>
      </c>
      <c r="F41" s="561">
        <v>623</v>
      </c>
      <c r="G41" s="561">
        <v>0</v>
      </c>
      <c r="H41" s="561">
        <f t="shared" si="2"/>
        <v>3302</v>
      </c>
    </row>
    <row r="42" spans="1:8" s="27" customFormat="1" x14ac:dyDescent="0.25">
      <c r="A42" s="593">
        <v>32</v>
      </c>
      <c r="B42" s="71" t="s">
        <v>106</v>
      </c>
      <c r="C42" s="31" t="s">
        <v>107</v>
      </c>
      <c r="D42" s="561">
        <v>4626</v>
      </c>
      <c r="E42" s="561">
        <v>2399</v>
      </c>
      <c r="F42" s="561">
        <v>1630</v>
      </c>
      <c r="G42" s="561">
        <v>0</v>
      </c>
      <c r="H42" s="561">
        <f t="shared" si="2"/>
        <v>8655</v>
      </c>
    </row>
    <row r="43" spans="1:8" s="27" customFormat="1" x14ac:dyDescent="0.25">
      <c r="A43" s="593">
        <v>33</v>
      </c>
      <c r="B43" s="594" t="s">
        <v>108</v>
      </c>
      <c r="C43" s="595" t="s">
        <v>109</v>
      </c>
      <c r="D43" s="561">
        <v>1558</v>
      </c>
      <c r="E43" s="561">
        <v>821</v>
      </c>
      <c r="F43" s="561">
        <v>558</v>
      </c>
      <c r="G43" s="561">
        <v>0</v>
      </c>
      <c r="H43" s="561">
        <f t="shared" si="2"/>
        <v>2937</v>
      </c>
    </row>
    <row r="44" spans="1:8" s="27" customFormat="1" x14ac:dyDescent="0.25">
      <c r="A44" s="593">
        <v>34</v>
      </c>
      <c r="B44" s="71" t="s">
        <v>110</v>
      </c>
      <c r="C44" s="31" t="s">
        <v>111</v>
      </c>
      <c r="D44" s="561">
        <v>375</v>
      </c>
      <c r="E44" s="561">
        <v>264</v>
      </c>
      <c r="F44" s="561">
        <v>0</v>
      </c>
      <c r="G44" s="561">
        <v>0</v>
      </c>
      <c r="H44" s="561">
        <f t="shared" si="2"/>
        <v>639</v>
      </c>
    </row>
    <row r="45" spans="1:8" x14ac:dyDescent="0.25">
      <c r="A45" s="593">
        <v>35</v>
      </c>
      <c r="B45" s="71" t="s">
        <v>112</v>
      </c>
      <c r="C45" s="31" t="s">
        <v>113</v>
      </c>
      <c r="D45" s="561">
        <v>1331</v>
      </c>
      <c r="E45" s="561">
        <v>936</v>
      </c>
      <c r="F45" s="561">
        <v>636</v>
      </c>
      <c r="G45" s="561">
        <v>0</v>
      </c>
      <c r="H45" s="561">
        <f t="shared" si="2"/>
        <v>2903</v>
      </c>
    </row>
    <row r="46" spans="1:8" s="27" customFormat="1" x14ac:dyDescent="0.25">
      <c r="A46" s="593">
        <v>36</v>
      </c>
      <c r="B46" s="611" t="s">
        <v>114</v>
      </c>
      <c r="C46" s="31" t="s">
        <v>115</v>
      </c>
      <c r="D46" s="561">
        <v>673</v>
      </c>
      <c r="E46" s="561">
        <v>428</v>
      </c>
      <c r="F46" s="561">
        <v>290</v>
      </c>
      <c r="G46" s="561">
        <v>0</v>
      </c>
      <c r="H46" s="561">
        <f t="shared" si="2"/>
        <v>1391</v>
      </c>
    </row>
    <row r="47" spans="1:8" s="27" customFormat="1" x14ac:dyDescent="0.25">
      <c r="A47" s="593">
        <v>37</v>
      </c>
      <c r="B47" s="72" t="s">
        <v>116</v>
      </c>
      <c r="C47" s="31" t="s">
        <v>117</v>
      </c>
      <c r="D47" s="561">
        <v>876</v>
      </c>
      <c r="E47" s="561">
        <v>616</v>
      </c>
      <c r="F47" s="561">
        <v>319</v>
      </c>
      <c r="G47" s="561">
        <v>0</v>
      </c>
      <c r="H47" s="561">
        <f t="shared" si="2"/>
        <v>1811</v>
      </c>
    </row>
    <row r="48" spans="1:8" s="27" customFormat="1" x14ac:dyDescent="0.25">
      <c r="A48" s="593">
        <v>38</v>
      </c>
      <c r="B48" s="611" t="s">
        <v>28</v>
      </c>
      <c r="C48" s="31" t="s">
        <v>29</v>
      </c>
      <c r="D48" s="561">
        <v>6287</v>
      </c>
      <c r="E48" s="561">
        <v>3186</v>
      </c>
      <c r="F48" s="561">
        <v>1926</v>
      </c>
      <c r="G48" s="561">
        <v>303</v>
      </c>
      <c r="H48" s="561">
        <f t="shared" si="2"/>
        <v>11702</v>
      </c>
    </row>
    <row r="49" spans="1:8" s="27" customFormat="1" x14ac:dyDescent="0.25">
      <c r="A49" s="593">
        <v>39</v>
      </c>
      <c r="B49" s="71" t="s">
        <v>118</v>
      </c>
      <c r="C49" s="31" t="s">
        <v>119</v>
      </c>
      <c r="D49" s="561">
        <v>1276</v>
      </c>
      <c r="E49" s="561">
        <v>743</v>
      </c>
      <c r="F49" s="561">
        <v>505</v>
      </c>
      <c r="G49" s="561">
        <v>0</v>
      </c>
      <c r="H49" s="561">
        <f t="shared" si="2"/>
        <v>2524</v>
      </c>
    </row>
    <row r="50" spans="1:8" s="27" customFormat="1" x14ac:dyDescent="0.25">
      <c r="A50" s="593">
        <v>40</v>
      </c>
      <c r="B50" s="71" t="s">
        <v>120</v>
      </c>
      <c r="C50" s="31" t="s">
        <v>121</v>
      </c>
      <c r="D50" s="561">
        <v>5046</v>
      </c>
      <c r="E50" s="561">
        <v>2600</v>
      </c>
      <c r="F50" s="561">
        <v>1766</v>
      </c>
      <c r="G50" s="561">
        <v>0</v>
      </c>
      <c r="H50" s="561">
        <f t="shared" si="2"/>
        <v>9412</v>
      </c>
    </row>
    <row r="51" spans="1:8" s="149" customFormat="1" x14ac:dyDescent="0.25">
      <c r="A51" s="593">
        <v>41</v>
      </c>
      <c r="B51" s="611" t="s">
        <v>122</v>
      </c>
      <c r="C51" s="31" t="s">
        <v>123</v>
      </c>
      <c r="D51" s="561">
        <v>1044</v>
      </c>
      <c r="E51" s="561">
        <v>568</v>
      </c>
      <c r="F51" s="561">
        <v>386</v>
      </c>
      <c r="G51" s="561">
        <v>0</v>
      </c>
      <c r="H51" s="561">
        <f t="shared" si="2"/>
        <v>1998</v>
      </c>
    </row>
    <row r="52" spans="1:8" s="27" customFormat="1" x14ac:dyDescent="0.25">
      <c r="A52" s="593">
        <v>42</v>
      </c>
      <c r="B52" s="72" t="s">
        <v>124</v>
      </c>
      <c r="C52" s="31" t="s">
        <v>125</v>
      </c>
      <c r="D52" s="561">
        <v>1404</v>
      </c>
      <c r="E52" s="561">
        <v>776</v>
      </c>
      <c r="F52" s="561">
        <v>527</v>
      </c>
      <c r="G52" s="561">
        <v>0</v>
      </c>
      <c r="H52" s="561">
        <f t="shared" si="2"/>
        <v>2707</v>
      </c>
    </row>
    <row r="53" spans="1:8" s="27" customFormat="1" x14ac:dyDescent="0.25">
      <c r="A53" s="593">
        <v>43</v>
      </c>
      <c r="B53" s="611" t="s">
        <v>126</v>
      </c>
      <c r="C53" s="31" t="s">
        <v>127</v>
      </c>
      <c r="D53" s="561">
        <v>1670</v>
      </c>
      <c r="E53" s="561">
        <v>910</v>
      </c>
      <c r="F53" s="561">
        <v>618</v>
      </c>
      <c r="G53" s="561">
        <v>0</v>
      </c>
      <c r="H53" s="561">
        <f t="shared" si="2"/>
        <v>3198</v>
      </c>
    </row>
    <row r="54" spans="1:8" s="27" customFormat="1" x14ac:dyDescent="0.25">
      <c r="A54" s="593">
        <v>44</v>
      </c>
      <c r="B54" s="72" t="s">
        <v>128</v>
      </c>
      <c r="C54" s="31" t="s">
        <v>129</v>
      </c>
      <c r="D54" s="561">
        <v>2031</v>
      </c>
      <c r="E54" s="561">
        <v>1075</v>
      </c>
      <c r="F54" s="561">
        <v>730</v>
      </c>
      <c r="G54" s="561">
        <v>0</v>
      </c>
      <c r="H54" s="561">
        <f t="shared" si="2"/>
        <v>3836</v>
      </c>
    </row>
    <row r="55" spans="1:8" s="27" customFormat="1" x14ac:dyDescent="0.25">
      <c r="A55" s="593">
        <v>45</v>
      </c>
      <c r="B55" s="611" t="s">
        <v>130</v>
      </c>
      <c r="C55" s="31" t="s">
        <v>131</v>
      </c>
      <c r="D55" s="561">
        <v>544</v>
      </c>
      <c r="E55" s="561">
        <v>0</v>
      </c>
      <c r="F55" s="561">
        <v>260</v>
      </c>
      <c r="G55" s="561">
        <v>0</v>
      </c>
      <c r="H55" s="561">
        <f t="shared" si="2"/>
        <v>804</v>
      </c>
    </row>
    <row r="56" spans="1:8" s="27" customFormat="1" x14ac:dyDescent="0.25">
      <c r="A56" s="593">
        <v>46</v>
      </c>
      <c r="B56" s="72" t="s">
        <v>132</v>
      </c>
      <c r="C56" s="31" t="s">
        <v>133</v>
      </c>
      <c r="D56" s="561">
        <v>995</v>
      </c>
      <c r="E56" s="561">
        <v>700</v>
      </c>
      <c r="F56" s="561">
        <v>476</v>
      </c>
      <c r="G56" s="561">
        <v>0</v>
      </c>
      <c r="H56" s="561">
        <f t="shared" si="2"/>
        <v>2171</v>
      </c>
    </row>
    <row r="57" spans="1:8" s="27" customFormat="1" x14ac:dyDescent="0.25">
      <c r="A57" s="593">
        <v>47</v>
      </c>
      <c r="B57" s="611" t="s">
        <v>134</v>
      </c>
      <c r="C57" s="31" t="s">
        <v>135</v>
      </c>
      <c r="D57" s="561">
        <v>2042</v>
      </c>
      <c r="E57" s="561">
        <v>1106</v>
      </c>
      <c r="F57" s="561">
        <v>752</v>
      </c>
      <c r="G57" s="561">
        <v>0</v>
      </c>
      <c r="H57" s="561">
        <f t="shared" si="2"/>
        <v>3900</v>
      </c>
    </row>
    <row r="58" spans="1:8" s="27" customFormat="1" x14ac:dyDescent="0.25">
      <c r="A58" s="593">
        <v>48</v>
      </c>
      <c r="B58" s="611" t="s">
        <v>136</v>
      </c>
      <c r="C58" s="31" t="s">
        <v>137</v>
      </c>
      <c r="D58" s="561">
        <v>7353</v>
      </c>
      <c r="E58" s="561">
        <v>3783</v>
      </c>
      <c r="F58" s="561">
        <v>2571</v>
      </c>
      <c r="G58" s="561">
        <v>247</v>
      </c>
      <c r="H58" s="561">
        <f t="shared" si="2"/>
        <v>13954</v>
      </c>
    </row>
    <row r="59" spans="1:8" s="27" customFormat="1" x14ac:dyDescent="0.25">
      <c r="A59" s="593">
        <v>49</v>
      </c>
      <c r="B59" s="611" t="s">
        <v>138</v>
      </c>
      <c r="C59" s="31" t="s">
        <v>139</v>
      </c>
      <c r="D59" s="561">
        <v>1469</v>
      </c>
      <c r="E59" s="561">
        <v>786</v>
      </c>
      <c r="F59" s="561">
        <v>534</v>
      </c>
      <c r="G59" s="561">
        <v>0</v>
      </c>
      <c r="H59" s="561">
        <f t="shared" si="2"/>
        <v>2789</v>
      </c>
    </row>
    <row r="60" spans="1:8" s="27" customFormat="1" x14ac:dyDescent="0.25">
      <c r="A60" s="593">
        <v>50</v>
      </c>
      <c r="B60" s="611" t="s">
        <v>140</v>
      </c>
      <c r="C60" s="31" t="s">
        <v>141</v>
      </c>
      <c r="D60" s="561">
        <v>1068</v>
      </c>
      <c r="E60" s="561">
        <v>584</v>
      </c>
      <c r="F60" s="561">
        <v>397</v>
      </c>
      <c r="G60" s="561">
        <v>0</v>
      </c>
      <c r="H60" s="561">
        <f t="shared" si="2"/>
        <v>2049</v>
      </c>
    </row>
    <row r="61" spans="1:8" s="27" customFormat="1" x14ac:dyDescent="0.25">
      <c r="A61" s="593">
        <v>51</v>
      </c>
      <c r="B61" s="72" t="s">
        <v>142</v>
      </c>
      <c r="C61" s="31" t="s">
        <v>143</v>
      </c>
      <c r="D61" s="561">
        <v>1281</v>
      </c>
      <c r="E61" s="561">
        <v>630</v>
      </c>
      <c r="F61" s="561">
        <v>478</v>
      </c>
      <c r="G61" s="561">
        <v>0</v>
      </c>
      <c r="H61" s="561">
        <f t="shared" si="2"/>
        <v>2389</v>
      </c>
    </row>
    <row r="62" spans="1:8" s="27" customFormat="1" x14ac:dyDescent="0.25">
      <c r="A62" s="593">
        <v>52</v>
      </c>
      <c r="B62" s="611" t="s">
        <v>144</v>
      </c>
      <c r="C62" s="31" t="s">
        <v>145</v>
      </c>
      <c r="D62" s="561">
        <v>0</v>
      </c>
      <c r="E62" s="561">
        <v>0</v>
      </c>
      <c r="F62" s="561">
        <v>0</v>
      </c>
      <c r="G62" s="561">
        <v>0</v>
      </c>
      <c r="H62" s="561">
        <f t="shared" si="2"/>
        <v>0</v>
      </c>
    </row>
    <row r="63" spans="1:8" s="27" customFormat="1" x14ac:dyDescent="0.25">
      <c r="A63" s="593">
        <v>53</v>
      </c>
      <c r="B63" s="611" t="s">
        <v>146</v>
      </c>
      <c r="C63" s="31" t="s">
        <v>147</v>
      </c>
      <c r="D63" s="561">
        <v>0</v>
      </c>
      <c r="E63" s="561">
        <v>0</v>
      </c>
      <c r="F63" s="561">
        <v>0</v>
      </c>
      <c r="G63" s="561">
        <v>0</v>
      </c>
      <c r="H63" s="561">
        <f t="shared" si="2"/>
        <v>0</v>
      </c>
    </row>
    <row r="64" spans="1:8" s="27" customFormat="1" x14ac:dyDescent="0.25">
      <c r="A64" s="593">
        <v>54</v>
      </c>
      <c r="B64" s="611" t="s">
        <v>148</v>
      </c>
      <c r="C64" s="31" t="s">
        <v>149</v>
      </c>
      <c r="D64" s="561">
        <v>3147</v>
      </c>
      <c r="E64" s="561">
        <v>0</v>
      </c>
      <c r="F64" s="561">
        <v>0</v>
      </c>
      <c r="G64" s="561">
        <v>0</v>
      </c>
      <c r="H64" s="561">
        <f t="shared" si="2"/>
        <v>3147</v>
      </c>
    </row>
    <row r="65" spans="1:8" s="27" customFormat="1" x14ac:dyDescent="0.25">
      <c r="A65" s="593">
        <v>55</v>
      </c>
      <c r="B65" s="72" t="s">
        <v>150</v>
      </c>
      <c r="C65" s="31" t="s">
        <v>151</v>
      </c>
      <c r="D65" s="561">
        <v>2836</v>
      </c>
      <c r="E65" s="561">
        <v>0</v>
      </c>
      <c r="F65" s="561">
        <v>0</v>
      </c>
      <c r="G65" s="561">
        <v>0</v>
      </c>
      <c r="H65" s="561">
        <f t="shared" si="2"/>
        <v>2836</v>
      </c>
    </row>
    <row r="66" spans="1:8" s="27" customFormat="1" x14ac:dyDescent="0.25">
      <c r="A66" s="593">
        <v>56</v>
      </c>
      <c r="B66" s="72" t="s">
        <v>154</v>
      </c>
      <c r="C66" s="31" t="s">
        <v>155</v>
      </c>
      <c r="D66" s="561">
        <v>4190</v>
      </c>
      <c r="E66" s="561">
        <v>0</v>
      </c>
      <c r="F66" s="561">
        <v>0</v>
      </c>
      <c r="G66" s="561">
        <v>0</v>
      </c>
      <c r="H66" s="561">
        <f t="shared" si="2"/>
        <v>4190</v>
      </c>
    </row>
    <row r="67" spans="1:8" s="27" customFormat="1" ht="24" x14ac:dyDescent="0.25">
      <c r="A67" s="593">
        <v>57</v>
      </c>
      <c r="B67" s="71" t="s">
        <v>158</v>
      </c>
      <c r="C67" s="31" t="s">
        <v>159</v>
      </c>
      <c r="D67" s="561">
        <v>0</v>
      </c>
      <c r="E67" s="561">
        <v>0</v>
      </c>
      <c r="F67" s="561">
        <v>0</v>
      </c>
      <c r="G67" s="561">
        <v>0</v>
      </c>
      <c r="H67" s="561">
        <f t="shared" si="2"/>
        <v>0</v>
      </c>
    </row>
    <row r="68" spans="1:8" s="27" customFormat="1" ht="24" x14ac:dyDescent="0.25">
      <c r="A68" s="593">
        <v>58</v>
      </c>
      <c r="B68" s="71" t="s">
        <v>160</v>
      </c>
      <c r="C68" s="31" t="s">
        <v>161</v>
      </c>
      <c r="D68" s="561">
        <v>0</v>
      </c>
      <c r="E68" s="561">
        <v>0</v>
      </c>
      <c r="F68" s="561">
        <v>0</v>
      </c>
      <c r="G68" s="561">
        <v>0</v>
      </c>
      <c r="H68" s="561">
        <f t="shared" si="2"/>
        <v>0</v>
      </c>
    </row>
    <row r="69" spans="1:8" s="27" customFormat="1" x14ac:dyDescent="0.25">
      <c r="A69" s="593">
        <v>59</v>
      </c>
      <c r="B69" s="72" t="s">
        <v>162</v>
      </c>
      <c r="C69" s="31" t="s">
        <v>163</v>
      </c>
      <c r="D69" s="561">
        <v>4744</v>
      </c>
      <c r="E69" s="561">
        <v>3336</v>
      </c>
      <c r="F69" s="561">
        <v>2267</v>
      </c>
      <c r="G69" s="561">
        <v>0</v>
      </c>
      <c r="H69" s="561">
        <f t="shared" si="2"/>
        <v>10347</v>
      </c>
    </row>
    <row r="70" spans="1:8" s="27" customFormat="1" x14ac:dyDescent="0.25">
      <c r="A70" s="593">
        <v>60</v>
      </c>
      <c r="B70" s="72" t="s">
        <v>164</v>
      </c>
      <c r="C70" s="31" t="s">
        <v>165</v>
      </c>
      <c r="D70" s="561">
        <v>2747</v>
      </c>
      <c r="E70" s="561">
        <v>1932</v>
      </c>
      <c r="F70" s="561">
        <v>1313</v>
      </c>
      <c r="G70" s="561">
        <v>0</v>
      </c>
      <c r="H70" s="561">
        <f t="shared" si="2"/>
        <v>5992</v>
      </c>
    </row>
    <row r="71" spans="1:8" s="27" customFormat="1" x14ac:dyDescent="0.25">
      <c r="A71" s="593">
        <v>61</v>
      </c>
      <c r="B71" s="72" t="s">
        <v>166</v>
      </c>
      <c r="C71" s="31" t="s">
        <v>167</v>
      </c>
      <c r="D71" s="561">
        <v>6307</v>
      </c>
      <c r="E71" s="561">
        <v>4435</v>
      </c>
      <c r="F71" s="561">
        <v>3014</v>
      </c>
      <c r="G71" s="561">
        <v>0</v>
      </c>
      <c r="H71" s="561">
        <f t="shared" si="2"/>
        <v>13756</v>
      </c>
    </row>
    <row r="72" spans="1:8" s="27" customFormat="1" ht="29.25" customHeight="1" x14ac:dyDescent="0.25">
      <c r="A72" s="1135">
        <v>62</v>
      </c>
      <c r="B72" s="71" t="s">
        <v>170</v>
      </c>
      <c r="C72" s="145" t="s">
        <v>793</v>
      </c>
      <c r="D72" s="561">
        <v>0</v>
      </c>
      <c r="E72" s="561">
        <v>0</v>
      </c>
      <c r="F72" s="561">
        <v>0</v>
      </c>
      <c r="G72" s="561">
        <v>0</v>
      </c>
      <c r="H72" s="561">
        <f t="shared" ref="H72:H137" si="3">D72+E72+F72+G72</f>
        <v>0</v>
      </c>
    </row>
    <row r="73" spans="1:8" s="27" customFormat="1" x14ac:dyDescent="0.25">
      <c r="A73" s="1136"/>
      <c r="B73" s="71" t="s">
        <v>168</v>
      </c>
      <c r="C73" s="31" t="s">
        <v>169</v>
      </c>
      <c r="D73" s="561">
        <v>0</v>
      </c>
      <c r="E73" s="561">
        <v>0</v>
      </c>
      <c r="F73" s="561">
        <v>0</v>
      </c>
      <c r="G73" s="561"/>
      <c r="H73" s="561"/>
    </row>
    <row r="74" spans="1:8" s="27" customFormat="1" x14ac:dyDescent="0.25">
      <c r="A74" s="1137"/>
      <c r="B74" s="71" t="s">
        <v>174</v>
      </c>
      <c r="C74" s="31" t="s">
        <v>175</v>
      </c>
      <c r="D74" s="561">
        <v>0</v>
      </c>
      <c r="E74" s="561">
        <v>0</v>
      </c>
      <c r="F74" s="561">
        <v>0</v>
      </c>
      <c r="G74" s="561"/>
      <c r="H74" s="561"/>
    </row>
    <row r="75" spans="1:8" s="27" customFormat="1" ht="27.75" customHeight="1" x14ac:dyDescent="0.25">
      <c r="A75" s="1135">
        <v>63</v>
      </c>
      <c r="B75" s="71" t="s">
        <v>176</v>
      </c>
      <c r="C75" s="145" t="s">
        <v>796</v>
      </c>
      <c r="D75" s="561">
        <v>0</v>
      </c>
      <c r="E75" s="561">
        <v>0</v>
      </c>
      <c r="F75" s="561">
        <v>0</v>
      </c>
      <c r="G75" s="561">
        <v>0</v>
      </c>
      <c r="H75" s="561">
        <f t="shared" si="3"/>
        <v>0</v>
      </c>
    </row>
    <row r="76" spans="1:8" s="27" customFormat="1" x14ac:dyDescent="0.25">
      <c r="A76" s="1136"/>
      <c r="B76" s="72" t="s">
        <v>172</v>
      </c>
      <c r="C76" s="31" t="s">
        <v>173</v>
      </c>
      <c r="D76" s="561">
        <v>0</v>
      </c>
      <c r="E76" s="561">
        <v>0</v>
      </c>
      <c r="F76" s="561">
        <v>0</v>
      </c>
      <c r="G76" s="561"/>
      <c r="H76" s="561"/>
    </row>
    <row r="77" spans="1:8" s="27" customFormat="1" x14ac:dyDescent="0.25">
      <c r="A77" s="1136"/>
      <c r="B77" s="71" t="s">
        <v>178</v>
      </c>
      <c r="C77" s="31" t="s">
        <v>179</v>
      </c>
      <c r="D77" s="561">
        <v>0</v>
      </c>
      <c r="E77" s="561">
        <v>0</v>
      </c>
      <c r="F77" s="561">
        <v>0</v>
      </c>
      <c r="G77" s="561">
        <v>0</v>
      </c>
      <c r="H77" s="561">
        <f t="shared" si="3"/>
        <v>0</v>
      </c>
    </row>
    <row r="78" spans="1:8" s="27" customFormat="1" x14ac:dyDescent="0.25">
      <c r="A78" s="1137"/>
      <c r="B78" s="71" t="s">
        <v>180</v>
      </c>
      <c r="C78" s="31" t="s">
        <v>181</v>
      </c>
      <c r="D78" s="561">
        <v>0</v>
      </c>
      <c r="E78" s="561">
        <v>0</v>
      </c>
      <c r="F78" s="561">
        <v>0</v>
      </c>
      <c r="G78" s="561">
        <v>0</v>
      </c>
      <c r="H78" s="561">
        <f t="shared" si="3"/>
        <v>0</v>
      </c>
    </row>
    <row r="79" spans="1:8" s="27" customFormat="1" x14ac:dyDescent="0.25">
      <c r="A79" s="593">
        <v>64</v>
      </c>
      <c r="B79" s="611" t="s">
        <v>182</v>
      </c>
      <c r="C79" s="31" t="s">
        <v>183</v>
      </c>
      <c r="D79" s="561">
        <v>5554</v>
      </c>
      <c r="E79" s="561">
        <v>2588</v>
      </c>
      <c r="F79" s="561">
        <v>1759</v>
      </c>
      <c r="G79" s="561">
        <v>0</v>
      </c>
      <c r="H79" s="561">
        <f t="shared" si="3"/>
        <v>9901</v>
      </c>
    </row>
    <row r="80" spans="1:8" s="27" customFormat="1" x14ac:dyDescent="0.25">
      <c r="A80" s="593">
        <v>65</v>
      </c>
      <c r="B80" s="71" t="s">
        <v>184</v>
      </c>
      <c r="C80" s="31" t="s">
        <v>185</v>
      </c>
      <c r="D80" s="561">
        <v>9109</v>
      </c>
      <c r="E80" s="561">
        <v>6244</v>
      </c>
      <c r="F80" s="561">
        <v>4321</v>
      </c>
      <c r="G80" s="561">
        <v>400</v>
      </c>
      <c r="H80" s="561">
        <f t="shared" si="3"/>
        <v>20074</v>
      </c>
    </row>
    <row r="81" spans="1:8" s="27" customFormat="1" x14ac:dyDescent="0.25">
      <c r="A81" s="593">
        <v>66</v>
      </c>
      <c r="B81" s="611" t="s">
        <v>186</v>
      </c>
      <c r="C81" s="31" t="s">
        <v>187</v>
      </c>
      <c r="D81" s="561">
        <v>7288</v>
      </c>
      <c r="E81" s="561">
        <v>5126</v>
      </c>
      <c r="F81" s="561">
        <v>3483</v>
      </c>
      <c r="G81" s="561">
        <v>0</v>
      </c>
      <c r="H81" s="561">
        <f t="shared" si="3"/>
        <v>15897</v>
      </c>
    </row>
    <row r="82" spans="1:8" s="27" customFormat="1" ht="24" x14ac:dyDescent="0.25">
      <c r="A82" s="1135">
        <v>67</v>
      </c>
      <c r="B82" s="71" t="s">
        <v>188</v>
      </c>
      <c r="C82" s="145" t="s">
        <v>795</v>
      </c>
      <c r="D82" s="561">
        <v>5718</v>
      </c>
      <c r="E82" s="561">
        <v>2304</v>
      </c>
      <c r="F82" s="561">
        <v>1565</v>
      </c>
      <c r="G82" s="561">
        <v>545</v>
      </c>
      <c r="H82" s="561">
        <f t="shared" si="3"/>
        <v>10132</v>
      </c>
    </row>
    <row r="83" spans="1:8" s="27" customFormat="1" x14ac:dyDescent="0.25">
      <c r="A83" s="1137"/>
      <c r="B83" s="611" t="s">
        <v>156</v>
      </c>
      <c r="C83" s="31" t="s">
        <v>157</v>
      </c>
      <c r="D83" s="561">
        <v>814</v>
      </c>
      <c r="E83" s="561">
        <v>0</v>
      </c>
      <c r="F83" s="561">
        <v>0</v>
      </c>
      <c r="G83" s="561"/>
      <c r="H83" s="561">
        <f t="shared" si="3"/>
        <v>814</v>
      </c>
    </row>
    <row r="84" spans="1:8" s="27" customFormat="1" x14ac:dyDescent="0.25">
      <c r="A84" s="593">
        <v>68</v>
      </c>
      <c r="B84" s="71" t="s">
        <v>190</v>
      </c>
      <c r="C84" s="31" t="s">
        <v>191</v>
      </c>
      <c r="D84" s="561">
        <v>8425</v>
      </c>
      <c r="E84" s="561">
        <v>5877</v>
      </c>
      <c r="F84" s="561">
        <v>4207</v>
      </c>
      <c r="G84" s="561">
        <v>668</v>
      </c>
      <c r="H84" s="561">
        <f t="shared" si="3"/>
        <v>19177</v>
      </c>
    </row>
    <row r="85" spans="1:8" s="27" customFormat="1" ht="24" x14ac:dyDescent="0.25">
      <c r="A85" s="1135">
        <v>69</v>
      </c>
      <c r="B85" s="71" t="s">
        <v>192</v>
      </c>
      <c r="C85" s="145" t="s">
        <v>794</v>
      </c>
      <c r="D85" s="561">
        <v>6843</v>
      </c>
      <c r="E85" s="561">
        <v>0</v>
      </c>
      <c r="F85" s="561">
        <v>0</v>
      </c>
      <c r="G85" s="561">
        <v>0</v>
      </c>
      <c r="H85" s="561">
        <f t="shared" si="3"/>
        <v>6843</v>
      </c>
    </row>
    <row r="86" spans="1:8" s="27" customFormat="1" x14ac:dyDescent="0.25">
      <c r="A86" s="1137"/>
      <c r="B86" s="71" t="s">
        <v>152</v>
      </c>
      <c r="C86" s="31" t="s">
        <v>549</v>
      </c>
      <c r="D86" s="561">
        <v>911</v>
      </c>
      <c r="E86" s="561">
        <v>0</v>
      </c>
      <c r="F86" s="561">
        <v>0</v>
      </c>
      <c r="G86" s="561"/>
      <c r="H86" s="561">
        <f t="shared" si="3"/>
        <v>911</v>
      </c>
    </row>
    <row r="87" spans="1:8" s="27" customFormat="1" x14ac:dyDescent="0.25">
      <c r="A87" s="593">
        <v>70</v>
      </c>
      <c r="B87" s="71" t="s">
        <v>194</v>
      </c>
      <c r="C87" s="31" t="s">
        <v>195</v>
      </c>
      <c r="D87" s="561">
        <v>7148</v>
      </c>
      <c r="E87" s="561">
        <v>4951</v>
      </c>
      <c r="F87" s="561">
        <v>3613</v>
      </c>
      <c r="G87" s="561">
        <v>538</v>
      </c>
      <c r="H87" s="561">
        <f t="shared" si="3"/>
        <v>16250</v>
      </c>
    </row>
    <row r="88" spans="1:8" s="27" customFormat="1" x14ac:dyDescent="0.25">
      <c r="A88" s="593">
        <v>71</v>
      </c>
      <c r="B88" s="71" t="s">
        <v>196</v>
      </c>
      <c r="C88" s="31" t="s">
        <v>197</v>
      </c>
      <c r="D88" s="561">
        <v>0</v>
      </c>
      <c r="E88" s="561">
        <v>0</v>
      </c>
      <c r="F88" s="561">
        <v>0</v>
      </c>
      <c r="G88" s="561">
        <v>0</v>
      </c>
      <c r="H88" s="561">
        <f t="shared" si="3"/>
        <v>0</v>
      </c>
    </row>
    <row r="89" spans="1:8" s="27" customFormat="1" x14ac:dyDescent="0.25">
      <c r="A89" s="593">
        <v>72</v>
      </c>
      <c r="B89" s="72" t="s">
        <v>30</v>
      </c>
      <c r="C89" s="31" t="s">
        <v>198</v>
      </c>
      <c r="D89" s="561">
        <v>0</v>
      </c>
      <c r="E89" s="561">
        <v>0</v>
      </c>
      <c r="F89" s="561">
        <v>0</v>
      </c>
      <c r="G89" s="561">
        <v>0</v>
      </c>
      <c r="H89" s="561">
        <f t="shared" si="3"/>
        <v>0</v>
      </c>
    </row>
    <row r="90" spans="1:8" s="27" customFormat="1" ht="24" x14ac:dyDescent="0.25">
      <c r="A90" s="1135">
        <v>73</v>
      </c>
      <c r="B90" s="1138" t="s">
        <v>199</v>
      </c>
      <c r="C90" s="145" t="s">
        <v>797</v>
      </c>
      <c r="D90" s="561">
        <v>356</v>
      </c>
      <c r="E90" s="561">
        <v>250</v>
      </c>
      <c r="F90" s="561">
        <v>170</v>
      </c>
      <c r="G90" s="561">
        <v>0</v>
      </c>
      <c r="H90" s="561">
        <f t="shared" si="3"/>
        <v>776</v>
      </c>
    </row>
    <row r="91" spans="1:8" s="27" customFormat="1" ht="36" x14ac:dyDescent="0.25">
      <c r="A91" s="1136"/>
      <c r="B91" s="1139"/>
      <c r="C91" s="31" t="s">
        <v>201</v>
      </c>
      <c r="D91" s="561">
        <v>356</v>
      </c>
      <c r="E91" s="561">
        <v>250</v>
      </c>
      <c r="F91" s="561">
        <v>170</v>
      </c>
      <c r="G91" s="561">
        <v>0</v>
      </c>
      <c r="H91" s="561">
        <f t="shared" si="3"/>
        <v>776</v>
      </c>
    </row>
    <row r="92" spans="1:8" s="27" customFormat="1" x14ac:dyDescent="0.25">
      <c r="A92" s="1136"/>
      <c r="B92" s="1139"/>
      <c r="C92" s="31" t="s">
        <v>202</v>
      </c>
      <c r="D92" s="561">
        <v>0</v>
      </c>
      <c r="E92" s="561">
        <v>0</v>
      </c>
      <c r="F92" s="561">
        <v>0</v>
      </c>
      <c r="G92" s="561">
        <v>0</v>
      </c>
      <c r="H92" s="561">
        <f t="shared" si="3"/>
        <v>0</v>
      </c>
    </row>
    <row r="93" spans="1:8" s="27" customFormat="1" ht="24" x14ac:dyDescent="0.25">
      <c r="A93" s="1137"/>
      <c r="B93" s="1140"/>
      <c r="C93" s="119" t="s">
        <v>203</v>
      </c>
      <c r="D93" s="561">
        <v>0</v>
      </c>
      <c r="E93" s="561">
        <v>0</v>
      </c>
      <c r="F93" s="561">
        <v>0</v>
      </c>
      <c r="G93" s="561">
        <v>0</v>
      </c>
      <c r="H93" s="561">
        <f t="shared" si="3"/>
        <v>0</v>
      </c>
    </row>
    <row r="94" spans="1:8" s="27" customFormat="1" ht="15" customHeight="1" x14ac:dyDescent="0.25">
      <c r="A94" s="593">
        <v>74</v>
      </c>
      <c r="B94" s="72" t="s">
        <v>204</v>
      </c>
      <c r="C94" s="31" t="s">
        <v>205</v>
      </c>
      <c r="D94" s="561">
        <v>0</v>
      </c>
      <c r="E94" s="561">
        <v>0</v>
      </c>
      <c r="F94" s="561">
        <v>0</v>
      </c>
      <c r="G94" s="561">
        <v>0</v>
      </c>
      <c r="H94" s="561">
        <f t="shared" si="3"/>
        <v>0</v>
      </c>
    </row>
    <row r="95" spans="1:8" s="27" customFormat="1" x14ac:dyDescent="0.25">
      <c r="A95" s="593">
        <v>75</v>
      </c>
      <c r="B95" s="72" t="s">
        <v>206</v>
      </c>
      <c r="C95" s="31" t="s">
        <v>207</v>
      </c>
      <c r="D95" s="561">
        <v>282</v>
      </c>
      <c r="E95" s="561">
        <v>198</v>
      </c>
      <c r="F95" s="561">
        <v>135</v>
      </c>
      <c r="G95" s="561">
        <v>0</v>
      </c>
      <c r="H95" s="561">
        <f t="shared" si="3"/>
        <v>615</v>
      </c>
    </row>
    <row r="96" spans="1:8" s="27" customFormat="1" x14ac:dyDescent="0.25">
      <c r="A96" s="593">
        <v>76</v>
      </c>
      <c r="B96" s="611" t="s">
        <v>208</v>
      </c>
      <c r="C96" s="31" t="s">
        <v>209</v>
      </c>
      <c r="D96" s="561">
        <v>1756</v>
      </c>
      <c r="E96" s="561">
        <v>1235</v>
      </c>
      <c r="F96" s="561">
        <v>1326</v>
      </c>
      <c r="G96" s="561">
        <v>0</v>
      </c>
      <c r="H96" s="561">
        <f t="shared" si="3"/>
        <v>4317</v>
      </c>
    </row>
    <row r="97" spans="1:8" s="27" customFormat="1" x14ac:dyDescent="0.25">
      <c r="A97" s="593">
        <v>77</v>
      </c>
      <c r="B97" s="72" t="s">
        <v>210</v>
      </c>
      <c r="C97" s="31" t="s">
        <v>211</v>
      </c>
      <c r="D97" s="561">
        <v>915</v>
      </c>
      <c r="E97" s="561">
        <v>482</v>
      </c>
      <c r="F97" s="561">
        <v>327</v>
      </c>
      <c r="G97" s="561">
        <v>0</v>
      </c>
      <c r="H97" s="561">
        <f t="shared" si="3"/>
        <v>1724</v>
      </c>
    </row>
    <row r="98" spans="1:8" s="27" customFormat="1" x14ac:dyDescent="0.25">
      <c r="A98" s="593">
        <v>78</v>
      </c>
      <c r="B98" s="611" t="s">
        <v>212</v>
      </c>
      <c r="C98" s="31" t="s">
        <v>213</v>
      </c>
      <c r="D98" s="561">
        <v>0</v>
      </c>
      <c r="E98" s="561">
        <v>504</v>
      </c>
      <c r="F98" s="561">
        <v>343</v>
      </c>
      <c r="G98" s="561">
        <v>0</v>
      </c>
      <c r="H98" s="561">
        <f t="shared" si="3"/>
        <v>847</v>
      </c>
    </row>
    <row r="99" spans="1:8" s="27" customFormat="1" x14ac:dyDescent="0.25">
      <c r="A99" s="593">
        <v>79</v>
      </c>
      <c r="B99" s="611" t="s">
        <v>214</v>
      </c>
      <c r="C99" s="31" t="s">
        <v>215</v>
      </c>
      <c r="D99" s="561">
        <v>2778</v>
      </c>
      <c r="E99" s="561">
        <v>1414</v>
      </c>
      <c r="F99" s="561">
        <v>961</v>
      </c>
      <c r="G99" s="561">
        <v>0</v>
      </c>
      <c r="H99" s="561">
        <f t="shared" si="3"/>
        <v>5153</v>
      </c>
    </row>
    <row r="100" spans="1:8" s="27" customFormat="1" x14ac:dyDescent="0.25">
      <c r="A100" s="593">
        <v>80</v>
      </c>
      <c r="B100" s="72" t="s">
        <v>216</v>
      </c>
      <c r="C100" s="31" t="s">
        <v>217</v>
      </c>
      <c r="D100" s="561">
        <v>847</v>
      </c>
      <c r="E100" s="561">
        <v>595</v>
      </c>
      <c r="F100" s="561">
        <v>405</v>
      </c>
      <c r="G100" s="561">
        <v>0</v>
      </c>
      <c r="H100" s="561">
        <f t="shared" si="3"/>
        <v>1847</v>
      </c>
    </row>
    <row r="101" spans="1:8" s="27" customFormat="1" x14ac:dyDescent="0.25">
      <c r="A101" s="593">
        <v>81</v>
      </c>
      <c r="B101" s="71" t="s">
        <v>218</v>
      </c>
      <c r="C101" s="31" t="s">
        <v>219</v>
      </c>
      <c r="D101" s="561">
        <v>0</v>
      </c>
      <c r="E101" s="561">
        <v>0</v>
      </c>
      <c r="F101" s="561">
        <v>0</v>
      </c>
      <c r="G101" s="561">
        <v>0</v>
      </c>
      <c r="H101" s="561">
        <f t="shared" si="3"/>
        <v>0</v>
      </c>
    </row>
    <row r="102" spans="1:8" s="27" customFormat="1" x14ac:dyDescent="0.25">
      <c r="A102" s="593">
        <v>82</v>
      </c>
      <c r="B102" s="71" t="s">
        <v>220</v>
      </c>
      <c r="C102" s="31" t="s">
        <v>221</v>
      </c>
      <c r="D102" s="561">
        <v>2485</v>
      </c>
      <c r="E102" s="561">
        <v>1434</v>
      </c>
      <c r="F102" s="561">
        <v>1006</v>
      </c>
      <c r="G102" s="561">
        <v>0</v>
      </c>
      <c r="H102" s="561">
        <f t="shared" si="3"/>
        <v>4925</v>
      </c>
    </row>
    <row r="103" spans="1:8" s="27" customFormat="1" x14ac:dyDescent="0.25">
      <c r="A103" s="593">
        <v>83</v>
      </c>
      <c r="B103" s="611" t="s">
        <v>222</v>
      </c>
      <c r="C103" s="31" t="s">
        <v>223</v>
      </c>
      <c r="D103" s="561">
        <v>879</v>
      </c>
      <c r="E103" s="561">
        <v>457</v>
      </c>
      <c r="F103" s="561">
        <v>310</v>
      </c>
      <c r="G103" s="561">
        <v>0</v>
      </c>
      <c r="H103" s="561">
        <f t="shared" si="3"/>
        <v>1646</v>
      </c>
    </row>
    <row r="104" spans="1:8" s="27" customFormat="1" x14ac:dyDescent="0.25">
      <c r="A104" s="593">
        <v>84</v>
      </c>
      <c r="B104" s="71" t="s">
        <v>224</v>
      </c>
      <c r="C104" s="31" t="s">
        <v>225</v>
      </c>
      <c r="D104" s="561">
        <v>1018</v>
      </c>
      <c r="E104" s="561">
        <v>716</v>
      </c>
      <c r="F104" s="561">
        <v>0</v>
      </c>
      <c r="G104" s="561">
        <v>0</v>
      </c>
      <c r="H104" s="561">
        <f t="shared" si="3"/>
        <v>1734</v>
      </c>
    </row>
    <row r="105" spans="1:8" s="27" customFormat="1" x14ac:dyDescent="0.25">
      <c r="A105" s="593">
        <v>85</v>
      </c>
      <c r="B105" s="71" t="s">
        <v>226</v>
      </c>
      <c r="C105" s="31" t="s">
        <v>227</v>
      </c>
      <c r="D105" s="561">
        <v>1320</v>
      </c>
      <c r="E105" s="561">
        <v>676</v>
      </c>
      <c r="F105" s="561">
        <v>460</v>
      </c>
      <c r="G105" s="561">
        <v>0</v>
      </c>
      <c r="H105" s="561">
        <f t="shared" si="3"/>
        <v>2456</v>
      </c>
    </row>
    <row r="106" spans="1:8" s="27" customFormat="1" x14ac:dyDescent="0.25">
      <c r="A106" s="593">
        <v>86</v>
      </c>
      <c r="B106" s="72" t="s">
        <v>32</v>
      </c>
      <c r="C106" s="31" t="s">
        <v>33</v>
      </c>
      <c r="D106" s="561">
        <v>2390</v>
      </c>
      <c r="E106" s="561">
        <v>1319</v>
      </c>
      <c r="F106" s="561">
        <v>556</v>
      </c>
      <c r="G106" s="561">
        <v>219</v>
      </c>
      <c r="H106" s="561">
        <f t="shared" si="3"/>
        <v>4484</v>
      </c>
    </row>
    <row r="107" spans="1:8" s="149" customFormat="1" x14ac:dyDescent="0.25">
      <c r="A107" s="593">
        <v>87</v>
      </c>
      <c r="B107" s="611" t="s">
        <v>228</v>
      </c>
      <c r="C107" s="31" t="s">
        <v>229</v>
      </c>
      <c r="D107" s="561">
        <v>746</v>
      </c>
      <c r="E107" s="561">
        <v>524</v>
      </c>
      <c r="F107" s="561">
        <v>356</v>
      </c>
      <c r="G107" s="561">
        <v>0</v>
      </c>
      <c r="H107" s="561">
        <f t="shared" si="3"/>
        <v>1626</v>
      </c>
    </row>
    <row r="108" spans="1:8" s="27" customFormat="1" x14ac:dyDescent="0.25">
      <c r="A108" s="593">
        <v>88</v>
      </c>
      <c r="B108" s="71" t="s">
        <v>230</v>
      </c>
      <c r="C108" s="31" t="s">
        <v>231</v>
      </c>
      <c r="D108" s="561">
        <v>1972</v>
      </c>
      <c r="E108" s="561">
        <v>1387</v>
      </c>
      <c r="F108" s="561">
        <v>942</v>
      </c>
      <c r="G108" s="561">
        <v>0</v>
      </c>
      <c r="H108" s="561">
        <f t="shared" si="3"/>
        <v>4301</v>
      </c>
    </row>
    <row r="109" spans="1:8" s="27" customFormat="1" x14ac:dyDescent="0.25">
      <c r="A109" s="593">
        <v>89</v>
      </c>
      <c r="B109" s="71" t="s">
        <v>232</v>
      </c>
      <c r="C109" s="31" t="s">
        <v>233</v>
      </c>
      <c r="D109" s="561">
        <v>0</v>
      </c>
      <c r="E109" s="561">
        <v>0</v>
      </c>
      <c r="F109" s="561">
        <v>0</v>
      </c>
      <c r="G109" s="561">
        <v>0</v>
      </c>
      <c r="H109" s="561">
        <f t="shared" si="3"/>
        <v>0</v>
      </c>
    </row>
    <row r="110" spans="1:8" s="27" customFormat="1" x14ac:dyDescent="0.25">
      <c r="A110" s="593">
        <v>90</v>
      </c>
      <c r="B110" s="71" t="s">
        <v>234</v>
      </c>
      <c r="C110" s="31" t="s">
        <v>235</v>
      </c>
      <c r="D110" s="561">
        <v>0</v>
      </c>
      <c r="E110" s="561">
        <v>0</v>
      </c>
      <c r="F110" s="561">
        <v>0</v>
      </c>
      <c r="G110" s="561">
        <v>0</v>
      </c>
      <c r="H110" s="561">
        <f t="shared" si="3"/>
        <v>0</v>
      </c>
    </row>
    <row r="111" spans="1:8" s="27" customFormat="1" x14ac:dyDescent="0.25">
      <c r="A111" s="593">
        <v>91</v>
      </c>
      <c r="B111" s="611" t="s">
        <v>236</v>
      </c>
      <c r="C111" s="31" t="s">
        <v>237</v>
      </c>
      <c r="D111" s="561">
        <v>0</v>
      </c>
      <c r="E111" s="561">
        <v>0</v>
      </c>
      <c r="F111" s="561">
        <v>0</v>
      </c>
      <c r="G111" s="561">
        <v>0</v>
      </c>
      <c r="H111" s="561">
        <f t="shared" si="3"/>
        <v>0</v>
      </c>
    </row>
    <row r="112" spans="1:8" s="27" customFormat="1" x14ac:dyDescent="0.25">
      <c r="A112" s="593">
        <v>92</v>
      </c>
      <c r="B112" s="611" t="s">
        <v>238</v>
      </c>
      <c r="C112" s="31" t="s">
        <v>239</v>
      </c>
      <c r="D112" s="561">
        <v>0</v>
      </c>
      <c r="E112" s="561">
        <v>0</v>
      </c>
      <c r="F112" s="561">
        <v>0</v>
      </c>
      <c r="G112" s="561">
        <v>0</v>
      </c>
      <c r="H112" s="561">
        <f t="shared" si="3"/>
        <v>0</v>
      </c>
    </row>
    <row r="113" spans="1:8" s="27" customFormat="1" x14ac:dyDescent="0.25">
      <c r="A113" s="593">
        <v>93</v>
      </c>
      <c r="B113" s="611" t="s">
        <v>240</v>
      </c>
      <c r="C113" s="31" t="s">
        <v>241</v>
      </c>
      <c r="D113" s="561">
        <v>0</v>
      </c>
      <c r="E113" s="561">
        <v>0</v>
      </c>
      <c r="F113" s="561">
        <v>0</v>
      </c>
      <c r="G113" s="561">
        <v>0</v>
      </c>
      <c r="H113" s="561">
        <f t="shared" si="3"/>
        <v>0</v>
      </c>
    </row>
    <row r="114" spans="1:8" s="27" customFormat="1" x14ac:dyDescent="0.25">
      <c r="A114" s="593">
        <v>94</v>
      </c>
      <c r="B114" s="611" t="s">
        <v>242</v>
      </c>
      <c r="C114" s="31" t="s">
        <v>243</v>
      </c>
      <c r="D114" s="561">
        <v>0</v>
      </c>
      <c r="E114" s="561">
        <v>0</v>
      </c>
      <c r="F114" s="561">
        <v>0</v>
      </c>
      <c r="G114" s="561">
        <v>0</v>
      </c>
      <c r="H114" s="561">
        <f t="shared" si="3"/>
        <v>0</v>
      </c>
    </row>
    <row r="115" spans="1:8" s="27" customFormat="1" x14ac:dyDescent="0.25">
      <c r="A115" s="593">
        <v>95</v>
      </c>
      <c r="B115" s="611" t="s">
        <v>244</v>
      </c>
      <c r="C115" s="31" t="s">
        <v>245</v>
      </c>
      <c r="D115" s="561">
        <v>0</v>
      </c>
      <c r="E115" s="561">
        <v>0</v>
      </c>
      <c r="F115" s="561">
        <v>0</v>
      </c>
      <c r="G115" s="561">
        <v>0</v>
      </c>
      <c r="H115" s="561">
        <f t="shared" si="3"/>
        <v>0</v>
      </c>
    </row>
    <row r="116" spans="1:8" s="27" customFormat="1" x14ac:dyDescent="0.25">
      <c r="A116" s="593">
        <v>96</v>
      </c>
      <c r="B116" s="596" t="s">
        <v>246</v>
      </c>
      <c r="C116" s="595" t="s">
        <v>247</v>
      </c>
      <c r="D116" s="561">
        <v>0</v>
      </c>
      <c r="E116" s="561">
        <v>0</v>
      </c>
      <c r="F116" s="561">
        <v>0</v>
      </c>
      <c r="G116" s="561">
        <v>0</v>
      </c>
      <c r="H116" s="561">
        <f t="shared" si="3"/>
        <v>0</v>
      </c>
    </row>
    <row r="117" spans="1:8" s="27" customFormat="1" x14ac:dyDescent="0.25">
      <c r="A117" s="593">
        <v>97</v>
      </c>
      <c r="B117" s="72" t="s">
        <v>248</v>
      </c>
      <c r="C117" s="31" t="s">
        <v>249</v>
      </c>
      <c r="D117" s="561">
        <v>0</v>
      </c>
      <c r="E117" s="561">
        <v>0</v>
      </c>
      <c r="F117" s="561">
        <v>0</v>
      </c>
      <c r="G117" s="561">
        <v>0</v>
      </c>
      <c r="H117" s="561">
        <f t="shared" si="3"/>
        <v>0</v>
      </c>
    </row>
    <row r="118" spans="1:8" s="27" customFormat="1" x14ac:dyDescent="0.25">
      <c r="A118" s="593">
        <v>98</v>
      </c>
      <c r="B118" s="611" t="s">
        <v>250</v>
      </c>
      <c r="C118" s="31" t="s">
        <v>251</v>
      </c>
      <c r="D118" s="561">
        <v>0</v>
      </c>
      <c r="E118" s="561">
        <v>0</v>
      </c>
      <c r="F118" s="561">
        <v>0</v>
      </c>
      <c r="G118" s="561">
        <v>0</v>
      </c>
      <c r="H118" s="561">
        <f t="shared" si="3"/>
        <v>0</v>
      </c>
    </row>
    <row r="119" spans="1:8" s="27" customFormat="1" x14ac:dyDescent="0.25">
      <c r="A119" s="593">
        <v>99</v>
      </c>
      <c r="B119" s="71" t="s">
        <v>252</v>
      </c>
      <c r="C119" s="120" t="s">
        <v>253</v>
      </c>
      <c r="D119" s="561">
        <v>0</v>
      </c>
      <c r="E119" s="561">
        <v>0</v>
      </c>
      <c r="F119" s="561">
        <v>0</v>
      </c>
      <c r="G119" s="561">
        <v>0</v>
      </c>
      <c r="H119" s="561">
        <f t="shared" si="3"/>
        <v>0</v>
      </c>
    </row>
    <row r="120" spans="1:8" s="27" customFormat="1" x14ac:dyDescent="0.25">
      <c r="A120" s="593">
        <v>100</v>
      </c>
      <c r="B120" s="611" t="s">
        <v>254</v>
      </c>
      <c r="C120" s="31" t="s">
        <v>255</v>
      </c>
      <c r="D120" s="561">
        <v>0</v>
      </c>
      <c r="E120" s="561">
        <v>0</v>
      </c>
      <c r="F120" s="561">
        <v>0</v>
      </c>
      <c r="G120" s="561">
        <v>0</v>
      </c>
      <c r="H120" s="561">
        <f t="shared" si="3"/>
        <v>0</v>
      </c>
    </row>
    <row r="121" spans="1:8" s="27" customFormat="1" x14ac:dyDescent="0.25">
      <c r="A121" s="593">
        <v>101</v>
      </c>
      <c r="B121" s="72" t="s">
        <v>256</v>
      </c>
      <c r="C121" s="31" t="s">
        <v>257</v>
      </c>
      <c r="D121" s="561">
        <v>0</v>
      </c>
      <c r="E121" s="561">
        <v>0</v>
      </c>
      <c r="F121" s="561">
        <v>0</v>
      </c>
      <c r="G121" s="561">
        <v>0</v>
      </c>
      <c r="H121" s="561">
        <f t="shared" si="3"/>
        <v>0</v>
      </c>
    </row>
    <row r="122" spans="1:8" s="27" customFormat="1" x14ac:dyDescent="0.25">
      <c r="A122" s="593">
        <v>102</v>
      </c>
      <c r="B122" s="71" t="s">
        <v>258</v>
      </c>
      <c r="C122" s="31" t="s">
        <v>259</v>
      </c>
      <c r="D122" s="561">
        <v>0</v>
      </c>
      <c r="E122" s="561">
        <v>0</v>
      </c>
      <c r="F122" s="561">
        <v>0</v>
      </c>
      <c r="G122" s="561">
        <v>0</v>
      </c>
      <c r="H122" s="561">
        <f t="shared" si="3"/>
        <v>0</v>
      </c>
    </row>
    <row r="123" spans="1:8" s="27" customFormat="1" x14ac:dyDescent="0.25">
      <c r="A123" s="593">
        <v>103</v>
      </c>
      <c r="B123" s="597" t="s">
        <v>543</v>
      </c>
      <c r="C123" s="595" t="s">
        <v>544</v>
      </c>
      <c r="D123" s="561">
        <v>0</v>
      </c>
      <c r="E123" s="561">
        <v>0</v>
      </c>
      <c r="F123" s="561">
        <v>0</v>
      </c>
      <c r="G123" s="561">
        <v>0</v>
      </c>
      <c r="H123" s="561">
        <f t="shared" si="3"/>
        <v>0</v>
      </c>
    </row>
    <row r="124" spans="1:8" s="27" customFormat="1" x14ac:dyDescent="0.25">
      <c r="A124" s="593">
        <v>104</v>
      </c>
      <c r="B124" s="72" t="s">
        <v>260</v>
      </c>
      <c r="C124" s="31" t="s">
        <v>261</v>
      </c>
      <c r="D124" s="561">
        <v>0</v>
      </c>
      <c r="E124" s="561">
        <v>0</v>
      </c>
      <c r="F124" s="561">
        <v>0</v>
      </c>
      <c r="G124" s="561">
        <v>0</v>
      </c>
      <c r="H124" s="561">
        <f t="shared" si="3"/>
        <v>0</v>
      </c>
    </row>
    <row r="125" spans="1:8" s="27" customFormat="1" x14ac:dyDescent="0.25">
      <c r="A125" s="593">
        <v>105</v>
      </c>
      <c r="B125" s="611" t="s">
        <v>262</v>
      </c>
      <c r="C125" s="31" t="s">
        <v>263</v>
      </c>
      <c r="D125" s="561">
        <v>0</v>
      </c>
      <c r="E125" s="561">
        <v>0</v>
      </c>
      <c r="F125" s="561">
        <v>0</v>
      </c>
      <c r="G125" s="561">
        <v>0</v>
      </c>
      <c r="H125" s="561">
        <f t="shared" si="3"/>
        <v>0</v>
      </c>
    </row>
    <row r="126" spans="1:8" s="27" customFormat="1" x14ac:dyDescent="0.25">
      <c r="A126" s="593">
        <v>106</v>
      </c>
      <c r="B126" s="611" t="s">
        <v>264</v>
      </c>
      <c r="C126" s="121" t="s">
        <v>265</v>
      </c>
      <c r="D126" s="561">
        <v>0</v>
      </c>
      <c r="E126" s="561">
        <v>0</v>
      </c>
      <c r="F126" s="561">
        <v>0</v>
      </c>
      <c r="G126" s="561">
        <v>0</v>
      </c>
      <c r="H126" s="561">
        <f t="shared" si="3"/>
        <v>0</v>
      </c>
    </row>
    <row r="127" spans="1:8" s="27" customFormat="1" x14ac:dyDescent="0.25">
      <c r="A127" s="593">
        <v>107</v>
      </c>
      <c r="B127" s="611" t="s">
        <v>266</v>
      </c>
      <c r="C127" s="31" t="s">
        <v>267</v>
      </c>
      <c r="D127" s="561">
        <v>2000</v>
      </c>
      <c r="E127" s="561">
        <v>1800</v>
      </c>
      <c r="F127" s="561">
        <v>1000</v>
      </c>
      <c r="G127" s="561">
        <v>801</v>
      </c>
      <c r="H127" s="561">
        <f t="shared" si="3"/>
        <v>5601</v>
      </c>
    </row>
    <row r="128" spans="1:8" s="27" customFormat="1" x14ac:dyDescent="0.25">
      <c r="A128" s="593">
        <v>108</v>
      </c>
      <c r="B128" s="611" t="s">
        <v>268</v>
      </c>
      <c r="C128" s="31" t="s">
        <v>269</v>
      </c>
      <c r="D128" s="561">
        <v>3100</v>
      </c>
      <c r="E128" s="561">
        <v>0</v>
      </c>
      <c r="F128" s="561">
        <v>0</v>
      </c>
      <c r="G128" s="561">
        <v>0</v>
      </c>
      <c r="H128" s="561">
        <f t="shared" si="3"/>
        <v>3100</v>
      </c>
    </row>
    <row r="129" spans="1:8" s="27" customFormat="1" x14ac:dyDescent="0.25">
      <c r="A129" s="593">
        <v>109</v>
      </c>
      <c r="B129" s="611" t="s">
        <v>270</v>
      </c>
      <c r="C129" s="31" t="s">
        <v>271</v>
      </c>
      <c r="D129" s="561">
        <v>13000</v>
      </c>
      <c r="E129" s="561">
        <v>1535</v>
      </c>
      <c r="F129" s="561">
        <v>662</v>
      </c>
      <c r="G129" s="561">
        <v>725</v>
      </c>
      <c r="H129" s="561">
        <f t="shared" si="3"/>
        <v>15922</v>
      </c>
    </row>
    <row r="130" spans="1:8" s="27" customFormat="1" x14ac:dyDescent="0.25">
      <c r="A130" s="593">
        <v>110</v>
      </c>
      <c r="B130" s="71" t="s">
        <v>272</v>
      </c>
      <c r="C130" s="31" t="s">
        <v>273</v>
      </c>
      <c r="D130" s="561">
        <v>2500</v>
      </c>
      <c r="E130" s="561">
        <v>0</v>
      </c>
      <c r="F130" s="561">
        <v>0</v>
      </c>
      <c r="G130" s="561">
        <v>0</v>
      </c>
      <c r="H130" s="561">
        <f t="shared" si="3"/>
        <v>2500</v>
      </c>
    </row>
    <row r="131" spans="1:8" x14ac:dyDescent="0.25">
      <c r="A131" s="593">
        <v>111</v>
      </c>
      <c r="B131" s="71" t="s">
        <v>274</v>
      </c>
      <c r="C131" s="31" t="s">
        <v>275</v>
      </c>
      <c r="D131" s="561">
        <v>0</v>
      </c>
      <c r="E131" s="561">
        <v>0</v>
      </c>
      <c r="F131" s="561">
        <v>0</v>
      </c>
      <c r="G131" s="561">
        <v>0</v>
      </c>
      <c r="H131" s="561">
        <f t="shared" si="3"/>
        <v>0</v>
      </c>
    </row>
    <row r="132" spans="1:8" s="27" customFormat="1" x14ac:dyDescent="0.25">
      <c r="A132" s="593">
        <v>112</v>
      </c>
      <c r="B132" s="71" t="s">
        <v>276</v>
      </c>
      <c r="C132" s="31" t="s">
        <v>277</v>
      </c>
      <c r="D132" s="561">
        <v>700</v>
      </c>
      <c r="E132" s="561">
        <v>0</v>
      </c>
      <c r="F132" s="561">
        <v>0</v>
      </c>
      <c r="G132" s="561">
        <v>0</v>
      </c>
      <c r="H132" s="561">
        <f t="shared" si="3"/>
        <v>700</v>
      </c>
    </row>
    <row r="133" spans="1:8" s="27" customFormat="1" x14ac:dyDescent="0.25">
      <c r="A133" s="593">
        <v>113</v>
      </c>
      <c r="B133" s="611" t="s">
        <v>278</v>
      </c>
      <c r="C133" s="31" t="s">
        <v>279</v>
      </c>
      <c r="D133" s="561">
        <v>0</v>
      </c>
      <c r="E133" s="561">
        <v>0</v>
      </c>
      <c r="F133" s="561">
        <v>0</v>
      </c>
      <c r="G133" s="561">
        <v>0</v>
      </c>
      <c r="H133" s="561">
        <f t="shared" si="3"/>
        <v>0</v>
      </c>
    </row>
    <row r="134" spans="1:8" s="27" customFormat="1" x14ac:dyDescent="0.25">
      <c r="A134" s="593">
        <v>114</v>
      </c>
      <c r="B134" s="611" t="s">
        <v>280</v>
      </c>
      <c r="C134" s="31" t="s">
        <v>281</v>
      </c>
      <c r="D134" s="561">
        <v>0</v>
      </c>
      <c r="E134" s="561">
        <v>0</v>
      </c>
      <c r="F134" s="561">
        <v>0</v>
      </c>
      <c r="G134" s="561">
        <v>0</v>
      </c>
      <c r="H134" s="561">
        <f t="shared" si="3"/>
        <v>0</v>
      </c>
    </row>
    <row r="135" spans="1:8" s="27" customFormat="1" x14ac:dyDescent="0.25">
      <c r="A135" s="593">
        <v>115</v>
      </c>
      <c r="B135" s="611" t="s">
        <v>282</v>
      </c>
      <c r="C135" s="31" t="s">
        <v>772</v>
      </c>
      <c r="D135" s="561">
        <v>620</v>
      </c>
      <c r="E135" s="561">
        <v>1020</v>
      </c>
      <c r="F135" s="561">
        <v>660</v>
      </c>
      <c r="G135" s="561">
        <v>0</v>
      </c>
      <c r="H135" s="561">
        <f t="shared" si="3"/>
        <v>2300</v>
      </c>
    </row>
    <row r="136" spans="1:8" s="27" customFormat="1" x14ac:dyDescent="0.25">
      <c r="A136" s="593">
        <v>116</v>
      </c>
      <c r="B136" s="71" t="s">
        <v>283</v>
      </c>
      <c r="C136" s="31" t="s">
        <v>284</v>
      </c>
      <c r="D136" s="561">
        <v>3396</v>
      </c>
      <c r="E136" s="561">
        <v>2388</v>
      </c>
      <c r="F136" s="561">
        <v>1623</v>
      </c>
      <c r="G136" s="561">
        <v>279</v>
      </c>
      <c r="H136" s="561">
        <f t="shared" si="3"/>
        <v>7686</v>
      </c>
    </row>
    <row r="137" spans="1:8" s="27" customFormat="1" x14ac:dyDescent="0.25">
      <c r="A137" s="593">
        <v>117</v>
      </c>
      <c r="B137" s="72" t="s">
        <v>285</v>
      </c>
      <c r="C137" s="31" t="s">
        <v>728</v>
      </c>
      <c r="D137" s="561">
        <v>5459</v>
      </c>
      <c r="E137" s="561">
        <v>3034</v>
      </c>
      <c r="F137" s="561">
        <v>2061</v>
      </c>
      <c r="G137" s="561">
        <v>459</v>
      </c>
      <c r="H137" s="561">
        <f t="shared" si="3"/>
        <v>11013</v>
      </c>
    </row>
    <row r="138" spans="1:8" s="27" customFormat="1" x14ac:dyDescent="0.25">
      <c r="A138" s="593">
        <v>118</v>
      </c>
      <c r="B138" s="611" t="s">
        <v>286</v>
      </c>
      <c r="C138" s="31" t="s">
        <v>287</v>
      </c>
      <c r="D138" s="561">
        <v>0</v>
      </c>
      <c r="E138" s="561">
        <v>0</v>
      </c>
      <c r="F138" s="561">
        <v>0</v>
      </c>
      <c r="G138" s="561">
        <v>0</v>
      </c>
      <c r="H138" s="561">
        <f t="shared" ref="H138:H147" si="4">D138+E138+F138+G138</f>
        <v>0</v>
      </c>
    </row>
    <row r="139" spans="1:8" s="27" customFormat="1" x14ac:dyDescent="0.25">
      <c r="A139" s="593">
        <v>119</v>
      </c>
      <c r="B139" s="71" t="s">
        <v>288</v>
      </c>
      <c r="C139" s="31" t="s">
        <v>289</v>
      </c>
      <c r="D139" s="561">
        <v>0</v>
      </c>
      <c r="E139" s="561">
        <v>0</v>
      </c>
      <c r="F139" s="561">
        <v>0</v>
      </c>
      <c r="G139" s="561">
        <v>0</v>
      </c>
      <c r="H139" s="561">
        <f t="shared" si="4"/>
        <v>0</v>
      </c>
    </row>
    <row r="140" spans="1:8" s="27" customFormat="1" x14ac:dyDescent="0.25">
      <c r="A140" s="593">
        <v>120</v>
      </c>
      <c r="B140" s="611" t="s">
        <v>290</v>
      </c>
      <c r="C140" s="31" t="s">
        <v>291</v>
      </c>
      <c r="D140" s="561">
        <v>0</v>
      </c>
      <c r="E140" s="561">
        <v>0</v>
      </c>
      <c r="F140" s="561">
        <v>0</v>
      </c>
      <c r="G140" s="561">
        <v>0</v>
      </c>
      <c r="H140" s="561">
        <f t="shared" si="4"/>
        <v>0</v>
      </c>
    </row>
    <row r="141" spans="1:8" x14ac:dyDescent="0.25">
      <c r="A141" s="593">
        <v>121</v>
      </c>
      <c r="B141" s="139" t="s">
        <v>292</v>
      </c>
      <c r="C141" s="598" t="s">
        <v>293</v>
      </c>
      <c r="D141" s="561">
        <v>0</v>
      </c>
      <c r="E141" s="561">
        <v>0</v>
      </c>
      <c r="F141" s="561">
        <v>0</v>
      </c>
      <c r="G141" s="561">
        <v>0</v>
      </c>
      <c r="H141" s="561">
        <f t="shared" si="4"/>
        <v>0</v>
      </c>
    </row>
    <row r="142" spans="1:8" x14ac:dyDescent="0.25">
      <c r="A142" s="593">
        <v>122</v>
      </c>
      <c r="B142" s="141" t="s">
        <v>294</v>
      </c>
      <c r="C142" s="599" t="s">
        <v>295</v>
      </c>
      <c r="D142" s="561">
        <v>0</v>
      </c>
      <c r="E142" s="561">
        <v>0</v>
      </c>
      <c r="F142" s="561">
        <v>0</v>
      </c>
      <c r="G142" s="561">
        <v>0</v>
      </c>
      <c r="H142" s="561">
        <f t="shared" si="4"/>
        <v>0</v>
      </c>
    </row>
    <row r="143" spans="1:8" x14ac:dyDescent="0.2">
      <c r="A143" s="593">
        <v>123</v>
      </c>
      <c r="B143" s="600" t="s">
        <v>296</v>
      </c>
      <c r="C143" s="601" t="s">
        <v>461</v>
      </c>
      <c r="D143" s="561">
        <v>0</v>
      </c>
      <c r="E143" s="561">
        <v>0</v>
      </c>
      <c r="F143" s="561">
        <v>0</v>
      </c>
      <c r="G143" s="561">
        <v>0</v>
      </c>
      <c r="H143" s="561">
        <f t="shared" si="4"/>
        <v>0</v>
      </c>
    </row>
    <row r="144" spans="1:8" x14ac:dyDescent="0.25">
      <c r="A144" s="593">
        <v>124</v>
      </c>
      <c r="B144" s="593" t="s">
        <v>298</v>
      </c>
      <c r="C144" s="602" t="s">
        <v>299</v>
      </c>
      <c r="D144" s="561">
        <v>0</v>
      </c>
      <c r="E144" s="561">
        <v>0</v>
      </c>
      <c r="F144" s="561">
        <v>0</v>
      </c>
      <c r="G144" s="561">
        <v>0</v>
      </c>
      <c r="H144" s="561">
        <f t="shared" si="4"/>
        <v>0</v>
      </c>
    </row>
    <row r="145" spans="1:8" x14ac:dyDescent="0.25">
      <c r="A145" s="593">
        <v>125</v>
      </c>
      <c r="B145" s="597" t="s">
        <v>300</v>
      </c>
      <c r="C145" s="602" t="s">
        <v>301</v>
      </c>
      <c r="D145" s="561">
        <v>0</v>
      </c>
      <c r="E145" s="561">
        <v>0</v>
      </c>
      <c r="F145" s="561">
        <v>0</v>
      </c>
      <c r="G145" s="561">
        <v>0</v>
      </c>
      <c r="H145" s="561">
        <f t="shared" si="4"/>
        <v>0</v>
      </c>
    </row>
    <row r="146" spans="1:8" x14ac:dyDescent="0.25">
      <c r="A146" s="593">
        <v>126</v>
      </c>
      <c r="B146" s="597" t="s">
        <v>302</v>
      </c>
      <c r="C146" s="602" t="s">
        <v>303</v>
      </c>
      <c r="D146" s="561">
        <v>0</v>
      </c>
      <c r="E146" s="561">
        <v>0</v>
      </c>
      <c r="F146" s="561">
        <v>0</v>
      </c>
      <c r="G146" s="561">
        <v>0</v>
      </c>
      <c r="H146" s="561">
        <f t="shared" si="4"/>
        <v>0</v>
      </c>
    </row>
    <row r="147" spans="1:8" x14ac:dyDescent="0.25">
      <c r="A147" s="593">
        <v>127</v>
      </c>
      <c r="B147" s="597" t="s">
        <v>304</v>
      </c>
      <c r="C147" s="595" t="s">
        <v>305</v>
      </c>
      <c r="D147" s="561">
        <v>0</v>
      </c>
      <c r="E147" s="561">
        <v>0</v>
      </c>
      <c r="F147" s="561">
        <v>0</v>
      </c>
      <c r="G147" s="561">
        <v>0</v>
      </c>
      <c r="H147" s="561">
        <f t="shared" si="4"/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14">
    <mergeCell ref="A6:C6"/>
    <mergeCell ref="A9:C9"/>
    <mergeCell ref="A90:A93"/>
    <mergeCell ref="B90:B93"/>
    <mergeCell ref="A2:H2"/>
    <mergeCell ref="A4:A5"/>
    <mergeCell ref="B4:B5"/>
    <mergeCell ref="C4:C5"/>
    <mergeCell ref="D4:H4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15"/>
  <sheetViews>
    <sheetView zoomScale="90" zoomScaleNormal="90" zoomScaleSheetLayoutView="70" workbookViewId="0">
      <pane xSplit="2" ySplit="4" topLeftCell="C97" activePane="bottomRight" state="frozen"/>
      <selection activeCell="AH117" sqref="AH117"/>
      <selection pane="topRight" activeCell="AH117" sqref="AH117"/>
      <selection pane="bottomLeft" activeCell="AH117" sqref="AH117"/>
      <selection pane="bottomRight" activeCell="I3" sqref="I3"/>
    </sheetView>
  </sheetViews>
  <sheetFormatPr defaultColWidth="9.140625" defaultRowHeight="12.75" x14ac:dyDescent="0.2"/>
  <cols>
    <col min="1" max="1" width="7.7109375" style="215" hidden="1" customWidth="1"/>
    <col min="2" max="2" width="17.7109375" style="260" customWidth="1"/>
    <col min="3" max="3" width="7.42578125" style="261" customWidth="1"/>
    <col min="4" max="4" width="7.5703125" style="261" customWidth="1"/>
    <col min="5" max="5" width="7" style="261" customWidth="1"/>
    <col min="6" max="6" width="5.85546875" style="261" customWidth="1"/>
    <col min="7" max="7" width="6.140625" style="262" customWidth="1"/>
    <col min="8" max="8" width="6" style="261" customWidth="1"/>
    <col min="9" max="9" width="6.7109375" style="261" customWidth="1"/>
    <col min="10" max="10" width="6" style="261" customWidth="1"/>
    <col min="11" max="11" width="8.140625" style="262" customWidth="1"/>
    <col min="12" max="12" width="8.140625" style="261" customWidth="1"/>
    <col min="13" max="13" width="8" style="215" customWidth="1"/>
    <col min="14" max="14" width="8.42578125" style="263" customWidth="1"/>
    <col min="15" max="15" width="7.85546875" style="262" customWidth="1"/>
    <col min="16" max="16" width="8" style="261" customWidth="1"/>
    <col min="17" max="17" width="8.42578125" style="261" customWidth="1"/>
    <col min="18" max="18" width="8.7109375" style="262" customWidth="1"/>
    <col min="19" max="19" width="8.42578125" style="261" customWidth="1"/>
    <col min="20" max="20" width="7.7109375" style="215" customWidth="1"/>
    <col min="21" max="21" width="8.140625" style="215" customWidth="1"/>
    <col min="22" max="22" width="8.7109375" style="215" customWidth="1"/>
    <col min="23" max="23" width="8.140625" style="215" customWidth="1"/>
    <col min="24" max="24" width="8" style="264" customWidth="1"/>
    <col min="25" max="25" width="8.85546875" style="215" customWidth="1"/>
    <col min="26" max="26" width="7.28515625" style="264" customWidth="1"/>
    <col min="27" max="27" width="11.5703125" style="261" hidden="1" customWidth="1"/>
    <col min="28" max="28" width="7" style="261" customWidth="1"/>
    <col min="29" max="29" width="6.5703125" style="215" customWidth="1"/>
    <col min="30" max="30" width="7.28515625" style="215" customWidth="1"/>
    <col min="31" max="31" width="8.140625" style="264" customWidth="1"/>
    <col min="32" max="32" width="6" style="264" hidden="1" customWidth="1"/>
    <col min="33" max="33" width="7.28515625" style="215" hidden="1" customWidth="1"/>
    <col min="34" max="34" width="10.85546875" style="216" bestFit="1" customWidth="1"/>
    <col min="35" max="35" width="9.140625" style="215"/>
    <col min="36" max="36" width="14.42578125" style="215" customWidth="1"/>
    <col min="37" max="37" width="12" style="215" bestFit="1" customWidth="1"/>
    <col min="38" max="16384" width="9.140625" style="215"/>
  </cols>
  <sheetData>
    <row r="1" spans="1:34" ht="28.5" customHeight="1" x14ac:dyDescent="0.2">
      <c r="B1" s="862" t="s">
        <v>640</v>
      </c>
      <c r="C1" s="862"/>
      <c r="D1" s="862"/>
      <c r="E1" s="862"/>
      <c r="F1" s="862"/>
      <c r="G1" s="862"/>
      <c r="H1" s="862"/>
      <c r="I1" s="862"/>
      <c r="J1" s="862"/>
      <c r="K1" s="862"/>
      <c r="L1" s="862"/>
      <c r="M1" s="862"/>
      <c r="N1" s="862"/>
      <c r="O1" s="862"/>
      <c r="P1" s="862"/>
      <c r="Q1" s="862"/>
      <c r="R1" s="862"/>
      <c r="S1" s="862"/>
      <c r="T1" s="862"/>
      <c r="U1" s="862"/>
      <c r="V1" s="862"/>
      <c r="W1" s="862"/>
      <c r="X1" s="862"/>
      <c r="Y1" s="862"/>
      <c r="Z1" s="862"/>
      <c r="AA1" s="862"/>
      <c r="AB1" s="862"/>
      <c r="AC1" s="862"/>
      <c r="AD1" s="862"/>
      <c r="AE1" s="862"/>
      <c r="AF1" s="862"/>
    </row>
    <row r="2" spans="1:34" s="217" customFormat="1" ht="12.75" hidden="1" customHeight="1" x14ac:dyDescent="0.25"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9"/>
      <c r="T2" s="219"/>
      <c r="U2" s="219"/>
      <c r="V2" s="219"/>
      <c r="W2" s="219"/>
      <c r="X2" s="219"/>
      <c r="Y2" s="219"/>
      <c r="Z2" s="219"/>
      <c r="AA2" s="218"/>
      <c r="AB2" s="218"/>
      <c r="AC2" s="218"/>
      <c r="AD2" s="219"/>
      <c r="AE2" s="219"/>
      <c r="AF2" s="219"/>
      <c r="AH2" s="220"/>
    </row>
    <row r="3" spans="1:34" s="221" customFormat="1" ht="62.25" customHeight="1" x14ac:dyDescent="0.2">
      <c r="B3" s="863" t="s">
        <v>605</v>
      </c>
      <c r="C3" s="222" t="s">
        <v>267</v>
      </c>
      <c r="D3" s="222" t="s">
        <v>284</v>
      </c>
      <c r="E3" s="222" t="s">
        <v>277</v>
      </c>
      <c r="F3" s="222" t="s">
        <v>271</v>
      </c>
      <c r="G3" s="222" t="s">
        <v>606</v>
      </c>
      <c r="H3" s="222" t="s">
        <v>275</v>
      </c>
      <c r="I3" s="222" t="s">
        <v>772</v>
      </c>
      <c r="J3" s="222" t="s">
        <v>607</v>
      </c>
      <c r="K3" s="222" t="s">
        <v>608</v>
      </c>
      <c r="L3" s="222" t="s">
        <v>609</v>
      </c>
      <c r="M3" s="222" t="s">
        <v>191</v>
      </c>
      <c r="N3" s="222" t="s">
        <v>195</v>
      </c>
      <c r="O3" s="222" t="s">
        <v>728</v>
      </c>
      <c r="P3" s="222" t="s">
        <v>197</v>
      </c>
      <c r="Q3" s="222" t="s">
        <v>33</v>
      </c>
      <c r="R3" s="222" t="s">
        <v>99</v>
      </c>
      <c r="S3" s="222" t="s">
        <v>610</v>
      </c>
      <c r="T3" s="222" t="s">
        <v>611</v>
      </c>
      <c r="U3" s="222" t="s">
        <v>612</v>
      </c>
      <c r="V3" s="222" t="s">
        <v>613</v>
      </c>
      <c r="W3" s="222" t="s">
        <v>29</v>
      </c>
      <c r="X3" s="222" t="s">
        <v>614</v>
      </c>
      <c r="Y3" s="222" t="s">
        <v>103</v>
      </c>
      <c r="Z3" s="222" t="s">
        <v>227</v>
      </c>
      <c r="AA3" s="223" t="s">
        <v>203</v>
      </c>
      <c r="AB3" s="222" t="s">
        <v>615</v>
      </c>
      <c r="AC3" s="222" t="s">
        <v>145</v>
      </c>
      <c r="AD3" s="222" t="s">
        <v>578</v>
      </c>
      <c r="AE3" s="224" t="s">
        <v>616</v>
      </c>
      <c r="AF3" s="222" t="s">
        <v>617</v>
      </c>
      <c r="AG3" s="224" t="s">
        <v>618</v>
      </c>
      <c r="AH3" s="225"/>
    </row>
    <row r="4" spans="1:34" s="221" customFormat="1" ht="89.25" customHeight="1" x14ac:dyDescent="0.2">
      <c r="B4" s="864"/>
      <c r="C4" s="226" t="s">
        <v>619</v>
      </c>
      <c r="D4" s="226" t="s">
        <v>619</v>
      </c>
      <c r="E4" s="226" t="s">
        <v>619</v>
      </c>
      <c r="F4" s="226" t="s">
        <v>619</v>
      </c>
      <c r="G4" s="226" t="s">
        <v>619</v>
      </c>
      <c r="H4" s="226" t="s">
        <v>619</v>
      </c>
      <c r="I4" s="226" t="s">
        <v>619</v>
      </c>
      <c r="J4" s="226" t="s">
        <v>619</v>
      </c>
      <c r="K4" s="226" t="s">
        <v>619</v>
      </c>
      <c r="L4" s="226" t="s">
        <v>619</v>
      </c>
      <c r="M4" s="226" t="s">
        <v>619</v>
      </c>
      <c r="N4" s="226" t="s">
        <v>619</v>
      </c>
      <c r="O4" s="226" t="s">
        <v>619</v>
      </c>
      <c r="P4" s="226" t="s">
        <v>619</v>
      </c>
      <c r="Q4" s="226" t="s">
        <v>619</v>
      </c>
      <c r="R4" s="226" t="s">
        <v>619</v>
      </c>
      <c r="S4" s="226" t="s">
        <v>619</v>
      </c>
      <c r="T4" s="226" t="s">
        <v>619</v>
      </c>
      <c r="U4" s="226" t="s">
        <v>619</v>
      </c>
      <c r="V4" s="226" t="s">
        <v>619</v>
      </c>
      <c r="W4" s="226" t="s">
        <v>619</v>
      </c>
      <c r="X4" s="226" t="s">
        <v>619</v>
      </c>
      <c r="Y4" s="226" t="s">
        <v>619</v>
      </c>
      <c r="Z4" s="226" t="s">
        <v>619</v>
      </c>
      <c r="AA4" s="226" t="s">
        <v>619</v>
      </c>
      <c r="AB4" s="226" t="s">
        <v>619</v>
      </c>
      <c r="AC4" s="226" t="s">
        <v>619</v>
      </c>
      <c r="AD4" s="226" t="s">
        <v>619</v>
      </c>
      <c r="AE4" s="226" t="s">
        <v>619</v>
      </c>
      <c r="AF4" s="226" t="s">
        <v>619</v>
      </c>
      <c r="AG4" s="226" t="s">
        <v>619</v>
      </c>
      <c r="AH4" s="225"/>
    </row>
    <row r="5" spans="1:34" s="227" customFormat="1" ht="11.25" hidden="1" customHeight="1" x14ac:dyDescent="0.2">
      <c r="B5" s="228"/>
      <c r="C5" s="228">
        <v>3</v>
      </c>
      <c r="D5" s="228">
        <v>5</v>
      </c>
      <c r="E5" s="228">
        <v>7</v>
      </c>
      <c r="F5" s="228">
        <v>9</v>
      </c>
      <c r="G5" s="228">
        <v>11</v>
      </c>
      <c r="H5" s="228">
        <v>13</v>
      </c>
      <c r="I5" s="228">
        <v>15</v>
      </c>
      <c r="J5" s="228">
        <v>17</v>
      </c>
      <c r="K5" s="228">
        <v>19</v>
      </c>
      <c r="L5" s="228">
        <v>21</v>
      </c>
      <c r="M5" s="228">
        <v>23</v>
      </c>
      <c r="N5" s="228">
        <v>25</v>
      </c>
      <c r="O5" s="228">
        <v>27</v>
      </c>
      <c r="P5" s="228">
        <v>29</v>
      </c>
      <c r="Q5" s="228">
        <v>31</v>
      </c>
      <c r="R5" s="228">
        <v>33</v>
      </c>
      <c r="S5" s="228">
        <v>35</v>
      </c>
      <c r="T5" s="228">
        <v>37</v>
      </c>
      <c r="U5" s="228">
        <v>39</v>
      </c>
      <c r="V5" s="228">
        <v>41</v>
      </c>
      <c r="W5" s="228">
        <v>43</v>
      </c>
      <c r="X5" s="228">
        <v>45</v>
      </c>
      <c r="Y5" s="228">
        <v>47</v>
      </c>
      <c r="Z5" s="228">
        <v>49</v>
      </c>
      <c r="AA5" s="228">
        <v>51</v>
      </c>
      <c r="AB5" s="228">
        <v>53</v>
      </c>
      <c r="AC5" s="228">
        <v>55</v>
      </c>
      <c r="AD5" s="228">
        <v>57</v>
      </c>
      <c r="AE5" s="228">
        <v>59</v>
      </c>
      <c r="AF5" s="228">
        <v>61</v>
      </c>
      <c r="AG5" s="228">
        <v>63</v>
      </c>
      <c r="AH5" s="229"/>
    </row>
    <row r="6" spans="1:34" s="230" customFormat="1" ht="22.5" customHeight="1" x14ac:dyDescent="0.2">
      <c r="A6" s="230">
        <v>0</v>
      </c>
      <c r="B6" s="231" t="s">
        <v>620</v>
      </c>
      <c r="C6" s="232">
        <v>160</v>
      </c>
      <c r="D6" s="232">
        <v>35</v>
      </c>
      <c r="E6" s="232">
        <v>267</v>
      </c>
      <c r="F6" s="232">
        <v>0</v>
      </c>
      <c r="G6" s="232">
        <v>0</v>
      </c>
      <c r="H6" s="232">
        <v>0</v>
      </c>
      <c r="I6" s="232">
        <v>0</v>
      </c>
      <c r="J6" s="232">
        <v>100</v>
      </c>
      <c r="K6" s="232">
        <v>0</v>
      </c>
      <c r="L6" s="232">
        <v>43</v>
      </c>
      <c r="M6" s="232">
        <v>30</v>
      </c>
      <c r="N6" s="232">
        <v>132</v>
      </c>
      <c r="O6" s="232">
        <v>62</v>
      </c>
      <c r="P6" s="232">
        <v>10</v>
      </c>
      <c r="Q6" s="232">
        <v>0</v>
      </c>
      <c r="R6" s="232">
        <v>0</v>
      </c>
      <c r="S6" s="232">
        <v>0</v>
      </c>
      <c r="T6" s="232">
        <v>0</v>
      </c>
      <c r="U6" s="232">
        <v>0</v>
      </c>
      <c r="V6" s="232">
        <v>12</v>
      </c>
      <c r="W6" s="232">
        <v>0</v>
      </c>
      <c r="X6" s="232">
        <v>0</v>
      </c>
      <c r="Y6" s="232">
        <v>0</v>
      </c>
      <c r="Z6" s="232">
        <v>0</v>
      </c>
      <c r="AA6" s="232">
        <v>0</v>
      </c>
      <c r="AB6" s="232">
        <v>190</v>
      </c>
      <c r="AC6" s="232">
        <v>0</v>
      </c>
      <c r="AD6" s="232">
        <v>0</v>
      </c>
      <c r="AE6" s="232">
        <f t="shared" ref="AE6:AG6" si="0">AE7+AE8+AE9+AE10</f>
        <v>1041</v>
      </c>
      <c r="AF6" s="232">
        <f t="shared" si="0"/>
        <v>0</v>
      </c>
      <c r="AG6" s="232">
        <f t="shared" si="0"/>
        <v>1041</v>
      </c>
      <c r="AH6" s="233"/>
    </row>
    <row r="7" spans="1:34" s="227" customFormat="1" ht="13.5" customHeight="1" x14ac:dyDescent="0.2">
      <c r="A7" s="227">
        <v>1</v>
      </c>
      <c r="B7" s="228">
        <v>1</v>
      </c>
      <c r="C7" s="234">
        <v>50</v>
      </c>
      <c r="D7" s="234">
        <v>5</v>
      </c>
      <c r="E7" s="234">
        <v>119</v>
      </c>
      <c r="F7" s="234"/>
      <c r="G7" s="234"/>
      <c r="H7" s="234"/>
      <c r="I7" s="234"/>
      <c r="J7" s="234"/>
      <c r="K7" s="234"/>
      <c r="L7" s="234">
        <v>20</v>
      </c>
      <c r="M7" s="234">
        <v>15</v>
      </c>
      <c r="N7" s="234">
        <v>70</v>
      </c>
      <c r="O7" s="234">
        <v>25</v>
      </c>
      <c r="P7" s="234">
        <v>10</v>
      </c>
      <c r="Q7" s="234"/>
      <c r="R7" s="234"/>
      <c r="S7" s="234"/>
      <c r="T7" s="234"/>
      <c r="U7" s="234"/>
      <c r="V7" s="235">
        <v>12</v>
      </c>
      <c r="W7" s="235"/>
      <c r="X7" s="235"/>
      <c r="Y7" s="236"/>
      <c r="Z7" s="236"/>
      <c r="AA7" s="236"/>
      <c r="AB7" s="235">
        <v>150</v>
      </c>
      <c r="AC7" s="235"/>
      <c r="AD7" s="234"/>
      <c r="AE7" s="247">
        <f>C7+D7+E7+F7+G7+H7+I7+J7+K7+L7+M7+N7+O7+P7+Q7+R7+S7+T7+U7+V7+W7+X7+Y7+Z7+AA7+AB7+AC7+AD7</f>
        <v>476</v>
      </c>
      <c r="AF7" s="236"/>
      <c r="AG7" s="238">
        <f>AE7+AF7</f>
        <v>476</v>
      </c>
      <c r="AH7" s="229"/>
    </row>
    <row r="8" spans="1:34" s="227" customFormat="1" ht="13.5" customHeight="1" x14ac:dyDescent="0.2">
      <c r="A8" s="227">
        <v>2</v>
      </c>
      <c r="B8" s="228">
        <v>2</v>
      </c>
      <c r="C8" s="235">
        <v>110</v>
      </c>
      <c r="D8" s="235">
        <v>20</v>
      </c>
      <c r="E8" s="235">
        <v>148</v>
      </c>
      <c r="F8" s="234"/>
      <c r="G8" s="235"/>
      <c r="H8" s="239"/>
      <c r="I8" s="235"/>
      <c r="J8" s="235">
        <v>100</v>
      </c>
      <c r="K8" s="235"/>
      <c r="L8" s="234">
        <v>23</v>
      </c>
      <c r="M8" s="235">
        <v>15</v>
      </c>
      <c r="N8" s="234">
        <v>62</v>
      </c>
      <c r="O8" s="235">
        <v>37</v>
      </c>
      <c r="P8" s="234"/>
      <c r="Q8" s="235"/>
      <c r="R8" s="235"/>
      <c r="S8" s="235"/>
      <c r="T8" s="235"/>
      <c r="U8" s="234"/>
      <c r="V8" s="235"/>
      <c r="W8" s="235"/>
      <c r="X8" s="235"/>
      <c r="Y8" s="236"/>
      <c r="Z8" s="236"/>
      <c r="AA8" s="236"/>
      <c r="AB8" s="235">
        <v>40</v>
      </c>
      <c r="AC8" s="235"/>
      <c r="AD8" s="234"/>
      <c r="AE8" s="247">
        <f>C8+D8+E8+F8+G8+H8+I8+J8+K8+L8+M8+N8+O8+P8+Q8+R8+S8+T8+U8+V8+W8+X8+Y8+Z8+AA8+AB8+AC8+AD8</f>
        <v>555</v>
      </c>
      <c r="AF8" s="236"/>
      <c r="AG8" s="238">
        <f>AE8+AF8</f>
        <v>555</v>
      </c>
      <c r="AH8" s="229"/>
    </row>
    <row r="9" spans="1:34" s="227" customFormat="1" ht="13.5" customHeight="1" x14ac:dyDescent="0.2">
      <c r="A9" s="227">
        <v>3</v>
      </c>
      <c r="B9" s="228">
        <v>3</v>
      </c>
      <c r="C9" s="235"/>
      <c r="D9" s="235"/>
      <c r="E9" s="235"/>
      <c r="F9" s="234"/>
      <c r="G9" s="235"/>
      <c r="H9" s="239"/>
      <c r="I9" s="235"/>
      <c r="J9" s="235"/>
      <c r="K9" s="235"/>
      <c r="L9" s="234"/>
      <c r="M9" s="235"/>
      <c r="N9" s="234"/>
      <c r="O9" s="235"/>
      <c r="P9" s="234"/>
      <c r="Q9" s="235"/>
      <c r="R9" s="235"/>
      <c r="S9" s="235"/>
      <c r="T9" s="235"/>
      <c r="U9" s="234"/>
      <c r="V9" s="235"/>
      <c r="W9" s="235"/>
      <c r="X9" s="235"/>
      <c r="Y9" s="236"/>
      <c r="Z9" s="236"/>
      <c r="AA9" s="236"/>
      <c r="AB9" s="235"/>
      <c r="AC9" s="235"/>
      <c r="AD9" s="234"/>
      <c r="AE9" s="247">
        <f>C9+D9+E9+F9+G9+H9+I9+J9+K9+L9+M9+N9+O9+P9+Q9+R9+S9+T9+U9+V9+W9+X9+Y9+Z9+AA9+AB9+AC9+AD9</f>
        <v>0</v>
      </c>
      <c r="AF9" s="236"/>
      <c r="AG9" s="238">
        <f>AE9+AF9</f>
        <v>0</v>
      </c>
      <c r="AH9" s="229"/>
    </row>
    <row r="10" spans="1:34" s="227" customFormat="1" ht="13.5" customHeight="1" x14ac:dyDescent="0.2">
      <c r="A10" s="227">
        <v>4</v>
      </c>
      <c r="B10" s="228">
        <v>4</v>
      </c>
      <c r="C10" s="235"/>
      <c r="D10" s="235">
        <v>10</v>
      </c>
      <c r="E10" s="235"/>
      <c r="F10" s="234"/>
      <c r="G10" s="235"/>
      <c r="H10" s="239"/>
      <c r="I10" s="235"/>
      <c r="J10" s="235"/>
      <c r="K10" s="235"/>
      <c r="L10" s="234"/>
      <c r="M10" s="235"/>
      <c r="N10" s="234"/>
      <c r="O10" s="235"/>
      <c r="P10" s="234"/>
      <c r="Q10" s="235"/>
      <c r="R10" s="235"/>
      <c r="S10" s="235"/>
      <c r="T10" s="235"/>
      <c r="U10" s="234"/>
      <c r="V10" s="235"/>
      <c r="W10" s="235"/>
      <c r="X10" s="235"/>
      <c r="Y10" s="236"/>
      <c r="Z10" s="236"/>
      <c r="AA10" s="236"/>
      <c r="AB10" s="235"/>
      <c r="AC10" s="235"/>
      <c r="AD10" s="234"/>
      <c r="AE10" s="247">
        <f>C10+D10+E10+F10+G10+H10+I10+J10+K10+L10+M10+N10+O10+P10+Q10+R10+S10+T10+U10+V10+W10+X10+Y10+Z10+AA10+AB10+AC10+AD10</f>
        <v>10</v>
      </c>
      <c r="AF10" s="236"/>
      <c r="AG10" s="238">
        <f>AE10+AF10</f>
        <v>10</v>
      </c>
      <c r="AH10" s="229"/>
    </row>
    <row r="11" spans="1:34" s="227" customFormat="1" ht="22.5" customHeight="1" x14ac:dyDescent="0.2">
      <c r="A11" s="227">
        <v>0</v>
      </c>
      <c r="B11" s="231" t="s">
        <v>621</v>
      </c>
      <c r="C11" s="232">
        <v>60</v>
      </c>
      <c r="D11" s="232">
        <v>0</v>
      </c>
      <c r="E11" s="232">
        <v>0</v>
      </c>
      <c r="F11" s="232">
        <v>0</v>
      </c>
      <c r="G11" s="232">
        <v>0</v>
      </c>
      <c r="H11" s="232">
        <v>0</v>
      </c>
      <c r="I11" s="232">
        <v>0</v>
      </c>
      <c r="J11" s="232">
        <v>12</v>
      </c>
      <c r="K11" s="232">
        <v>0</v>
      </c>
      <c r="L11" s="232">
        <v>0</v>
      </c>
      <c r="M11" s="232">
        <v>0</v>
      </c>
      <c r="N11" s="232">
        <v>0</v>
      </c>
      <c r="O11" s="232">
        <v>9</v>
      </c>
      <c r="P11" s="232">
        <v>0</v>
      </c>
      <c r="Q11" s="232">
        <v>0</v>
      </c>
      <c r="R11" s="232">
        <v>0</v>
      </c>
      <c r="S11" s="232">
        <v>0</v>
      </c>
      <c r="T11" s="232">
        <v>0</v>
      </c>
      <c r="U11" s="232">
        <v>0</v>
      </c>
      <c r="V11" s="232">
        <v>0</v>
      </c>
      <c r="W11" s="232">
        <v>0</v>
      </c>
      <c r="X11" s="232">
        <v>0</v>
      </c>
      <c r="Y11" s="232">
        <v>0</v>
      </c>
      <c r="Z11" s="232">
        <v>0</v>
      </c>
      <c r="AA11" s="232">
        <v>0</v>
      </c>
      <c r="AB11" s="232">
        <v>0</v>
      </c>
      <c r="AC11" s="232">
        <v>0</v>
      </c>
      <c r="AD11" s="232">
        <v>0</v>
      </c>
      <c r="AE11" s="232">
        <f t="shared" ref="AE11:AG11" si="1">AE12</f>
        <v>81</v>
      </c>
      <c r="AF11" s="232">
        <f t="shared" si="1"/>
        <v>0</v>
      </c>
      <c r="AG11" s="232">
        <f t="shared" si="1"/>
        <v>81</v>
      </c>
      <c r="AH11" s="229"/>
    </row>
    <row r="12" spans="1:34" s="227" customFormat="1" ht="13.5" customHeight="1" x14ac:dyDescent="0.2">
      <c r="A12" s="227">
        <v>5</v>
      </c>
      <c r="B12" s="228">
        <v>5</v>
      </c>
      <c r="C12" s="235">
        <v>60</v>
      </c>
      <c r="D12" s="235"/>
      <c r="E12" s="235"/>
      <c r="F12" s="235"/>
      <c r="G12" s="235"/>
      <c r="H12" s="235"/>
      <c r="I12" s="235"/>
      <c r="J12" s="235">
        <v>12</v>
      </c>
      <c r="K12" s="235"/>
      <c r="L12" s="235"/>
      <c r="M12" s="235"/>
      <c r="N12" s="234"/>
      <c r="O12" s="235">
        <v>9</v>
      </c>
      <c r="P12" s="235"/>
      <c r="Q12" s="235"/>
      <c r="R12" s="235"/>
      <c r="S12" s="235"/>
      <c r="T12" s="235"/>
      <c r="U12" s="234"/>
      <c r="V12" s="235"/>
      <c r="W12" s="235"/>
      <c r="X12" s="235"/>
      <c r="Y12" s="236"/>
      <c r="Z12" s="236"/>
      <c r="AA12" s="236"/>
      <c r="AB12" s="235"/>
      <c r="AC12" s="235"/>
      <c r="AD12" s="234"/>
      <c r="AE12" s="247">
        <f>C12+D12+E12+F12+G12+H12+I12+J12+K12+L12+M12+N12+O12+P12+Q12+R12+S12+T12+U12+V12+W12+X12+Y12+Z12+AA12+AB12+AC12+AD12</f>
        <v>81</v>
      </c>
      <c r="AF12" s="236"/>
      <c r="AG12" s="237">
        <f>AE12+AF12</f>
        <v>81</v>
      </c>
      <c r="AH12" s="229"/>
    </row>
    <row r="13" spans="1:34" s="227" customFormat="1" ht="22.5" customHeight="1" x14ac:dyDescent="0.2">
      <c r="A13" s="227">
        <v>0</v>
      </c>
      <c r="B13" s="231" t="s">
        <v>622</v>
      </c>
      <c r="C13" s="232">
        <v>50</v>
      </c>
      <c r="D13" s="232">
        <v>0</v>
      </c>
      <c r="E13" s="232">
        <v>0</v>
      </c>
      <c r="F13" s="232">
        <v>0</v>
      </c>
      <c r="G13" s="232">
        <v>0</v>
      </c>
      <c r="H13" s="232">
        <v>0</v>
      </c>
      <c r="I13" s="232">
        <v>0</v>
      </c>
      <c r="J13" s="232">
        <v>17</v>
      </c>
      <c r="K13" s="232">
        <v>0</v>
      </c>
      <c r="L13" s="232">
        <v>0</v>
      </c>
      <c r="M13" s="232">
        <v>25</v>
      </c>
      <c r="N13" s="232">
        <v>0</v>
      </c>
      <c r="O13" s="232">
        <v>0</v>
      </c>
      <c r="P13" s="232">
        <v>0</v>
      </c>
      <c r="Q13" s="232">
        <v>0</v>
      </c>
      <c r="R13" s="232">
        <v>0</v>
      </c>
      <c r="S13" s="232">
        <v>0</v>
      </c>
      <c r="T13" s="232">
        <v>0</v>
      </c>
      <c r="U13" s="232">
        <v>0</v>
      </c>
      <c r="V13" s="232">
        <v>0</v>
      </c>
      <c r="W13" s="232">
        <v>0</v>
      </c>
      <c r="X13" s="232">
        <v>0</v>
      </c>
      <c r="Y13" s="232">
        <v>0</v>
      </c>
      <c r="Z13" s="232">
        <v>0</v>
      </c>
      <c r="AA13" s="232">
        <v>0</v>
      </c>
      <c r="AB13" s="232">
        <v>0</v>
      </c>
      <c r="AC13" s="232">
        <v>0</v>
      </c>
      <c r="AD13" s="232">
        <v>0</v>
      </c>
      <c r="AE13" s="232">
        <f t="shared" ref="AE13:AG13" si="2">AE14+AE15</f>
        <v>92</v>
      </c>
      <c r="AF13" s="232">
        <f t="shared" si="2"/>
        <v>0</v>
      </c>
      <c r="AG13" s="232">
        <f t="shared" si="2"/>
        <v>92</v>
      </c>
      <c r="AH13" s="229"/>
    </row>
    <row r="14" spans="1:34" s="227" customFormat="1" ht="13.5" customHeight="1" x14ac:dyDescent="0.2">
      <c r="A14" s="227">
        <v>6</v>
      </c>
      <c r="B14" s="228">
        <v>6</v>
      </c>
      <c r="C14" s="235">
        <v>50</v>
      </c>
      <c r="D14" s="235"/>
      <c r="E14" s="235"/>
      <c r="F14" s="234"/>
      <c r="G14" s="235"/>
      <c r="H14" s="235"/>
      <c r="I14" s="235"/>
      <c r="J14" s="235">
        <v>17</v>
      </c>
      <c r="K14" s="235"/>
      <c r="L14" s="235"/>
      <c r="M14" s="235">
        <v>25</v>
      </c>
      <c r="N14" s="234"/>
      <c r="O14" s="235"/>
      <c r="P14" s="235"/>
      <c r="Q14" s="235"/>
      <c r="R14" s="235"/>
      <c r="S14" s="235"/>
      <c r="T14" s="235"/>
      <c r="U14" s="234"/>
      <c r="V14" s="235"/>
      <c r="W14" s="235"/>
      <c r="X14" s="235"/>
      <c r="Y14" s="236"/>
      <c r="Z14" s="236"/>
      <c r="AA14" s="236"/>
      <c r="AB14" s="235"/>
      <c r="AC14" s="235"/>
      <c r="AD14" s="234"/>
      <c r="AE14" s="247">
        <f>C14+D14+E14+F14+G14+H14+I14+J14+K14+L14+M14+N14+O14+P14+Q14+R14+S14+T14+U14+V14+W14+X14+Y14+Z14+AA14+AB14+AC14+AD14</f>
        <v>92</v>
      </c>
      <c r="AF14" s="236"/>
      <c r="AG14" s="237">
        <f>AE14+AF14</f>
        <v>92</v>
      </c>
      <c r="AH14" s="229"/>
    </row>
    <row r="15" spans="1:34" s="227" customFormat="1" ht="13.5" customHeight="1" x14ac:dyDescent="0.2">
      <c r="A15" s="227">
        <v>7</v>
      </c>
      <c r="B15" s="228">
        <v>7</v>
      </c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4"/>
      <c r="O15" s="235"/>
      <c r="P15" s="235"/>
      <c r="Q15" s="235"/>
      <c r="R15" s="235"/>
      <c r="S15" s="235"/>
      <c r="T15" s="235"/>
      <c r="U15" s="234"/>
      <c r="V15" s="235"/>
      <c r="W15" s="235"/>
      <c r="X15" s="235"/>
      <c r="Y15" s="236"/>
      <c r="Z15" s="236"/>
      <c r="AA15" s="236"/>
      <c r="AB15" s="235"/>
      <c r="AC15" s="235"/>
      <c r="AD15" s="234"/>
      <c r="AE15" s="247">
        <f>C15+D15+E15+F15+G15+H15+I15+J15+K15+L15+M15+N15+O15+P15+Q15+R15+S15+T15+U15+V15+W15+X15+Y15+Z15+AA15+AB15+AC15+AD15</f>
        <v>0</v>
      </c>
      <c r="AF15" s="236"/>
      <c r="AG15" s="237">
        <f>AE15+AF15</f>
        <v>0</v>
      </c>
      <c r="AH15" s="229"/>
    </row>
    <row r="16" spans="1:34" s="227" customFormat="1" ht="22.5" customHeight="1" x14ac:dyDescent="0.2">
      <c r="A16" s="227">
        <v>0</v>
      </c>
      <c r="B16" s="231" t="s">
        <v>623</v>
      </c>
      <c r="C16" s="232">
        <v>0</v>
      </c>
      <c r="D16" s="232">
        <v>0</v>
      </c>
      <c r="E16" s="232">
        <v>0</v>
      </c>
      <c r="F16" s="232">
        <v>0</v>
      </c>
      <c r="G16" s="232">
        <v>0</v>
      </c>
      <c r="H16" s="232">
        <v>0</v>
      </c>
      <c r="I16" s="232">
        <v>0</v>
      </c>
      <c r="J16" s="232">
        <v>6</v>
      </c>
      <c r="K16" s="232">
        <v>0</v>
      </c>
      <c r="L16" s="232">
        <v>0</v>
      </c>
      <c r="M16" s="232">
        <v>0</v>
      </c>
      <c r="N16" s="232">
        <v>0</v>
      </c>
      <c r="O16" s="232">
        <v>0</v>
      </c>
      <c r="P16" s="232">
        <v>0</v>
      </c>
      <c r="Q16" s="232">
        <v>0</v>
      </c>
      <c r="R16" s="232">
        <v>0</v>
      </c>
      <c r="S16" s="232">
        <v>0</v>
      </c>
      <c r="T16" s="232">
        <v>0</v>
      </c>
      <c r="U16" s="232">
        <v>0</v>
      </c>
      <c r="V16" s="232">
        <v>0</v>
      </c>
      <c r="W16" s="232">
        <v>0</v>
      </c>
      <c r="X16" s="232">
        <v>0</v>
      </c>
      <c r="Y16" s="232">
        <v>0</v>
      </c>
      <c r="Z16" s="232">
        <v>0</v>
      </c>
      <c r="AA16" s="232">
        <v>0</v>
      </c>
      <c r="AB16" s="232">
        <v>0</v>
      </c>
      <c r="AC16" s="232">
        <v>0</v>
      </c>
      <c r="AD16" s="232">
        <v>0</v>
      </c>
      <c r="AE16" s="232">
        <f t="shared" ref="AE16:AG16" si="3">AE17</f>
        <v>6</v>
      </c>
      <c r="AF16" s="232">
        <f t="shared" si="3"/>
        <v>0</v>
      </c>
      <c r="AG16" s="232">
        <f t="shared" si="3"/>
        <v>6</v>
      </c>
      <c r="AH16" s="229"/>
    </row>
    <row r="17" spans="1:34" s="240" customFormat="1" ht="13.5" customHeight="1" x14ac:dyDescent="0.2">
      <c r="A17" s="240">
        <v>8</v>
      </c>
      <c r="B17" s="228">
        <v>8</v>
      </c>
      <c r="C17" s="235"/>
      <c r="D17" s="235"/>
      <c r="E17" s="235"/>
      <c r="F17" s="235"/>
      <c r="G17" s="235"/>
      <c r="H17" s="235"/>
      <c r="I17" s="235"/>
      <c r="J17" s="235">
        <v>6</v>
      </c>
      <c r="K17" s="235"/>
      <c r="L17" s="235"/>
      <c r="M17" s="235"/>
      <c r="N17" s="234"/>
      <c r="O17" s="235"/>
      <c r="P17" s="235"/>
      <c r="Q17" s="235"/>
      <c r="R17" s="235"/>
      <c r="S17" s="235"/>
      <c r="T17" s="235"/>
      <c r="U17" s="234"/>
      <c r="V17" s="235"/>
      <c r="W17" s="235"/>
      <c r="X17" s="234"/>
      <c r="Y17" s="241"/>
      <c r="Z17" s="241"/>
      <c r="AA17" s="241"/>
      <c r="AB17" s="235"/>
      <c r="AC17" s="235"/>
      <c r="AD17" s="234"/>
      <c r="AE17" s="247">
        <f>C17+D17+E17+F17+G17+H17+I17+J17+K17+L17+M17+N17+O17+P17+Q17+R17+S17+T17+U17+V17+W17+X17+Y17+Z17+AA17+AB17+AC17+AD17</f>
        <v>6</v>
      </c>
      <c r="AF17" s="241"/>
      <c r="AG17" s="234">
        <f>AE17+AF17</f>
        <v>6</v>
      </c>
      <c r="AH17" s="242"/>
    </row>
    <row r="18" spans="1:34" s="227" customFormat="1" ht="22.5" customHeight="1" x14ac:dyDescent="0.2">
      <c r="A18" s="227">
        <v>0</v>
      </c>
      <c r="B18" s="231" t="s">
        <v>624</v>
      </c>
      <c r="C18" s="232">
        <v>0</v>
      </c>
      <c r="D18" s="232">
        <v>0</v>
      </c>
      <c r="E18" s="232">
        <v>0</v>
      </c>
      <c r="F18" s="232">
        <v>0</v>
      </c>
      <c r="G18" s="232">
        <v>0</v>
      </c>
      <c r="H18" s="232">
        <v>52</v>
      </c>
      <c r="I18" s="232">
        <v>0</v>
      </c>
      <c r="J18" s="232">
        <v>0</v>
      </c>
      <c r="K18" s="232">
        <v>0</v>
      </c>
      <c r="L18" s="232">
        <v>0</v>
      </c>
      <c r="M18" s="232">
        <v>0</v>
      </c>
      <c r="N18" s="232">
        <v>0</v>
      </c>
      <c r="O18" s="232">
        <v>0</v>
      </c>
      <c r="P18" s="232">
        <v>0</v>
      </c>
      <c r="Q18" s="232">
        <v>0</v>
      </c>
      <c r="R18" s="232">
        <v>0</v>
      </c>
      <c r="S18" s="232">
        <v>0</v>
      </c>
      <c r="T18" s="232">
        <v>0</v>
      </c>
      <c r="U18" s="232">
        <v>0</v>
      </c>
      <c r="V18" s="232">
        <v>0</v>
      </c>
      <c r="W18" s="232">
        <v>0</v>
      </c>
      <c r="X18" s="232">
        <v>0</v>
      </c>
      <c r="Y18" s="232">
        <v>0</v>
      </c>
      <c r="Z18" s="232">
        <v>0</v>
      </c>
      <c r="AA18" s="232">
        <v>0</v>
      </c>
      <c r="AB18" s="232">
        <v>0</v>
      </c>
      <c r="AC18" s="232">
        <v>0</v>
      </c>
      <c r="AD18" s="232">
        <v>0</v>
      </c>
      <c r="AE18" s="232">
        <f t="shared" ref="AE18:AG18" si="4">AE19</f>
        <v>52</v>
      </c>
      <c r="AF18" s="232">
        <f t="shared" si="4"/>
        <v>0</v>
      </c>
      <c r="AG18" s="232">
        <f t="shared" si="4"/>
        <v>52</v>
      </c>
      <c r="AH18" s="229"/>
    </row>
    <row r="19" spans="1:34" s="227" customFormat="1" ht="13.5" customHeight="1" x14ac:dyDescent="0.2">
      <c r="A19" s="227">
        <v>9</v>
      </c>
      <c r="B19" s="228">
        <v>9</v>
      </c>
      <c r="C19" s="235"/>
      <c r="D19" s="235"/>
      <c r="E19" s="235"/>
      <c r="F19" s="235"/>
      <c r="G19" s="235"/>
      <c r="H19" s="235">
        <v>52</v>
      </c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4"/>
      <c r="V19" s="235"/>
      <c r="W19" s="235"/>
      <c r="X19" s="235"/>
      <c r="Y19" s="236"/>
      <c r="Z19" s="236"/>
      <c r="AA19" s="236"/>
      <c r="AB19" s="235"/>
      <c r="AC19" s="235"/>
      <c r="AD19" s="234"/>
      <c r="AE19" s="247">
        <f>C19+D19+E19+F19+G19+H19+I19+J19+K19+L19+M19+N19+O19+P19+Q19+R19+S19+T19+U19+V19+W19+X19+Y19+Z19+AA19+AB19+AC19+AD19</f>
        <v>52</v>
      </c>
      <c r="AF19" s="236"/>
      <c r="AG19" s="237">
        <f>AE19+AF19</f>
        <v>52</v>
      </c>
      <c r="AH19" s="229"/>
    </row>
    <row r="20" spans="1:34" s="227" customFormat="1" ht="22.5" customHeight="1" x14ac:dyDescent="0.2">
      <c r="A20" s="227">
        <v>0</v>
      </c>
      <c r="B20" s="231" t="s">
        <v>625</v>
      </c>
      <c r="C20" s="232">
        <v>0</v>
      </c>
      <c r="D20" s="232">
        <v>0</v>
      </c>
      <c r="E20" s="232">
        <v>0</v>
      </c>
      <c r="F20" s="232">
        <v>0</v>
      </c>
      <c r="G20" s="232">
        <v>0</v>
      </c>
      <c r="H20" s="232">
        <v>0</v>
      </c>
      <c r="I20" s="232">
        <v>0</v>
      </c>
      <c r="J20" s="232">
        <v>0</v>
      </c>
      <c r="K20" s="232">
        <v>0</v>
      </c>
      <c r="L20" s="232">
        <v>0</v>
      </c>
      <c r="M20" s="232">
        <v>0</v>
      </c>
      <c r="N20" s="232">
        <v>135</v>
      </c>
      <c r="O20" s="232">
        <v>0</v>
      </c>
      <c r="P20" s="232">
        <v>0</v>
      </c>
      <c r="Q20" s="232">
        <v>0</v>
      </c>
      <c r="R20" s="232">
        <v>0</v>
      </c>
      <c r="S20" s="232">
        <v>30</v>
      </c>
      <c r="T20" s="232">
        <v>0</v>
      </c>
      <c r="U20" s="232">
        <v>0</v>
      </c>
      <c r="V20" s="232">
        <v>0</v>
      </c>
      <c r="W20" s="232">
        <v>0</v>
      </c>
      <c r="X20" s="232">
        <v>0</v>
      </c>
      <c r="Y20" s="232">
        <v>0</v>
      </c>
      <c r="Z20" s="232">
        <v>0</v>
      </c>
      <c r="AA20" s="232">
        <v>0</v>
      </c>
      <c r="AB20" s="232">
        <v>0</v>
      </c>
      <c r="AC20" s="232">
        <v>0</v>
      </c>
      <c r="AD20" s="232">
        <v>0</v>
      </c>
      <c r="AE20" s="232">
        <f t="shared" ref="AE20:AG20" si="5">AE21+AE22</f>
        <v>165</v>
      </c>
      <c r="AF20" s="232">
        <f t="shared" si="5"/>
        <v>0</v>
      </c>
      <c r="AG20" s="232">
        <f t="shared" si="5"/>
        <v>165</v>
      </c>
      <c r="AH20" s="229"/>
    </row>
    <row r="21" spans="1:34" s="227" customFormat="1" ht="13.5" customHeight="1" x14ac:dyDescent="0.2">
      <c r="A21" s="227">
        <v>10</v>
      </c>
      <c r="B21" s="228">
        <v>10</v>
      </c>
      <c r="C21" s="235"/>
      <c r="D21" s="235"/>
      <c r="E21" s="235"/>
      <c r="F21" s="235"/>
      <c r="G21" s="235"/>
      <c r="H21" s="239"/>
      <c r="I21" s="235"/>
      <c r="J21" s="235"/>
      <c r="K21" s="235"/>
      <c r="L21" s="239"/>
      <c r="M21" s="235"/>
      <c r="N21" s="235">
        <v>100</v>
      </c>
      <c r="O21" s="239"/>
      <c r="P21" s="239"/>
      <c r="Q21" s="235"/>
      <c r="R21" s="234"/>
      <c r="S21" s="235">
        <v>30</v>
      </c>
      <c r="T21" s="235"/>
      <c r="U21" s="234"/>
      <c r="V21" s="235"/>
      <c r="W21" s="235"/>
      <c r="X21" s="235"/>
      <c r="Y21" s="236"/>
      <c r="Z21" s="236"/>
      <c r="AA21" s="236"/>
      <c r="AB21" s="235"/>
      <c r="AC21" s="235"/>
      <c r="AD21" s="234"/>
      <c r="AE21" s="247">
        <f>C21+D21+E21+F21+G21+H21+I21+J21+K21+L21+M21+N21+O21+P21+Q21+R21+S21+T21+U21+V21+W21+X21+Y21+Z21+AA21+AB21+AC21+AD21</f>
        <v>130</v>
      </c>
      <c r="AF21" s="236"/>
      <c r="AG21" s="237">
        <f>AE21+AF21</f>
        <v>130</v>
      </c>
      <c r="AH21" s="229"/>
    </row>
    <row r="22" spans="1:34" s="227" customFormat="1" ht="13.5" customHeight="1" x14ac:dyDescent="0.2">
      <c r="A22" s="227">
        <v>11</v>
      </c>
      <c r="B22" s="228">
        <v>11</v>
      </c>
      <c r="C22" s="243"/>
      <c r="D22" s="243"/>
      <c r="E22" s="243"/>
      <c r="F22" s="243"/>
      <c r="G22" s="243"/>
      <c r="H22" s="244"/>
      <c r="I22" s="243"/>
      <c r="J22" s="243"/>
      <c r="K22" s="243"/>
      <c r="L22" s="244"/>
      <c r="M22" s="243"/>
      <c r="N22" s="235">
        <v>35</v>
      </c>
      <c r="O22" s="244"/>
      <c r="P22" s="244"/>
      <c r="Q22" s="243"/>
      <c r="R22" s="234"/>
      <c r="S22" s="243"/>
      <c r="T22" s="243"/>
      <c r="U22" s="234"/>
      <c r="V22" s="235"/>
      <c r="W22" s="235"/>
      <c r="X22" s="235"/>
      <c r="Y22" s="236"/>
      <c r="Z22" s="236"/>
      <c r="AA22" s="236"/>
      <c r="AB22" s="235"/>
      <c r="AC22" s="235"/>
      <c r="AD22" s="234"/>
      <c r="AE22" s="247">
        <f>C22+D22+E22+F22+G22+H22+I22+J22+K22+L22+M22+N22+O22+P22+Q22+R22+S22+T22+U22+V22+W22+X22+Y22+Z22+AA22+AB22+AC22+AD22</f>
        <v>35</v>
      </c>
      <c r="AF22" s="236"/>
      <c r="AG22" s="237">
        <f>AE22+AF22</f>
        <v>35</v>
      </c>
      <c r="AH22" s="229"/>
    </row>
    <row r="23" spans="1:34" s="240" customFormat="1" ht="22.5" customHeight="1" x14ac:dyDescent="0.2">
      <c r="A23" s="240">
        <v>0</v>
      </c>
      <c r="B23" s="231" t="s">
        <v>626</v>
      </c>
      <c r="C23" s="232">
        <v>676</v>
      </c>
      <c r="D23" s="232">
        <v>504</v>
      </c>
      <c r="E23" s="232">
        <v>0</v>
      </c>
      <c r="F23" s="232">
        <v>0</v>
      </c>
      <c r="G23" s="232">
        <v>100</v>
      </c>
      <c r="H23" s="232">
        <v>0</v>
      </c>
      <c r="I23" s="232">
        <v>0</v>
      </c>
      <c r="J23" s="232">
        <v>151</v>
      </c>
      <c r="K23" s="232">
        <v>33</v>
      </c>
      <c r="L23" s="232">
        <v>0</v>
      </c>
      <c r="M23" s="232">
        <v>0</v>
      </c>
      <c r="N23" s="232">
        <v>0</v>
      </c>
      <c r="O23" s="232">
        <v>252</v>
      </c>
      <c r="P23" s="232">
        <v>0</v>
      </c>
      <c r="Q23" s="232">
        <v>12</v>
      </c>
      <c r="R23" s="232">
        <v>14</v>
      </c>
      <c r="S23" s="232">
        <v>218</v>
      </c>
      <c r="T23" s="232">
        <v>25</v>
      </c>
      <c r="U23" s="232">
        <v>0</v>
      </c>
      <c r="V23" s="232">
        <v>0</v>
      </c>
      <c r="W23" s="232">
        <v>0</v>
      </c>
      <c r="X23" s="232">
        <v>0</v>
      </c>
      <c r="Y23" s="232">
        <v>0</v>
      </c>
      <c r="Z23" s="232">
        <v>0</v>
      </c>
      <c r="AA23" s="232">
        <v>0</v>
      </c>
      <c r="AB23" s="232">
        <v>0</v>
      </c>
      <c r="AC23" s="232">
        <v>0</v>
      </c>
      <c r="AD23" s="232">
        <v>0</v>
      </c>
      <c r="AE23" s="232">
        <f t="shared" ref="AE23:AG23" si="6">SUM(AE24:AE30)</f>
        <v>1985</v>
      </c>
      <c r="AF23" s="232">
        <f t="shared" si="6"/>
        <v>0</v>
      </c>
      <c r="AG23" s="232">
        <f t="shared" si="6"/>
        <v>1985</v>
      </c>
      <c r="AH23" s="242"/>
    </row>
    <row r="24" spans="1:34" s="227" customFormat="1" ht="13.5" customHeight="1" x14ac:dyDescent="0.2">
      <c r="A24" s="227">
        <v>12</v>
      </c>
      <c r="B24" s="228">
        <v>12</v>
      </c>
      <c r="C24" s="234">
        <v>641</v>
      </c>
      <c r="D24" s="234">
        <v>488</v>
      </c>
      <c r="E24" s="234"/>
      <c r="F24" s="234"/>
      <c r="G24" s="234">
        <v>100</v>
      </c>
      <c r="H24" s="234"/>
      <c r="I24" s="234"/>
      <c r="J24" s="234">
        <v>89</v>
      </c>
      <c r="K24" s="245">
        <v>15</v>
      </c>
      <c r="L24" s="234"/>
      <c r="M24" s="234"/>
      <c r="N24" s="235"/>
      <c r="O24" s="234">
        <v>228</v>
      </c>
      <c r="P24" s="234"/>
      <c r="Q24" s="234">
        <v>5</v>
      </c>
      <c r="R24" s="234"/>
      <c r="S24" s="234">
        <v>188</v>
      </c>
      <c r="T24" s="235">
        <v>2</v>
      </c>
      <c r="U24" s="235"/>
      <c r="V24" s="235"/>
      <c r="W24" s="235"/>
      <c r="X24" s="235"/>
      <c r="Y24" s="236"/>
      <c r="Z24" s="236"/>
      <c r="AA24" s="236"/>
      <c r="AB24" s="235"/>
      <c r="AC24" s="235"/>
      <c r="AD24" s="234"/>
      <c r="AE24" s="247">
        <f t="shared" ref="AE24:AE30" si="7">C24+D24+E24+F24+G24+H24+I24+J24+K24+L24+M24+N24+O24+P24+Q24+R24+S24+T24+U24+V24+W24+X24+Y24+Z24+AA24+AB24+AC24+AD24</f>
        <v>1756</v>
      </c>
      <c r="AF24" s="236"/>
      <c r="AG24" s="237">
        <f t="shared" ref="AG24:AG30" si="8">AE24+AF24</f>
        <v>1756</v>
      </c>
      <c r="AH24" s="229"/>
    </row>
    <row r="25" spans="1:34" s="227" customFormat="1" ht="13.5" customHeight="1" x14ac:dyDescent="0.2">
      <c r="A25" s="227">
        <v>13</v>
      </c>
      <c r="B25" s="228">
        <v>13</v>
      </c>
      <c r="C25" s="234"/>
      <c r="D25" s="234"/>
      <c r="E25" s="234"/>
      <c r="F25" s="234"/>
      <c r="G25" s="234"/>
      <c r="H25" s="246"/>
      <c r="I25" s="234"/>
      <c r="J25" s="234"/>
      <c r="K25" s="245"/>
      <c r="L25" s="246"/>
      <c r="M25" s="234"/>
      <c r="N25" s="235"/>
      <c r="O25" s="246"/>
      <c r="P25" s="246"/>
      <c r="Q25" s="234"/>
      <c r="R25" s="234"/>
      <c r="S25" s="234"/>
      <c r="T25" s="235"/>
      <c r="U25" s="235"/>
      <c r="V25" s="235"/>
      <c r="W25" s="235"/>
      <c r="X25" s="235"/>
      <c r="Y25" s="236"/>
      <c r="Z25" s="236"/>
      <c r="AA25" s="236"/>
      <c r="AB25" s="235"/>
      <c r="AC25" s="235"/>
      <c r="AD25" s="234"/>
      <c r="AE25" s="247">
        <f t="shared" si="7"/>
        <v>0</v>
      </c>
      <c r="AF25" s="236"/>
      <c r="AG25" s="237">
        <f t="shared" si="8"/>
        <v>0</v>
      </c>
      <c r="AH25" s="229"/>
    </row>
    <row r="26" spans="1:34" s="227" customFormat="1" ht="13.5" customHeight="1" x14ac:dyDescent="0.2">
      <c r="A26" s="227">
        <v>14</v>
      </c>
      <c r="B26" s="228">
        <v>14</v>
      </c>
      <c r="C26" s="235">
        <v>7</v>
      </c>
      <c r="D26" s="235">
        <v>1</v>
      </c>
      <c r="E26" s="235"/>
      <c r="F26" s="235"/>
      <c r="G26" s="235"/>
      <c r="H26" s="239"/>
      <c r="I26" s="235"/>
      <c r="J26" s="235"/>
      <c r="K26" s="245"/>
      <c r="L26" s="239"/>
      <c r="M26" s="235"/>
      <c r="N26" s="235"/>
      <c r="O26" s="235">
        <v>8</v>
      </c>
      <c r="P26" s="239"/>
      <c r="Q26" s="235"/>
      <c r="R26" s="235"/>
      <c r="S26" s="235">
        <v>10</v>
      </c>
      <c r="T26" s="235"/>
      <c r="U26" s="235"/>
      <c r="V26" s="235"/>
      <c r="W26" s="235"/>
      <c r="X26" s="235"/>
      <c r="Y26" s="236"/>
      <c r="Z26" s="236"/>
      <c r="AA26" s="236"/>
      <c r="AB26" s="235"/>
      <c r="AC26" s="235"/>
      <c r="AD26" s="234"/>
      <c r="AE26" s="247">
        <f t="shared" si="7"/>
        <v>26</v>
      </c>
      <c r="AF26" s="236"/>
      <c r="AG26" s="237">
        <f t="shared" si="8"/>
        <v>26</v>
      </c>
      <c r="AH26" s="229"/>
    </row>
    <row r="27" spans="1:34" s="227" customFormat="1" ht="13.5" customHeight="1" x14ac:dyDescent="0.2">
      <c r="A27" s="227">
        <v>15</v>
      </c>
      <c r="B27" s="228">
        <v>15</v>
      </c>
      <c r="C27" s="243"/>
      <c r="D27" s="243"/>
      <c r="E27" s="243"/>
      <c r="F27" s="243"/>
      <c r="G27" s="243"/>
      <c r="H27" s="244"/>
      <c r="I27" s="243"/>
      <c r="J27" s="243">
        <v>59</v>
      </c>
      <c r="K27" s="245">
        <v>18</v>
      </c>
      <c r="L27" s="244"/>
      <c r="M27" s="243"/>
      <c r="N27" s="235"/>
      <c r="O27" s="244"/>
      <c r="P27" s="244"/>
      <c r="Q27" s="235"/>
      <c r="R27" s="243"/>
      <c r="S27" s="243"/>
      <c r="T27" s="235"/>
      <c r="U27" s="235"/>
      <c r="V27" s="235"/>
      <c r="W27" s="235"/>
      <c r="X27" s="235"/>
      <c r="Y27" s="236"/>
      <c r="Z27" s="236"/>
      <c r="AA27" s="236"/>
      <c r="AB27" s="235"/>
      <c r="AC27" s="235"/>
      <c r="AD27" s="234"/>
      <c r="AE27" s="247">
        <f t="shared" si="7"/>
        <v>77</v>
      </c>
      <c r="AF27" s="236"/>
      <c r="AG27" s="237">
        <f t="shared" si="8"/>
        <v>77</v>
      </c>
      <c r="AH27" s="229"/>
    </row>
    <row r="28" spans="1:34" s="227" customFormat="1" ht="13.5" customHeight="1" x14ac:dyDescent="0.2">
      <c r="A28" s="227">
        <v>16</v>
      </c>
      <c r="B28" s="228">
        <v>16</v>
      </c>
      <c r="C28" s="235">
        <v>18</v>
      </c>
      <c r="D28" s="235"/>
      <c r="E28" s="235"/>
      <c r="F28" s="235"/>
      <c r="G28" s="235"/>
      <c r="H28" s="239"/>
      <c r="I28" s="235"/>
      <c r="J28" s="235"/>
      <c r="K28" s="245"/>
      <c r="L28" s="239"/>
      <c r="M28" s="235"/>
      <c r="N28" s="235"/>
      <c r="O28" s="239">
        <v>2</v>
      </c>
      <c r="P28" s="239"/>
      <c r="Q28" s="235">
        <v>7</v>
      </c>
      <c r="R28" s="235">
        <v>14</v>
      </c>
      <c r="S28" s="235">
        <v>5</v>
      </c>
      <c r="T28" s="235">
        <v>23</v>
      </c>
      <c r="U28" s="235"/>
      <c r="V28" s="235"/>
      <c r="W28" s="235"/>
      <c r="X28" s="235"/>
      <c r="Y28" s="236"/>
      <c r="Z28" s="236"/>
      <c r="AA28" s="236"/>
      <c r="AB28" s="235"/>
      <c r="AC28" s="235"/>
      <c r="AD28" s="234"/>
      <c r="AE28" s="247">
        <f t="shared" si="7"/>
        <v>69</v>
      </c>
      <c r="AF28" s="236"/>
      <c r="AG28" s="237">
        <f t="shared" si="8"/>
        <v>69</v>
      </c>
      <c r="AH28" s="229"/>
    </row>
    <row r="29" spans="1:34" s="227" customFormat="1" ht="13.5" customHeight="1" x14ac:dyDescent="0.2">
      <c r="A29" s="227">
        <v>17</v>
      </c>
      <c r="B29" s="228">
        <v>17</v>
      </c>
      <c r="C29" s="235">
        <v>5</v>
      </c>
      <c r="D29" s="235">
        <v>15</v>
      </c>
      <c r="E29" s="235"/>
      <c r="F29" s="235"/>
      <c r="G29" s="235"/>
      <c r="H29" s="239"/>
      <c r="I29" s="235"/>
      <c r="J29" s="245"/>
      <c r="K29" s="245"/>
      <c r="L29" s="239"/>
      <c r="M29" s="235"/>
      <c r="N29" s="235"/>
      <c r="O29" s="235">
        <v>14</v>
      </c>
      <c r="P29" s="239"/>
      <c r="Q29" s="235"/>
      <c r="R29" s="235"/>
      <c r="S29" s="235">
        <v>15</v>
      </c>
      <c r="T29" s="235"/>
      <c r="U29" s="235"/>
      <c r="V29" s="235"/>
      <c r="W29" s="235"/>
      <c r="X29" s="235"/>
      <c r="Y29" s="236"/>
      <c r="Z29" s="236"/>
      <c r="AA29" s="236"/>
      <c r="AB29" s="235"/>
      <c r="AC29" s="235"/>
      <c r="AD29" s="235"/>
      <c r="AE29" s="247">
        <f t="shared" si="7"/>
        <v>49</v>
      </c>
      <c r="AF29" s="236"/>
      <c r="AG29" s="247">
        <f t="shared" si="8"/>
        <v>49</v>
      </c>
      <c r="AH29" s="229"/>
    </row>
    <row r="30" spans="1:34" s="227" customFormat="1" ht="13.5" customHeight="1" x14ac:dyDescent="0.2">
      <c r="B30" s="228">
        <v>18</v>
      </c>
      <c r="C30" s="235">
        <v>5</v>
      </c>
      <c r="D30" s="235"/>
      <c r="E30" s="235"/>
      <c r="F30" s="235"/>
      <c r="G30" s="235"/>
      <c r="H30" s="239"/>
      <c r="I30" s="235"/>
      <c r="J30" s="245">
        <v>3</v>
      </c>
      <c r="K30" s="245"/>
      <c r="L30" s="239"/>
      <c r="M30" s="235"/>
      <c r="N30" s="235"/>
      <c r="O30" s="235"/>
      <c r="P30" s="239"/>
      <c r="Q30" s="235"/>
      <c r="R30" s="235"/>
      <c r="S30" s="235"/>
      <c r="T30" s="235"/>
      <c r="U30" s="235"/>
      <c r="V30" s="235"/>
      <c r="W30" s="235"/>
      <c r="X30" s="235"/>
      <c r="Y30" s="236"/>
      <c r="Z30" s="236"/>
      <c r="AA30" s="236"/>
      <c r="AB30" s="235"/>
      <c r="AC30" s="235"/>
      <c r="AD30" s="235"/>
      <c r="AE30" s="247">
        <f t="shared" si="7"/>
        <v>8</v>
      </c>
      <c r="AF30" s="236"/>
      <c r="AG30" s="247">
        <f t="shared" si="8"/>
        <v>8</v>
      </c>
      <c r="AH30" s="229"/>
    </row>
    <row r="31" spans="1:34" s="240" customFormat="1" ht="22.5" customHeight="1" x14ac:dyDescent="0.2">
      <c r="A31" s="240">
        <v>0</v>
      </c>
      <c r="B31" s="231" t="s">
        <v>627</v>
      </c>
      <c r="C31" s="232">
        <v>112</v>
      </c>
      <c r="D31" s="232">
        <v>0</v>
      </c>
      <c r="E31" s="232">
        <v>638</v>
      </c>
      <c r="F31" s="232">
        <v>0</v>
      </c>
      <c r="G31" s="232">
        <v>0</v>
      </c>
      <c r="H31" s="232">
        <v>0</v>
      </c>
      <c r="I31" s="232">
        <v>0</v>
      </c>
      <c r="J31" s="232">
        <v>100</v>
      </c>
      <c r="K31" s="232">
        <v>93</v>
      </c>
      <c r="L31" s="232">
        <v>0</v>
      </c>
      <c r="M31" s="232">
        <v>0</v>
      </c>
      <c r="N31" s="232">
        <v>0</v>
      </c>
      <c r="O31" s="232">
        <v>0</v>
      </c>
      <c r="P31" s="232">
        <v>90</v>
      </c>
      <c r="Q31" s="232">
        <v>0</v>
      </c>
      <c r="R31" s="232">
        <v>0</v>
      </c>
      <c r="S31" s="232">
        <v>0</v>
      </c>
      <c r="T31" s="232">
        <v>0</v>
      </c>
      <c r="U31" s="232">
        <v>0</v>
      </c>
      <c r="V31" s="232">
        <v>0</v>
      </c>
      <c r="W31" s="232">
        <v>0</v>
      </c>
      <c r="X31" s="232">
        <v>0</v>
      </c>
      <c r="Y31" s="232">
        <v>0</v>
      </c>
      <c r="Z31" s="232">
        <v>0</v>
      </c>
      <c r="AA31" s="232">
        <v>0</v>
      </c>
      <c r="AB31" s="232">
        <v>0</v>
      </c>
      <c r="AC31" s="232">
        <v>0</v>
      </c>
      <c r="AD31" s="232">
        <v>0</v>
      </c>
      <c r="AE31" s="232">
        <f t="shared" ref="AE31:AF31" si="9">SUM(AE32:AE33)</f>
        <v>1033</v>
      </c>
      <c r="AF31" s="232">
        <f t="shared" si="9"/>
        <v>0</v>
      </c>
      <c r="AG31" s="232">
        <f>SUM(AG32:AG33)</f>
        <v>1033</v>
      </c>
      <c r="AH31" s="242"/>
    </row>
    <row r="32" spans="1:34" s="227" customFormat="1" ht="13.5" customHeight="1" x14ac:dyDescent="0.2">
      <c r="A32" s="227">
        <v>18</v>
      </c>
      <c r="B32" s="228">
        <v>19</v>
      </c>
      <c r="C32" s="234">
        <v>92</v>
      </c>
      <c r="D32" s="234"/>
      <c r="E32" s="234">
        <v>583</v>
      </c>
      <c r="F32" s="248"/>
      <c r="G32" s="234"/>
      <c r="H32" s="234"/>
      <c r="I32" s="234"/>
      <c r="J32" s="234">
        <v>80</v>
      </c>
      <c r="K32" s="234"/>
      <c r="L32" s="234"/>
      <c r="M32" s="234"/>
      <c r="N32" s="234"/>
      <c r="O32" s="234"/>
      <c r="P32" s="234">
        <v>85</v>
      </c>
      <c r="Q32" s="234"/>
      <c r="R32" s="234"/>
      <c r="S32" s="234"/>
      <c r="T32" s="234"/>
      <c r="U32" s="234"/>
      <c r="V32" s="234"/>
      <c r="W32" s="234"/>
      <c r="X32" s="234"/>
      <c r="Y32" s="236"/>
      <c r="Z32" s="236"/>
      <c r="AA32" s="236"/>
      <c r="AB32" s="234"/>
      <c r="AC32" s="234"/>
      <c r="AD32" s="234"/>
      <c r="AE32" s="247">
        <f>C32+D32+E32+F32+G32+H32+I32+J32+K32+L32+M32+N32+O32+P32+Q32+R32+S32+T32+U32+V32+W32+X32+Y32+Z32+AA32+AB32+AC32+AD32</f>
        <v>840</v>
      </c>
      <c r="AF32" s="236"/>
      <c r="AG32" s="237">
        <f>AE32+AF32</f>
        <v>840</v>
      </c>
      <c r="AH32" s="229"/>
    </row>
    <row r="33" spans="1:34" s="227" customFormat="1" ht="13.5" customHeight="1" x14ac:dyDescent="0.2">
      <c r="A33" s="227">
        <v>19</v>
      </c>
      <c r="B33" s="228">
        <v>20</v>
      </c>
      <c r="C33" s="234">
        <v>20</v>
      </c>
      <c r="D33" s="234"/>
      <c r="E33" s="234">
        <v>55</v>
      </c>
      <c r="F33" s="234"/>
      <c r="G33" s="234"/>
      <c r="H33" s="234"/>
      <c r="I33" s="234"/>
      <c r="J33" s="234">
        <v>20</v>
      </c>
      <c r="K33" s="234">
        <v>93</v>
      </c>
      <c r="L33" s="234"/>
      <c r="M33" s="234"/>
      <c r="N33" s="234"/>
      <c r="O33" s="234"/>
      <c r="P33" s="234">
        <v>5</v>
      </c>
      <c r="Q33" s="234"/>
      <c r="R33" s="234"/>
      <c r="S33" s="234"/>
      <c r="T33" s="234"/>
      <c r="U33" s="234"/>
      <c r="V33" s="234"/>
      <c r="W33" s="234"/>
      <c r="X33" s="234"/>
      <c r="Y33" s="236"/>
      <c r="Z33" s="236"/>
      <c r="AA33" s="236"/>
      <c r="AB33" s="234"/>
      <c r="AC33" s="234"/>
      <c r="AD33" s="234"/>
      <c r="AE33" s="247">
        <f>C33+D33+E33+F33+G33+H33+I33+J33+K33+L33+M33+N33+O33+P33+Q33+R33+S33+T33+U33+V33+W33+X33+Y33+Z33+AA33+AB33+AC33+AD33</f>
        <v>193</v>
      </c>
      <c r="AF33" s="236"/>
      <c r="AG33" s="237">
        <f>AE33+AF33</f>
        <v>193</v>
      </c>
      <c r="AH33" s="229"/>
    </row>
    <row r="34" spans="1:34" s="240" customFormat="1" ht="22.5" customHeight="1" x14ac:dyDescent="0.2">
      <c r="A34" s="240">
        <v>0</v>
      </c>
      <c r="B34" s="231" t="s">
        <v>628</v>
      </c>
      <c r="C34" s="232">
        <v>320</v>
      </c>
      <c r="D34" s="232">
        <v>0</v>
      </c>
      <c r="E34" s="232">
        <v>0</v>
      </c>
      <c r="F34" s="232">
        <v>0</v>
      </c>
      <c r="G34" s="232">
        <v>1871</v>
      </c>
      <c r="H34" s="232">
        <v>0</v>
      </c>
      <c r="I34" s="232">
        <v>0</v>
      </c>
      <c r="J34" s="232">
        <v>218</v>
      </c>
      <c r="K34" s="232">
        <v>0</v>
      </c>
      <c r="L34" s="232">
        <v>0</v>
      </c>
      <c r="M34" s="232">
        <v>0</v>
      </c>
      <c r="N34" s="232">
        <v>0</v>
      </c>
      <c r="O34" s="232">
        <v>0</v>
      </c>
      <c r="P34" s="232">
        <v>0</v>
      </c>
      <c r="Q34" s="232">
        <v>0</v>
      </c>
      <c r="R34" s="232">
        <v>0</v>
      </c>
      <c r="S34" s="232">
        <v>190</v>
      </c>
      <c r="T34" s="232">
        <v>0</v>
      </c>
      <c r="U34" s="232">
        <v>0</v>
      </c>
      <c r="V34" s="232">
        <v>0</v>
      </c>
      <c r="W34" s="232">
        <v>0</v>
      </c>
      <c r="X34" s="232">
        <v>0</v>
      </c>
      <c r="Y34" s="232">
        <v>0</v>
      </c>
      <c r="Z34" s="232">
        <v>0</v>
      </c>
      <c r="AA34" s="232">
        <v>0</v>
      </c>
      <c r="AB34" s="232">
        <v>0</v>
      </c>
      <c r="AC34" s="232">
        <v>0</v>
      </c>
      <c r="AD34" s="232">
        <v>0</v>
      </c>
      <c r="AE34" s="232">
        <f t="shared" ref="AE34:AG34" si="10">SUM(AE35:AE41)</f>
        <v>2599</v>
      </c>
      <c r="AF34" s="232">
        <f t="shared" si="10"/>
        <v>0</v>
      </c>
      <c r="AG34" s="232">
        <f t="shared" si="10"/>
        <v>2599</v>
      </c>
      <c r="AH34" s="242"/>
    </row>
    <row r="35" spans="1:34" s="227" customFormat="1" ht="13.5" customHeight="1" x14ac:dyDescent="0.2">
      <c r="A35" s="227">
        <v>20</v>
      </c>
      <c r="B35" s="228">
        <v>21</v>
      </c>
      <c r="C35" s="235">
        <v>120</v>
      </c>
      <c r="D35" s="235"/>
      <c r="E35" s="235"/>
      <c r="F35" s="235"/>
      <c r="G35" s="235">
        <v>1351</v>
      </c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>
        <v>190</v>
      </c>
      <c r="T35" s="235"/>
      <c r="U35" s="235"/>
      <c r="V35" s="235"/>
      <c r="W35" s="235"/>
      <c r="X35" s="235"/>
      <c r="Y35" s="236"/>
      <c r="Z35" s="236"/>
      <c r="AA35" s="236"/>
      <c r="AB35" s="235"/>
      <c r="AC35" s="235"/>
      <c r="AD35" s="234"/>
      <c r="AE35" s="247">
        <f t="shared" ref="AE35:AE41" si="11">C35+D35+E35+F35+G35+H35+I35+J35+K35+L35+M35+N35+O35+P35+Q35+R35+S35+T35+U35+V35+W35+X35+Y35+Z35+AA35+AB35+AC35+AD35</f>
        <v>1661</v>
      </c>
      <c r="AF35" s="236"/>
      <c r="AG35" s="237">
        <f t="shared" ref="AG35:AG41" si="12">AE35+AF35</f>
        <v>1661</v>
      </c>
      <c r="AH35" s="229"/>
    </row>
    <row r="36" spans="1:34" s="227" customFormat="1" ht="13.5" customHeight="1" x14ac:dyDescent="0.2">
      <c r="A36" s="227">
        <v>21</v>
      </c>
      <c r="B36" s="228">
        <v>22</v>
      </c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6"/>
      <c r="Z36" s="236"/>
      <c r="AA36" s="236"/>
      <c r="AB36" s="235"/>
      <c r="AC36" s="235"/>
      <c r="AD36" s="234"/>
      <c r="AE36" s="247">
        <f t="shared" si="11"/>
        <v>0</v>
      </c>
      <c r="AF36" s="236"/>
      <c r="AG36" s="237">
        <f t="shared" si="12"/>
        <v>0</v>
      </c>
      <c r="AH36" s="229"/>
    </row>
    <row r="37" spans="1:34" s="227" customFormat="1" ht="13.5" customHeight="1" x14ac:dyDescent="0.2">
      <c r="A37" s="227">
        <v>22</v>
      </c>
      <c r="B37" s="228">
        <v>23</v>
      </c>
      <c r="C37" s="235"/>
      <c r="D37" s="235"/>
      <c r="E37" s="235"/>
      <c r="F37" s="235"/>
      <c r="G37" s="235"/>
      <c r="H37" s="239"/>
      <c r="I37" s="235"/>
      <c r="J37" s="235">
        <v>218</v>
      </c>
      <c r="K37" s="235"/>
      <c r="L37" s="235"/>
      <c r="M37" s="235"/>
      <c r="N37" s="235"/>
      <c r="O37" s="239"/>
      <c r="P37" s="239"/>
      <c r="Q37" s="235"/>
      <c r="R37" s="235"/>
      <c r="S37" s="235"/>
      <c r="T37" s="235"/>
      <c r="U37" s="235"/>
      <c r="V37" s="235"/>
      <c r="W37" s="235"/>
      <c r="X37" s="235"/>
      <c r="Y37" s="236"/>
      <c r="Z37" s="236"/>
      <c r="AA37" s="236"/>
      <c r="AB37" s="235"/>
      <c r="AC37" s="235"/>
      <c r="AD37" s="234"/>
      <c r="AE37" s="247">
        <f t="shared" si="11"/>
        <v>218</v>
      </c>
      <c r="AF37" s="236"/>
      <c r="AG37" s="237">
        <f t="shared" si="12"/>
        <v>218</v>
      </c>
      <c r="AH37" s="229"/>
    </row>
    <row r="38" spans="1:34" s="227" customFormat="1" ht="13.5" customHeight="1" x14ac:dyDescent="0.2">
      <c r="A38" s="227">
        <v>23</v>
      </c>
      <c r="B38" s="228">
        <v>24</v>
      </c>
      <c r="C38" s="235">
        <v>200</v>
      </c>
      <c r="D38" s="235"/>
      <c r="E38" s="235"/>
      <c r="F38" s="235"/>
      <c r="G38" s="235">
        <v>250</v>
      </c>
      <c r="H38" s="239"/>
      <c r="I38" s="235"/>
      <c r="J38" s="235"/>
      <c r="K38" s="235"/>
      <c r="L38" s="235"/>
      <c r="M38" s="235"/>
      <c r="N38" s="235"/>
      <c r="O38" s="239"/>
      <c r="P38" s="239"/>
      <c r="Q38" s="235"/>
      <c r="R38" s="235"/>
      <c r="S38" s="235"/>
      <c r="T38" s="235"/>
      <c r="U38" s="235"/>
      <c r="V38" s="235"/>
      <c r="W38" s="235"/>
      <c r="X38" s="235"/>
      <c r="Y38" s="236"/>
      <c r="Z38" s="236"/>
      <c r="AA38" s="236"/>
      <c r="AB38" s="235"/>
      <c r="AC38" s="235"/>
      <c r="AD38" s="234"/>
      <c r="AE38" s="247">
        <f t="shared" si="11"/>
        <v>450</v>
      </c>
      <c r="AF38" s="236"/>
      <c r="AG38" s="237">
        <f t="shared" si="12"/>
        <v>450</v>
      </c>
      <c r="AH38" s="229"/>
    </row>
    <row r="39" spans="1:34" s="227" customFormat="1" ht="13.5" customHeight="1" x14ac:dyDescent="0.2">
      <c r="A39" s="227">
        <v>24</v>
      </c>
      <c r="B39" s="228">
        <v>25</v>
      </c>
      <c r="C39" s="235"/>
      <c r="D39" s="235"/>
      <c r="E39" s="235"/>
      <c r="F39" s="235"/>
      <c r="G39" s="235">
        <v>57</v>
      </c>
      <c r="H39" s="239"/>
      <c r="I39" s="235"/>
      <c r="J39" s="235"/>
      <c r="K39" s="235"/>
      <c r="L39" s="235"/>
      <c r="M39" s="235"/>
      <c r="N39" s="235"/>
      <c r="O39" s="239"/>
      <c r="P39" s="239"/>
      <c r="Q39" s="235"/>
      <c r="R39" s="235"/>
      <c r="S39" s="235"/>
      <c r="T39" s="235"/>
      <c r="U39" s="235"/>
      <c r="V39" s="235"/>
      <c r="W39" s="235"/>
      <c r="X39" s="235"/>
      <c r="Y39" s="236"/>
      <c r="Z39" s="236"/>
      <c r="AA39" s="236"/>
      <c r="AB39" s="235"/>
      <c r="AC39" s="235"/>
      <c r="AD39" s="234"/>
      <c r="AE39" s="247">
        <f t="shared" si="11"/>
        <v>57</v>
      </c>
      <c r="AF39" s="236"/>
      <c r="AG39" s="237">
        <f t="shared" si="12"/>
        <v>57</v>
      </c>
      <c r="AH39" s="229"/>
    </row>
    <row r="40" spans="1:34" s="227" customFormat="1" ht="13.5" customHeight="1" x14ac:dyDescent="0.2">
      <c r="A40" s="227">
        <v>25</v>
      </c>
      <c r="B40" s="228">
        <v>26</v>
      </c>
      <c r="C40" s="235"/>
      <c r="D40" s="235"/>
      <c r="E40" s="235"/>
      <c r="F40" s="235"/>
      <c r="G40" s="235">
        <v>213</v>
      </c>
      <c r="H40" s="239"/>
      <c r="I40" s="235"/>
      <c r="J40" s="235"/>
      <c r="K40" s="235"/>
      <c r="L40" s="235"/>
      <c r="M40" s="235"/>
      <c r="N40" s="235"/>
      <c r="O40" s="239"/>
      <c r="P40" s="239"/>
      <c r="Q40" s="235"/>
      <c r="R40" s="235"/>
      <c r="S40" s="235"/>
      <c r="T40" s="235"/>
      <c r="U40" s="235"/>
      <c r="V40" s="235"/>
      <c r="W40" s="235"/>
      <c r="X40" s="235"/>
      <c r="Y40" s="236"/>
      <c r="Z40" s="236"/>
      <c r="AA40" s="236"/>
      <c r="AB40" s="235"/>
      <c r="AC40" s="235"/>
      <c r="AD40" s="234"/>
      <c r="AE40" s="247">
        <f t="shared" si="11"/>
        <v>213</v>
      </c>
      <c r="AF40" s="236"/>
      <c r="AG40" s="237">
        <f t="shared" si="12"/>
        <v>213</v>
      </c>
      <c r="AH40" s="229"/>
    </row>
    <row r="41" spans="1:34" s="227" customFormat="1" ht="13.5" customHeight="1" x14ac:dyDescent="0.2">
      <c r="A41" s="227">
        <v>26</v>
      </c>
      <c r="B41" s="228">
        <v>27</v>
      </c>
      <c r="C41" s="235"/>
      <c r="D41" s="235"/>
      <c r="E41" s="235"/>
      <c r="F41" s="235"/>
      <c r="G41" s="235"/>
      <c r="H41" s="239"/>
      <c r="I41" s="235"/>
      <c r="J41" s="235"/>
      <c r="K41" s="235"/>
      <c r="L41" s="235"/>
      <c r="M41" s="235"/>
      <c r="N41" s="235"/>
      <c r="O41" s="239"/>
      <c r="P41" s="239"/>
      <c r="Q41" s="235"/>
      <c r="R41" s="235"/>
      <c r="S41" s="235"/>
      <c r="T41" s="235"/>
      <c r="U41" s="235"/>
      <c r="V41" s="235"/>
      <c r="W41" s="235"/>
      <c r="X41" s="235"/>
      <c r="Y41" s="236"/>
      <c r="Z41" s="236"/>
      <c r="AA41" s="236"/>
      <c r="AB41" s="235"/>
      <c r="AC41" s="235"/>
      <c r="AD41" s="234"/>
      <c r="AE41" s="247">
        <f t="shared" si="11"/>
        <v>0</v>
      </c>
      <c r="AF41" s="236"/>
      <c r="AG41" s="237">
        <f t="shared" si="12"/>
        <v>0</v>
      </c>
      <c r="AH41" s="229"/>
    </row>
    <row r="42" spans="1:34" s="227" customFormat="1" ht="13.5" customHeight="1" x14ac:dyDescent="0.2">
      <c r="B42" s="228">
        <v>28</v>
      </c>
      <c r="C42" s="235"/>
      <c r="D42" s="235"/>
      <c r="E42" s="235"/>
      <c r="F42" s="235"/>
      <c r="G42" s="235"/>
      <c r="H42" s="239"/>
      <c r="I42" s="235"/>
      <c r="J42" s="235"/>
      <c r="K42" s="235"/>
      <c r="L42" s="235"/>
      <c r="M42" s="235"/>
      <c r="N42" s="235"/>
      <c r="O42" s="239"/>
      <c r="P42" s="239"/>
      <c r="Q42" s="235"/>
      <c r="R42" s="235"/>
      <c r="S42" s="235"/>
      <c r="T42" s="235"/>
      <c r="U42" s="235"/>
      <c r="V42" s="235"/>
      <c r="W42" s="235"/>
      <c r="X42" s="235"/>
      <c r="Y42" s="236"/>
      <c r="Z42" s="236"/>
      <c r="AA42" s="236"/>
      <c r="AB42" s="235"/>
      <c r="AC42" s="235"/>
      <c r="AD42" s="234"/>
      <c r="AE42" s="247">
        <f t="shared" ref="AE42" si="13">C42+D42+E42+F42+G42+H42+I42+J42+K42+L42+M42+N42+O42+P42+Q42+R42+S42+T42+U42+V42+W42+X42+Y42+Z42+AA42+AB42+AC42+AD42</f>
        <v>0</v>
      </c>
      <c r="AF42" s="236"/>
      <c r="AG42" s="237">
        <f t="shared" ref="AG42" si="14">AE42+AF42</f>
        <v>0</v>
      </c>
      <c r="AH42" s="229"/>
    </row>
    <row r="43" spans="1:34" s="240" customFormat="1" ht="22.5" customHeight="1" x14ac:dyDescent="0.2">
      <c r="A43" s="240">
        <v>0</v>
      </c>
      <c r="B43" s="249" t="s">
        <v>629</v>
      </c>
      <c r="C43" s="232">
        <v>175</v>
      </c>
      <c r="D43" s="232">
        <v>9</v>
      </c>
      <c r="E43" s="232">
        <v>0</v>
      </c>
      <c r="F43" s="232">
        <v>0</v>
      </c>
      <c r="G43" s="232">
        <v>0</v>
      </c>
      <c r="H43" s="232">
        <v>0</v>
      </c>
      <c r="I43" s="232">
        <v>0</v>
      </c>
      <c r="J43" s="232">
        <v>82</v>
      </c>
      <c r="K43" s="232">
        <v>0</v>
      </c>
      <c r="L43" s="232">
        <v>0</v>
      </c>
      <c r="M43" s="232">
        <v>100</v>
      </c>
      <c r="N43" s="232">
        <v>0</v>
      </c>
      <c r="O43" s="232">
        <v>105</v>
      </c>
      <c r="P43" s="232">
        <v>0</v>
      </c>
      <c r="Q43" s="232">
        <v>0</v>
      </c>
      <c r="R43" s="232">
        <v>0</v>
      </c>
      <c r="S43" s="232">
        <v>0</v>
      </c>
      <c r="T43" s="232">
        <v>0</v>
      </c>
      <c r="U43" s="232">
        <v>0</v>
      </c>
      <c r="V43" s="232">
        <v>0</v>
      </c>
      <c r="W43" s="232">
        <v>0</v>
      </c>
      <c r="X43" s="232">
        <v>0</v>
      </c>
      <c r="Y43" s="232">
        <v>0</v>
      </c>
      <c r="Z43" s="232">
        <v>0</v>
      </c>
      <c r="AA43" s="232">
        <v>0</v>
      </c>
      <c r="AB43" s="232">
        <v>14</v>
      </c>
      <c r="AC43" s="232">
        <v>0</v>
      </c>
      <c r="AD43" s="232">
        <v>4</v>
      </c>
      <c r="AE43" s="232">
        <f t="shared" ref="AE43:AG43" si="15">AE44+AE45+AE46</f>
        <v>489</v>
      </c>
      <c r="AF43" s="232">
        <f t="shared" si="15"/>
        <v>0</v>
      </c>
      <c r="AG43" s="232">
        <f t="shared" si="15"/>
        <v>489</v>
      </c>
      <c r="AH43" s="242"/>
    </row>
    <row r="44" spans="1:34" s="227" customFormat="1" ht="13.5" customHeight="1" x14ac:dyDescent="0.2">
      <c r="A44" s="227">
        <v>27</v>
      </c>
      <c r="B44" s="228">
        <v>29</v>
      </c>
      <c r="C44" s="235">
        <v>145</v>
      </c>
      <c r="D44" s="235"/>
      <c r="E44" s="235"/>
      <c r="F44" s="235"/>
      <c r="G44" s="235"/>
      <c r="H44" s="235"/>
      <c r="I44" s="235"/>
      <c r="J44" s="235">
        <v>46</v>
      </c>
      <c r="K44" s="235"/>
      <c r="L44" s="235"/>
      <c r="M44" s="235">
        <v>60</v>
      </c>
      <c r="N44" s="235"/>
      <c r="O44" s="235">
        <v>55</v>
      </c>
      <c r="P44" s="235"/>
      <c r="Q44" s="235"/>
      <c r="R44" s="235"/>
      <c r="S44" s="235"/>
      <c r="T44" s="235"/>
      <c r="U44" s="235"/>
      <c r="V44" s="235"/>
      <c r="W44" s="235"/>
      <c r="X44" s="235"/>
      <c r="Y44" s="236"/>
      <c r="Z44" s="236"/>
      <c r="AA44" s="236"/>
      <c r="AB44" s="235">
        <v>10</v>
      </c>
      <c r="AC44" s="235"/>
      <c r="AD44" s="234"/>
      <c r="AE44" s="247">
        <f>C44+D44+E44+F44+G44+H44+I44+J44+K44+L44+M44+N44+O44+P44+Q44+R44+S44+T44+U44+V44+W44+X44+Y44+Z44+AA44+AB44+AC44+AD44</f>
        <v>316</v>
      </c>
      <c r="AF44" s="236"/>
      <c r="AG44" s="237">
        <f>AE44+AF44</f>
        <v>316</v>
      </c>
      <c r="AH44" s="229"/>
    </row>
    <row r="45" spans="1:34" s="227" customFormat="1" ht="13.5" customHeight="1" x14ac:dyDescent="0.2">
      <c r="A45" s="227">
        <v>28</v>
      </c>
      <c r="B45" s="228">
        <v>30</v>
      </c>
      <c r="C45" s="235">
        <v>15</v>
      </c>
      <c r="D45" s="235">
        <v>9</v>
      </c>
      <c r="E45" s="235"/>
      <c r="F45" s="235"/>
      <c r="G45" s="235"/>
      <c r="H45" s="235"/>
      <c r="I45" s="235"/>
      <c r="J45" s="235">
        <v>22</v>
      </c>
      <c r="K45" s="245"/>
      <c r="L45" s="235"/>
      <c r="M45" s="235">
        <v>40</v>
      </c>
      <c r="N45" s="235"/>
      <c r="O45" s="235">
        <v>50</v>
      </c>
      <c r="P45" s="235"/>
      <c r="Q45" s="235"/>
      <c r="R45" s="235"/>
      <c r="S45" s="235"/>
      <c r="T45" s="235"/>
      <c r="U45" s="235"/>
      <c r="V45" s="235"/>
      <c r="W45" s="235"/>
      <c r="X45" s="235"/>
      <c r="Y45" s="236"/>
      <c r="Z45" s="236"/>
      <c r="AA45" s="236"/>
      <c r="AB45" s="235">
        <v>2</v>
      </c>
      <c r="AC45" s="235"/>
      <c r="AD45" s="234">
        <v>4</v>
      </c>
      <c r="AE45" s="247">
        <f>C45+D45+E45+F45+G45+H45+I45+J45+K45+L45+M45+N45+O45+P45+Q45+R45+S45+T45+U45+V45+W45+X45+Y45+Z45+AA45+AB45+AC45+AD45</f>
        <v>142</v>
      </c>
      <c r="AF45" s="236"/>
      <c r="AG45" s="237">
        <f>AE45+AF45</f>
        <v>142</v>
      </c>
      <c r="AH45" s="229"/>
    </row>
    <row r="46" spans="1:34" s="227" customFormat="1" ht="13.5" customHeight="1" x14ac:dyDescent="0.2">
      <c r="A46" s="227">
        <v>29</v>
      </c>
      <c r="B46" s="228">
        <v>31</v>
      </c>
      <c r="C46" s="235">
        <v>15</v>
      </c>
      <c r="D46" s="235"/>
      <c r="E46" s="235"/>
      <c r="F46" s="235"/>
      <c r="G46" s="235"/>
      <c r="H46" s="235"/>
      <c r="I46" s="235"/>
      <c r="J46" s="235">
        <v>14</v>
      </c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6"/>
      <c r="Z46" s="236"/>
      <c r="AA46" s="236"/>
      <c r="AB46" s="235">
        <v>2</v>
      </c>
      <c r="AC46" s="235"/>
      <c r="AD46" s="234"/>
      <c r="AE46" s="247">
        <f>C46+D46+E46+F46+G46+H46+I46+J46+K46+L46+M46+N46+O46+P46+Q46+R46+S46+T46+U46+V46+W46+X46+Y46+Z46+AA46+AB46+AC46+AD46</f>
        <v>31</v>
      </c>
      <c r="AF46" s="236"/>
      <c r="AG46" s="237">
        <f>AE46+AF46</f>
        <v>31</v>
      </c>
      <c r="AH46" s="229"/>
    </row>
    <row r="47" spans="1:34" s="240" customFormat="1" ht="22.5" customHeight="1" x14ac:dyDescent="0.2">
      <c r="A47" s="240">
        <v>0</v>
      </c>
      <c r="B47" s="249" t="s">
        <v>630</v>
      </c>
      <c r="C47" s="232">
        <v>0</v>
      </c>
      <c r="D47" s="232">
        <v>0</v>
      </c>
      <c r="E47" s="232">
        <v>0</v>
      </c>
      <c r="F47" s="232">
        <v>0</v>
      </c>
      <c r="G47" s="232">
        <v>0</v>
      </c>
      <c r="H47" s="232">
        <v>0</v>
      </c>
      <c r="I47" s="232">
        <v>0</v>
      </c>
      <c r="J47" s="232">
        <v>89</v>
      </c>
      <c r="K47" s="232">
        <v>0</v>
      </c>
      <c r="L47" s="232">
        <v>1306</v>
      </c>
      <c r="M47" s="232">
        <v>0</v>
      </c>
      <c r="N47" s="232">
        <v>0</v>
      </c>
      <c r="O47" s="232">
        <v>0</v>
      </c>
      <c r="P47" s="232">
        <v>0</v>
      </c>
      <c r="Q47" s="232">
        <v>0</v>
      </c>
      <c r="R47" s="232">
        <v>100</v>
      </c>
      <c r="S47" s="232">
        <v>220</v>
      </c>
      <c r="T47" s="232">
        <v>50</v>
      </c>
      <c r="U47" s="232">
        <v>0</v>
      </c>
      <c r="V47" s="232">
        <v>0</v>
      </c>
      <c r="W47" s="232">
        <v>0</v>
      </c>
      <c r="X47" s="232">
        <v>95</v>
      </c>
      <c r="Y47" s="232">
        <v>130</v>
      </c>
      <c r="Z47" s="232">
        <v>100</v>
      </c>
      <c r="AA47" s="232">
        <v>0</v>
      </c>
      <c r="AB47" s="232">
        <v>0</v>
      </c>
      <c r="AC47" s="232">
        <v>3</v>
      </c>
      <c r="AD47" s="232">
        <v>0</v>
      </c>
      <c r="AE47" s="232">
        <f>SUM(AE48:AE54)</f>
        <v>2093</v>
      </c>
      <c r="AF47" s="232">
        <f t="shared" ref="AF47:AG47" si="16">SUM(AF48:AF54)</f>
        <v>0</v>
      </c>
      <c r="AG47" s="232">
        <f t="shared" si="16"/>
        <v>2093</v>
      </c>
      <c r="AH47" s="242"/>
    </row>
    <row r="48" spans="1:34" s="227" customFormat="1" ht="13.5" customHeight="1" x14ac:dyDescent="0.2">
      <c r="A48" s="227">
        <v>30</v>
      </c>
      <c r="B48" s="228">
        <v>32</v>
      </c>
      <c r="C48" s="235"/>
      <c r="D48" s="235"/>
      <c r="E48" s="235"/>
      <c r="F48" s="235"/>
      <c r="G48" s="235"/>
      <c r="H48" s="235"/>
      <c r="I48" s="235"/>
      <c r="J48" s="235">
        <v>89</v>
      </c>
      <c r="K48" s="235"/>
      <c r="L48" s="235">
        <v>1036</v>
      </c>
      <c r="M48" s="235"/>
      <c r="N48" s="234"/>
      <c r="O48" s="235"/>
      <c r="P48" s="235"/>
      <c r="Q48" s="235"/>
      <c r="R48" s="235">
        <v>95</v>
      </c>
      <c r="S48" s="235">
        <v>205</v>
      </c>
      <c r="T48" s="235">
        <v>50</v>
      </c>
      <c r="U48" s="234"/>
      <c r="V48" s="234"/>
      <c r="W48" s="234"/>
      <c r="X48" s="234">
        <v>89</v>
      </c>
      <c r="Y48" s="236">
        <v>130</v>
      </c>
      <c r="Z48" s="236">
        <v>100</v>
      </c>
      <c r="AA48" s="236"/>
      <c r="AB48" s="235"/>
      <c r="AC48" s="235">
        <v>3</v>
      </c>
      <c r="AD48" s="234"/>
      <c r="AE48" s="247">
        <f>C48+D48+E48+F48+G48+H48+I48+J48+K48+L48+M48+N48+O48+P48+Q48+R48+S48+T48+U48+V48+W48+X48+Y48+Z48+AA48+AB48+AC48+AD48</f>
        <v>1797</v>
      </c>
      <c r="AF48" s="236"/>
      <c r="AG48" s="237">
        <f>AE48+AF48</f>
        <v>1797</v>
      </c>
      <c r="AH48" s="229"/>
    </row>
    <row r="49" spans="1:34" s="227" customFormat="1" ht="13.5" customHeight="1" x14ac:dyDescent="0.2">
      <c r="A49" s="227">
        <v>31</v>
      </c>
      <c r="B49" s="228">
        <v>33</v>
      </c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4"/>
      <c r="O49" s="235"/>
      <c r="P49" s="235"/>
      <c r="Q49" s="235"/>
      <c r="R49" s="235"/>
      <c r="S49" s="235"/>
      <c r="T49" s="235"/>
      <c r="U49" s="234"/>
      <c r="V49" s="234"/>
      <c r="W49" s="234"/>
      <c r="X49" s="234"/>
      <c r="Y49" s="236"/>
      <c r="Z49" s="236"/>
      <c r="AA49" s="236"/>
      <c r="AB49" s="235"/>
      <c r="AC49" s="235"/>
      <c r="AD49" s="234"/>
      <c r="AE49" s="247">
        <f t="shared" ref="AE49:AE54" si="17">C49+D49+E49+F49+G49+H49+I49+J49+K49+L49+M49+N49+O49+P49+Q49+R49+S49+T49+U49+V49+W49+X49+Y49+Z49+AA49+AB49+AC49+AD49</f>
        <v>0</v>
      </c>
      <c r="AF49" s="236"/>
      <c r="AG49" s="237">
        <f t="shared" ref="AG49:AG54" si="18">AE49+AF49</f>
        <v>0</v>
      </c>
      <c r="AH49" s="229"/>
    </row>
    <row r="50" spans="1:34" s="227" customFormat="1" ht="13.5" customHeight="1" x14ac:dyDescent="0.2">
      <c r="A50" s="227">
        <v>32</v>
      </c>
      <c r="B50" s="228">
        <v>34</v>
      </c>
      <c r="C50" s="235"/>
      <c r="D50" s="235"/>
      <c r="E50" s="235"/>
      <c r="F50" s="235"/>
      <c r="G50" s="235"/>
      <c r="H50" s="235"/>
      <c r="I50" s="235"/>
      <c r="J50" s="235"/>
      <c r="K50" s="235"/>
      <c r="L50" s="235">
        <v>20</v>
      </c>
      <c r="M50" s="235"/>
      <c r="N50" s="234"/>
      <c r="O50" s="235"/>
      <c r="P50" s="235"/>
      <c r="Q50" s="235"/>
      <c r="R50" s="235">
        <v>5</v>
      </c>
      <c r="S50" s="235">
        <v>15</v>
      </c>
      <c r="T50" s="235"/>
      <c r="U50" s="234"/>
      <c r="V50" s="234"/>
      <c r="W50" s="234"/>
      <c r="X50" s="234">
        <v>6</v>
      </c>
      <c r="Y50" s="236"/>
      <c r="Z50" s="236"/>
      <c r="AA50" s="236"/>
      <c r="AB50" s="235"/>
      <c r="AC50" s="235"/>
      <c r="AD50" s="234"/>
      <c r="AE50" s="247">
        <f t="shared" si="17"/>
        <v>46</v>
      </c>
      <c r="AF50" s="236"/>
      <c r="AG50" s="237">
        <f t="shared" si="18"/>
        <v>46</v>
      </c>
      <c r="AH50" s="229"/>
    </row>
    <row r="51" spans="1:34" s="227" customFormat="1" ht="13.5" customHeight="1" x14ac:dyDescent="0.2">
      <c r="B51" s="228">
        <v>35</v>
      </c>
      <c r="C51" s="235"/>
      <c r="D51" s="235"/>
      <c r="E51" s="235"/>
      <c r="F51" s="235"/>
      <c r="G51" s="235"/>
      <c r="H51" s="235"/>
      <c r="I51" s="235"/>
      <c r="J51" s="235"/>
      <c r="K51" s="235"/>
      <c r="L51" s="235">
        <v>250</v>
      </c>
      <c r="M51" s="235"/>
      <c r="N51" s="234"/>
      <c r="O51" s="235"/>
      <c r="P51" s="235"/>
      <c r="Q51" s="235"/>
      <c r="R51" s="235"/>
      <c r="S51" s="235"/>
      <c r="T51" s="235"/>
      <c r="U51" s="234"/>
      <c r="V51" s="234"/>
      <c r="W51" s="234"/>
      <c r="X51" s="234"/>
      <c r="Y51" s="236"/>
      <c r="Z51" s="236"/>
      <c r="AA51" s="236"/>
      <c r="AB51" s="235"/>
      <c r="AC51" s="235"/>
      <c r="AD51" s="234"/>
      <c r="AE51" s="247">
        <f t="shared" si="17"/>
        <v>250</v>
      </c>
      <c r="AF51" s="236"/>
      <c r="AG51" s="237">
        <f t="shared" si="18"/>
        <v>250</v>
      </c>
      <c r="AH51" s="229"/>
    </row>
    <row r="52" spans="1:34" s="227" customFormat="1" ht="13.5" customHeight="1" x14ac:dyDescent="0.2">
      <c r="B52" s="228">
        <v>36</v>
      </c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4"/>
      <c r="O52" s="235"/>
      <c r="P52" s="235"/>
      <c r="Q52" s="235"/>
      <c r="R52" s="235"/>
      <c r="S52" s="235"/>
      <c r="T52" s="235"/>
      <c r="U52" s="234"/>
      <c r="V52" s="234"/>
      <c r="W52" s="234"/>
      <c r="X52" s="234"/>
      <c r="Y52" s="236"/>
      <c r="Z52" s="236"/>
      <c r="AA52" s="236"/>
      <c r="AB52" s="235"/>
      <c r="AC52" s="235"/>
      <c r="AD52" s="234"/>
      <c r="AE52" s="247">
        <f t="shared" si="17"/>
        <v>0</v>
      </c>
      <c r="AF52" s="236"/>
      <c r="AG52" s="237">
        <f t="shared" si="18"/>
        <v>0</v>
      </c>
      <c r="AH52" s="229"/>
    </row>
    <row r="53" spans="1:34" s="227" customFormat="1" ht="13.5" customHeight="1" x14ac:dyDescent="0.2">
      <c r="B53" s="228">
        <v>37</v>
      </c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4"/>
      <c r="O53" s="235"/>
      <c r="P53" s="235"/>
      <c r="Q53" s="235"/>
      <c r="R53" s="235"/>
      <c r="S53" s="235"/>
      <c r="T53" s="235"/>
      <c r="U53" s="234"/>
      <c r="V53" s="234"/>
      <c r="W53" s="234"/>
      <c r="X53" s="234"/>
      <c r="Y53" s="236"/>
      <c r="Z53" s="236"/>
      <c r="AA53" s="236"/>
      <c r="AB53" s="235"/>
      <c r="AC53" s="235"/>
      <c r="AD53" s="234"/>
      <c r="AE53" s="247">
        <f t="shared" si="17"/>
        <v>0</v>
      </c>
      <c r="AF53" s="236"/>
      <c r="AG53" s="237">
        <f t="shared" si="18"/>
        <v>0</v>
      </c>
      <c r="AH53" s="229"/>
    </row>
    <row r="54" spans="1:34" s="227" customFormat="1" ht="13.5" customHeight="1" x14ac:dyDescent="0.2">
      <c r="A54" s="227">
        <v>33</v>
      </c>
      <c r="B54" s="228">
        <v>38</v>
      </c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4"/>
      <c r="O54" s="235"/>
      <c r="P54" s="235"/>
      <c r="Q54" s="235"/>
      <c r="R54" s="235"/>
      <c r="S54" s="235"/>
      <c r="T54" s="235"/>
      <c r="U54" s="234"/>
      <c r="V54" s="234"/>
      <c r="W54" s="234"/>
      <c r="X54" s="234"/>
      <c r="Y54" s="236"/>
      <c r="Z54" s="236"/>
      <c r="AA54" s="236"/>
      <c r="AB54" s="235"/>
      <c r="AC54" s="235"/>
      <c r="AD54" s="234"/>
      <c r="AE54" s="247">
        <f t="shared" si="17"/>
        <v>0</v>
      </c>
      <c r="AF54" s="236"/>
      <c r="AG54" s="237">
        <f t="shared" si="18"/>
        <v>0</v>
      </c>
      <c r="AH54" s="229"/>
    </row>
    <row r="55" spans="1:34" s="240" customFormat="1" ht="22.5" customHeight="1" x14ac:dyDescent="0.2">
      <c r="A55" s="240">
        <v>0</v>
      </c>
      <c r="B55" s="249" t="s">
        <v>631</v>
      </c>
      <c r="C55" s="232">
        <v>0</v>
      </c>
      <c r="D55" s="232">
        <v>0</v>
      </c>
      <c r="E55" s="232">
        <v>0</v>
      </c>
      <c r="F55" s="232">
        <v>60</v>
      </c>
      <c r="G55" s="232">
        <v>0</v>
      </c>
      <c r="H55" s="232">
        <v>0</v>
      </c>
      <c r="I55" s="232">
        <v>0</v>
      </c>
      <c r="J55" s="232">
        <v>89</v>
      </c>
      <c r="K55" s="232">
        <v>20</v>
      </c>
      <c r="L55" s="232">
        <v>0</v>
      </c>
      <c r="M55" s="232">
        <v>0</v>
      </c>
      <c r="N55" s="232">
        <v>0</v>
      </c>
      <c r="O55" s="232">
        <v>0</v>
      </c>
      <c r="P55" s="232">
        <v>0</v>
      </c>
      <c r="Q55" s="232">
        <v>0</v>
      </c>
      <c r="R55" s="232">
        <v>0</v>
      </c>
      <c r="S55" s="232">
        <v>0</v>
      </c>
      <c r="T55" s="232">
        <v>0</v>
      </c>
      <c r="U55" s="232">
        <v>0</v>
      </c>
      <c r="V55" s="232">
        <v>0</v>
      </c>
      <c r="W55" s="232">
        <v>0</v>
      </c>
      <c r="X55" s="232">
        <v>0</v>
      </c>
      <c r="Y55" s="232">
        <v>0</v>
      </c>
      <c r="Z55" s="232">
        <v>0</v>
      </c>
      <c r="AA55" s="232">
        <v>0</v>
      </c>
      <c r="AB55" s="232">
        <v>0</v>
      </c>
      <c r="AC55" s="232">
        <v>0</v>
      </c>
      <c r="AD55" s="232">
        <v>0</v>
      </c>
      <c r="AE55" s="232">
        <f t="shared" ref="AE55:AG55" si="19">SUM(AE56:AE63)</f>
        <v>169</v>
      </c>
      <c r="AF55" s="232">
        <f t="shared" si="19"/>
        <v>0</v>
      </c>
      <c r="AG55" s="232">
        <f t="shared" si="19"/>
        <v>169</v>
      </c>
      <c r="AH55" s="242"/>
    </row>
    <row r="56" spans="1:34" s="227" customFormat="1" ht="13.5" customHeight="1" x14ac:dyDescent="0.2">
      <c r="A56" s="227">
        <v>34</v>
      </c>
      <c r="B56" s="228">
        <v>39</v>
      </c>
      <c r="C56" s="235"/>
      <c r="D56" s="235"/>
      <c r="E56" s="235"/>
      <c r="F56" s="235"/>
      <c r="G56" s="235"/>
      <c r="H56" s="235"/>
      <c r="I56" s="235"/>
      <c r="J56" s="235">
        <v>4</v>
      </c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6"/>
      <c r="Z56" s="236"/>
      <c r="AA56" s="236"/>
      <c r="AB56" s="235"/>
      <c r="AC56" s="235"/>
      <c r="AD56" s="234"/>
      <c r="AE56" s="247">
        <f t="shared" ref="AE56:AE63" si="20">C56+D56+E56+F56+G56+H56+I56+J56+K56+L56+M56+N56+O56+P56+Q56+R56+S56+T56+U56+V56+W56+X56+Y56+Z56+AA56+AB56+AC56+AD56</f>
        <v>4</v>
      </c>
      <c r="AF56" s="236"/>
      <c r="AG56" s="247">
        <f t="shared" ref="AG56:AG63" si="21">AE56+AF56</f>
        <v>4</v>
      </c>
      <c r="AH56" s="229"/>
    </row>
    <row r="57" spans="1:34" s="227" customFormat="1" ht="13.5" customHeight="1" x14ac:dyDescent="0.2">
      <c r="A57" s="227">
        <v>35</v>
      </c>
      <c r="B57" s="228">
        <v>40</v>
      </c>
      <c r="C57" s="235"/>
      <c r="D57" s="235"/>
      <c r="E57" s="235"/>
      <c r="F57" s="235"/>
      <c r="G57" s="235"/>
      <c r="H57" s="235"/>
      <c r="I57" s="235"/>
      <c r="J57" s="235">
        <v>57</v>
      </c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6"/>
      <c r="Z57" s="236"/>
      <c r="AA57" s="236"/>
      <c r="AB57" s="235"/>
      <c r="AC57" s="235"/>
      <c r="AD57" s="234"/>
      <c r="AE57" s="247">
        <f t="shared" si="20"/>
        <v>57</v>
      </c>
      <c r="AF57" s="236"/>
      <c r="AG57" s="247">
        <f t="shared" si="21"/>
        <v>57</v>
      </c>
      <c r="AH57" s="229"/>
    </row>
    <row r="58" spans="1:34" s="227" customFormat="1" ht="13.5" customHeight="1" x14ac:dyDescent="0.2">
      <c r="A58" s="227">
        <v>36</v>
      </c>
      <c r="B58" s="228">
        <v>41</v>
      </c>
      <c r="C58" s="235"/>
      <c r="D58" s="235"/>
      <c r="E58" s="235"/>
      <c r="F58" s="235">
        <v>60</v>
      </c>
      <c r="G58" s="235"/>
      <c r="H58" s="239"/>
      <c r="I58" s="235"/>
      <c r="J58" s="235"/>
      <c r="K58" s="235"/>
      <c r="L58" s="239"/>
      <c r="M58" s="235"/>
      <c r="N58" s="235"/>
      <c r="O58" s="239"/>
      <c r="P58" s="239"/>
      <c r="Q58" s="235"/>
      <c r="R58" s="235"/>
      <c r="S58" s="235"/>
      <c r="T58" s="235"/>
      <c r="U58" s="235"/>
      <c r="V58" s="235"/>
      <c r="W58" s="235"/>
      <c r="X58" s="235"/>
      <c r="Y58" s="236"/>
      <c r="Z58" s="236"/>
      <c r="AA58" s="236"/>
      <c r="AB58" s="235"/>
      <c r="AC58" s="235"/>
      <c r="AD58" s="234"/>
      <c r="AE58" s="247">
        <f t="shared" si="20"/>
        <v>60</v>
      </c>
      <c r="AF58" s="236"/>
      <c r="AG58" s="247">
        <f t="shared" si="21"/>
        <v>60</v>
      </c>
      <c r="AH58" s="229"/>
    </row>
    <row r="59" spans="1:34" s="227" customFormat="1" ht="13.5" customHeight="1" x14ac:dyDescent="0.2">
      <c r="A59" s="227">
        <v>37</v>
      </c>
      <c r="B59" s="228">
        <v>42</v>
      </c>
      <c r="C59" s="235"/>
      <c r="D59" s="235"/>
      <c r="E59" s="235"/>
      <c r="F59" s="235"/>
      <c r="G59" s="235"/>
      <c r="H59" s="239"/>
      <c r="I59" s="235"/>
      <c r="J59" s="235"/>
      <c r="K59" s="235"/>
      <c r="L59" s="239"/>
      <c r="M59" s="235"/>
      <c r="N59" s="235"/>
      <c r="O59" s="239"/>
      <c r="P59" s="239"/>
      <c r="Q59" s="235"/>
      <c r="R59" s="235"/>
      <c r="S59" s="235"/>
      <c r="T59" s="235"/>
      <c r="U59" s="235"/>
      <c r="V59" s="235"/>
      <c r="W59" s="235"/>
      <c r="X59" s="235"/>
      <c r="Y59" s="236"/>
      <c r="Z59" s="236"/>
      <c r="AA59" s="236"/>
      <c r="AB59" s="235"/>
      <c r="AC59" s="235"/>
      <c r="AD59" s="234"/>
      <c r="AE59" s="247">
        <f t="shared" si="20"/>
        <v>0</v>
      </c>
      <c r="AF59" s="236"/>
      <c r="AG59" s="247">
        <f t="shared" si="21"/>
        <v>0</v>
      </c>
      <c r="AH59" s="229"/>
    </row>
    <row r="60" spans="1:34" s="227" customFormat="1" ht="13.5" customHeight="1" x14ac:dyDescent="0.2">
      <c r="A60" s="227">
        <v>38</v>
      </c>
      <c r="B60" s="228">
        <v>43</v>
      </c>
      <c r="C60" s="235"/>
      <c r="D60" s="235"/>
      <c r="E60" s="235"/>
      <c r="F60" s="235"/>
      <c r="G60" s="235"/>
      <c r="H60" s="239"/>
      <c r="I60" s="235"/>
      <c r="J60" s="235"/>
      <c r="K60" s="235"/>
      <c r="L60" s="239"/>
      <c r="M60" s="235"/>
      <c r="N60" s="235"/>
      <c r="O60" s="239"/>
      <c r="P60" s="239"/>
      <c r="Q60" s="235"/>
      <c r="R60" s="235"/>
      <c r="S60" s="235"/>
      <c r="T60" s="235"/>
      <c r="U60" s="235"/>
      <c r="V60" s="235"/>
      <c r="W60" s="235"/>
      <c r="X60" s="235"/>
      <c r="Y60" s="236"/>
      <c r="Z60" s="236"/>
      <c r="AA60" s="236"/>
      <c r="AB60" s="235"/>
      <c r="AC60" s="235"/>
      <c r="AD60" s="234"/>
      <c r="AE60" s="247">
        <f t="shared" si="20"/>
        <v>0</v>
      </c>
      <c r="AF60" s="236"/>
      <c r="AG60" s="247">
        <f t="shared" si="21"/>
        <v>0</v>
      </c>
      <c r="AH60" s="229"/>
    </row>
    <row r="61" spans="1:34" s="227" customFormat="1" ht="13.5" customHeight="1" x14ac:dyDescent="0.2">
      <c r="A61" s="227">
        <v>39</v>
      </c>
      <c r="B61" s="228">
        <v>44</v>
      </c>
      <c r="C61" s="235"/>
      <c r="D61" s="235"/>
      <c r="E61" s="235"/>
      <c r="F61" s="235"/>
      <c r="G61" s="235"/>
      <c r="H61" s="239"/>
      <c r="I61" s="235"/>
      <c r="J61" s="235"/>
      <c r="K61" s="235"/>
      <c r="L61" s="239"/>
      <c r="M61" s="235"/>
      <c r="N61" s="235"/>
      <c r="O61" s="239"/>
      <c r="P61" s="239"/>
      <c r="Q61" s="235"/>
      <c r="R61" s="235"/>
      <c r="S61" s="235"/>
      <c r="T61" s="235"/>
      <c r="U61" s="235"/>
      <c r="V61" s="235"/>
      <c r="W61" s="235"/>
      <c r="X61" s="235"/>
      <c r="Y61" s="236"/>
      <c r="Z61" s="236"/>
      <c r="AA61" s="236"/>
      <c r="AB61" s="235"/>
      <c r="AC61" s="235"/>
      <c r="AD61" s="234"/>
      <c r="AE61" s="247">
        <f t="shared" si="20"/>
        <v>0</v>
      </c>
      <c r="AF61" s="236"/>
      <c r="AG61" s="247">
        <f t="shared" si="21"/>
        <v>0</v>
      </c>
      <c r="AH61" s="229"/>
    </row>
    <row r="62" spans="1:34" s="227" customFormat="1" ht="13.5" customHeight="1" x14ac:dyDescent="0.2">
      <c r="A62" s="227">
        <v>40</v>
      </c>
      <c r="B62" s="228">
        <v>45</v>
      </c>
      <c r="C62" s="235"/>
      <c r="D62" s="235"/>
      <c r="E62" s="235"/>
      <c r="F62" s="235"/>
      <c r="G62" s="235"/>
      <c r="H62" s="239"/>
      <c r="I62" s="235"/>
      <c r="J62" s="235"/>
      <c r="K62" s="235"/>
      <c r="L62" s="239"/>
      <c r="M62" s="235"/>
      <c r="N62" s="235"/>
      <c r="O62" s="239"/>
      <c r="P62" s="239"/>
      <c r="Q62" s="235"/>
      <c r="R62" s="235"/>
      <c r="S62" s="235"/>
      <c r="T62" s="235"/>
      <c r="U62" s="235"/>
      <c r="V62" s="235"/>
      <c r="W62" s="235"/>
      <c r="X62" s="235"/>
      <c r="Y62" s="236"/>
      <c r="Z62" s="236"/>
      <c r="AA62" s="236"/>
      <c r="AB62" s="235"/>
      <c r="AC62" s="235"/>
      <c r="AD62" s="234"/>
      <c r="AE62" s="247">
        <f t="shared" si="20"/>
        <v>0</v>
      </c>
      <c r="AF62" s="236"/>
      <c r="AG62" s="247">
        <f t="shared" si="21"/>
        <v>0</v>
      </c>
      <c r="AH62" s="229"/>
    </row>
    <row r="63" spans="1:34" s="227" customFormat="1" ht="13.5" customHeight="1" x14ac:dyDescent="0.2">
      <c r="A63" s="227">
        <v>41</v>
      </c>
      <c r="B63" s="228">
        <v>46</v>
      </c>
      <c r="C63" s="235"/>
      <c r="D63" s="235"/>
      <c r="E63" s="235"/>
      <c r="F63" s="235"/>
      <c r="G63" s="235"/>
      <c r="H63" s="239"/>
      <c r="I63" s="235"/>
      <c r="J63" s="235">
        <v>28</v>
      </c>
      <c r="K63" s="235">
        <v>20</v>
      </c>
      <c r="L63" s="239"/>
      <c r="M63" s="235"/>
      <c r="N63" s="235"/>
      <c r="O63" s="239"/>
      <c r="P63" s="239"/>
      <c r="Q63" s="235"/>
      <c r="R63" s="235"/>
      <c r="S63" s="235"/>
      <c r="T63" s="235"/>
      <c r="U63" s="235"/>
      <c r="V63" s="235"/>
      <c r="W63" s="235"/>
      <c r="X63" s="235"/>
      <c r="Y63" s="236"/>
      <c r="Z63" s="236"/>
      <c r="AA63" s="236"/>
      <c r="AB63" s="235"/>
      <c r="AC63" s="235"/>
      <c r="AD63" s="234"/>
      <c r="AE63" s="247">
        <f t="shared" si="20"/>
        <v>48</v>
      </c>
      <c r="AF63" s="236"/>
      <c r="AG63" s="247">
        <f t="shared" si="21"/>
        <v>48</v>
      </c>
      <c r="AH63" s="229"/>
    </row>
    <row r="64" spans="1:34" s="240" customFormat="1" ht="22.5" customHeight="1" x14ac:dyDescent="0.2">
      <c r="A64" s="240">
        <v>0</v>
      </c>
      <c r="B64" s="250" t="s">
        <v>632</v>
      </c>
      <c r="C64" s="232">
        <v>250</v>
      </c>
      <c r="D64" s="232">
        <v>0</v>
      </c>
      <c r="E64" s="232">
        <v>0</v>
      </c>
      <c r="F64" s="232">
        <v>0</v>
      </c>
      <c r="G64" s="232">
        <v>0</v>
      </c>
      <c r="H64" s="232">
        <v>0</v>
      </c>
      <c r="I64" s="232">
        <v>0</v>
      </c>
      <c r="J64" s="232">
        <v>0</v>
      </c>
      <c r="K64" s="232">
        <v>0</v>
      </c>
      <c r="L64" s="232">
        <v>0</v>
      </c>
      <c r="M64" s="232">
        <v>150</v>
      </c>
      <c r="N64" s="232">
        <v>0</v>
      </c>
      <c r="O64" s="232">
        <v>0</v>
      </c>
      <c r="P64" s="232">
        <v>0</v>
      </c>
      <c r="Q64" s="232">
        <v>0</v>
      </c>
      <c r="R64" s="232">
        <v>0</v>
      </c>
      <c r="S64" s="232">
        <v>45</v>
      </c>
      <c r="T64" s="232">
        <v>0</v>
      </c>
      <c r="U64" s="232">
        <v>0</v>
      </c>
      <c r="V64" s="232">
        <v>0</v>
      </c>
      <c r="W64" s="232">
        <v>0</v>
      </c>
      <c r="X64" s="232">
        <v>0</v>
      </c>
      <c r="Y64" s="232">
        <v>0</v>
      </c>
      <c r="Z64" s="232">
        <v>0</v>
      </c>
      <c r="AA64" s="232">
        <v>0</v>
      </c>
      <c r="AB64" s="232">
        <v>0</v>
      </c>
      <c r="AC64" s="232">
        <v>0</v>
      </c>
      <c r="AD64" s="232">
        <v>0</v>
      </c>
      <c r="AE64" s="232">
        <f t="shared" ref="AE64:AG64" si="22">AE65</f>
        <v>445</v>
      </c>
      <c r="AF64" s="232">
        <f t="shared" si="22"/>
        <v>0</v>
      </c>
      <c r="AG64" s="232">
        <f t="shared" si="22"/>
        <v>445</v>
      </c>
      <c r="AH64" s="242"/>
    </row>
    <row r="65" spans="1:34" s="227" customFormat="1" ht="13.5" customHeight="1" x14ac:dyDescent="0.2">
      <c r="A65" s="227">
        <v>42</v>
      </c>
      <c r="B65" s="228">
        <v>47</v>
      </c>
      <c r="C65" s="235">
        <v>250</v>
      </c>
      <c r="D65" s="235"/>
      <c r="E65" s="235"/>
      <c r="F65" s="235"/>
      <c r="G65" s="235"/>
      <c r="H65" s="235"/>
      <c r="I65" s="235"/>
      <c r="J65" s="235"/>
      <c r="K65" s="235"/>
      <c r="L65" s="235"/>
      <c r="M65" s="235">
        <v>150</v>
      </c>
      <c r="N65" s="235"/>
      <c r="O65" s="235"/>
      <c r="P65" s="235"/>
      <c r="Q65" s="235"/>
      <c r="R65" s="235"/>
      <c r="S65" s="235">
        <v>45</v>
      </c>
      <c r="T65" s="235"/>
      <c r="U65" s="235"/>
      <c r="V65" s="235"/>
      <c r="W65" s="235"/>
      <c r="X65" s="235"/>
      <c r="Y65" s="236"/>
      <c r="Z65" s="236"/>
      <c r="AA65" s="236"/>
      <c r="AB65" s="235"/>
      <c r="AC65" s="235"/>
      <c r="AD65" s="234"/>
      <c r="AE65" s="247">
        <f>C65+D65+E65+F65+G65+H65+I65+J65+K65+L65+M65+N65+O65+P65+Q65+R65+S65+T65+U65+V65+W65+X65+Y65+Z65+AA65+AB65+AC65+AD65</f>
        <v>445</v>
      </c>
      <c r="AF65" s="236"/>
      <c r="AG65" s="247">
        <f>AE65+AF65</f>
        <v>445</v>
      </c>
      <c r="AH65" s="229"/>
    </row>
    <row r="66" spans="1:34" s="240" customFormat="1" ht="22.5" customHeight="1" x14ac:dyDescent="0.2">
      <c r="A66" s="240">
        <v>0</v>
      </c>
      <c r="B66" s="231" t="s">
        <v>633</v>
      </c>
      <c r="C66" s="232">
        <v>100</v>
      </c>
      <c r="D66" s="232">
        <v>21</v>
      </c>
      <c r="E66" s="232">
        <v>0</v>
      </c>
      <c r="F66" s="232">
        <v>3572</v>
      </c>
      <c r="G66" s="232">
        <v>0</v>
      </c>
      <c r="H66" s="232">
        <v>0</v>
      </c>
      <c r="I66" s="232">
        <v>0</v>
      </c>
      <c r="J66" s="232">
        <v>0</v>
      </c>
      <c r="K66" s="232">
        <v>0</v>
      </c>
      <c r="L66" s="232">
        <v>0</v>
      </c>
      <c r="M66" s="232">
        <v>0</v>
      </c>
      <c r="N66" s="232">
        <v>118</v>
      </c>
      <c r="O66" s="232">
        <v>5</v>
      </c>
      <c r="P66" s="232">
        <v>0</v>
      </c>
      <c r="Q66" s="232">
        <v>4</v>
      </c>
      <c r="R66" s="232">
        <v>3</v>
      </c>
      <c r="S66" s="232">
        <v>5</v>
      </c>
      <c r="T66" s="232">
        <v>4</v>
      </c>
      <c r="U66" s="232">
        <v>4</v>
      </c>
      <c r="V66" s="232">
        <v>4</v>
      </c>
      <c r="W66" s="232">
        <v>0</v>
      </c>
      <c r="X66" s="232">
        <v>2</v>
      </c>
      <c r="Y66" s="232">
        <v>0</v>
      </c>
      <c r="Z66" s="232">
        <v>0</v>
      </c>
      <c r="AA66" s="232">
        <v>0</v>
      </c>
      <c r="AB66" s="232">
        <v>0</v>
      </c>
      <c r="AC66" s="232">
        <v>111</v>
      </c>
      <c r="AD66" s="232">
        <v>0</v>
      </c>
      <c r="AE66" s="232">
        <f>SUM(AE67:AE84)</f>
        <v>3953</v>
      </c>
      <c r="AF66" s="232">
        <f>SUM(AF67:AF84)</f>
        <v>0</v>
      </c>
      <c r="AG66" s="232">
        <f>SUM(AG67:AG84)</f>
        <v>3953</v>
      </c>
      <c r="AH66" s="242"/>
    </row>
    <row r="67" spans="1:34" s="227" customFormat="1" ht="13.5" customHeight="1" x14ac:dyDescent="0.2">
      <c r="A67" s="227">
        <v>46</v>
      </c>
      <c r="B67" s="228">
        <v>48</v>
      </c>
      <c r="C67" s="251">
        <v>45</v>
      </c>
      <c r="D67" s="251">
        <v>3</v>
      </c>
      <c r="E67" s="251"/>
      <c r="F67" s="251">
        <v>478</v>
      </c>
      <c r="G67" s="251"/>
      <c r="H67" s="252"/>
      <c r="I67" s="251"/>
      <c r="J67" s="251"/>
      <c r="K67" s="251"/>
      <c r="L67" s="235"/>
      <c r="M67" s="251"/>
      <c r="N67" s="243"/>
      <c r="O67" s="251">
        <v>3</v>
      </c>
      <c r="P67" s="252"/>
      <c r="Q67" s="251">
        <v>2</v>
      </c>
      <c r="R67" s="251">
        <v>3</v>
      </c>
      <c r="S67" s="251">
        <v>3</v>
      </c>
      <c r="T67" s="234">
        <v>2</v>
      </c>
      <c r="U67" s="248">
        <v>2</v>
      </c>
      <c r="V67" s="235">
        <v>2</v>
      </c>
      <c r="W67" s="235"/>
      <c r="X67" s="235">
        <v>2</v>
      </c>
      <c r="Y67" s="241"/>
      <c r="Z67" s="241"/>
      <c r="AA67" s="241"/>
      <c r="AB67" s="235"/>
      <c r="AC67" s="235">
        <v>23</v>
      </c>
      <c r="AD67" s="234"/>
      <c r="AE67" s="247">
        <f t="shared" ref="AE67:AE84" si="23">C67+D67+E67+F67+G67+H67+I67+J67+K67+L67+M67+N67+O67+P67+Q67+R67+S67+T67+U67+V67+W67+X67+Y67+Z67+AA67+AB67+AC67+AD67</f>
        <v>568</v>
      </c>
      <c r="AF67" s="241"/>
      <c r="AG67" s="237">
        <f t="shared" ref="AG67:AG84" si="24">AE67+AF67</f>
        <v>568</v>
      </c>
      <c r="AH67" s="229"/>
    </row>
    <row r="68" spans="1:34" s="227" customFormat="1" ht="13.5" customHeight="1" x14ac:dyDescent="0.2">
      <c r="A68" s="227">
        <v>47</v>
      </c>
      <c r="B68" s="228">
        <v>49</v>
      </c>
      <c r="C68" s="235">
        <v>39</v>
      </c>
      <c r="D68" s="235">
        <v>1</v>
      </c>
      <c r="E68" s="251"/>
      <c r="F68" s="235">
        <v>303</v>
      </c>
      <c r="G68" s="235"/>
      <c r="H68" s="235"/>
      <c r="I68" s="235"/>
      <c r="J68" s="235"/>
      <c r="K68" s="235"/>
      <c r="L68" s="235"/>
      <c r="M68" s="235"/>
      <c r="N68" s="234">
        <v>40</v>
      </c>
      <c r="O68" s="235">
        <v>1</v>
      </c>
      <c r="P68" s="235"/>
      <c r="Q68" s="235">
        <v>1</v>
      </c>
      <c r="R68" s="235"/>
      <c r="S68" s="235">
        <v>1</v>
      </c>
      <c r="T68" s="234">
        <v>1</v>
      </c>
      <c r="U68" s="248">
        <v>1</v>
      </c>
      <c r="V68" s="235">
        <v>1</v>
      </c>
      <c r="W68" s="235"/>
      <c r="X68" s="235"/>
      <c r="Y68" s="241"/>
      <c r="Z68" s="241"/>
      <c r="AA68" s="241"/>
      <c r="AB68" s="235"/>
      <c r="AC68" s="235">
        <v>18</v>
      </c>
      <c r="AD68" s="234"/>
      <c r="AE68" s="247">
        <f t="shared" si="23"/>
        <v>407</v>
      </c>
      <c r="AF68" s="241"/>
      <c r="AG68" s="237">
        <f t="shared" si="24"/>
        <v>407</v>
      </c>
      <c r="AH68" s="229"/>
    </row>
    <row r="69" spans="1:34" s="227" customFormat="1" ht="13.5" customHeight="1" x14ac:dyDescent="0.2">
      <c r="A69" s="227">
        <v>48</v>
      </c>
      <c r="B69" s="228">
        <v>50</v>
      </c>
      <c r="C69" s="235">
        <v>16</v>
      </c>
      <c r="D69" s="235">
        <v>1</v>
      </c>
      <c r="E69" s="251"/>
      <c r="F69" s="235">
        <v>242</v>
      </c>
      <c r="G69" s="235"/>
      <c r="H69" s="239"/>
      <c r="I69" s="235"/>
      <c r="J69" s="235"/>
      <c r="K69" s="235"/>
      <c r="L69" s="235"/>
      <c r="M69" s="235"/>
      <c r="N69" s="234">
        <v>40</v>
      </c>
      <c r="O69" s="235">
        <v>1</v>
      </c>
      <c r="P69" s="239"/>
      <c r="Q69" s="235">
        <v>1</v>
      </c>
      <c r="R69" s="235"/>
      <c r="S69" s="235">
        <v>1</v>
      </c>
      <c r="T69" s="234">
        <v>1</v>
      </c>
      <c r="U69" s="248">
        <v>1</v>
      </c>
      <c r="V69" s="234">
        <v>1</v>
      </c>
      <c r="W69" s="234"/>
      <c r="X69" s="235"/>
      <c r="Y69" s="253"/>
      <c r="Z69" s="253"/>
      <c r="AA69" s="253"/>
      <c r="AB69" s="235"/>
      <c r="AC69" s="235">
        <v>12</v>
      </c>
      <c r="AD69" s="234"/>
      <c r="AE69" s="247">
        <f t="shared" si="23"/>
        <v>317</v>
      </c>
      <c r="AF69" s="253"/>
      <c r="AG69" s="237">
        <f t="shared" si="24"/>
        <v>317</v>
      </c>
      <c r="AH69" s="229"/>
    </row>
    <row r="70" spans="1:34" s="227" customFormat="1" ht="13.5" customHeight="1" x14ac:dyDescent="0.2">
      <c r="A70" s="227">
        <v>49</v>
      </c>
      <c r="B70" s="228">
        <v>51</v>
      </c>
      <c r="C70" s="235"/>
      <c r="D70" s="235"/>
      <c r="E70" s="251"/>
      <c r="F70" s="235">
        <v>7</v>
      </c>
      <c r="G70" s="235"/>
      <c r="H70" s="239"/>
      <c r="I70" s="235"/>
      <c r="J70" s="235"/>
      <c r="K70" s="235"/>
      <c r="L70" s="235"/>
      <c r="M70" s="235"/>
      <c r="N70" s="234"/>
      <c r="O70" s="235"/>
      <c r="P70" s="239"/>
      <c r="Q70" s="235"/>
      <c r="R70" s="235"/>
      <c r="S70" s="235"/>
      <c r="T70" s="234"/>
      <c r="U70" s="248"/>
      <c r="V70" s="234"/>
      <c r="W70" s="234"/>
      <c r="X70" s="235"/>
      <c r="Y70" s="253"/>
      <c r="Z70" s="253"/>
      <c r="AA70" s="253"/>
      <c r="AB70" s="235"/>
      <c r="AC70" s="235"/>
      <c r="AD70" s="234"/>
      <c r="AE70" s="247">
        <f t="shared" si="23"/>
        <v>7</v>
      </c>
      <c r="AF70" s="253"/>
      <c r="AG70" s="237">
        <f t="shared" si="24"/>
        <v>7</v>
      </c>
      <c r="AH70" s="229"/>
    </row>
    <row r="71" spans="1:34" s="227" customFormat="1" ht="13.5" customHeight="1" x14ac:dyDescent="0.2">
      <c r="A71" s="227">
        <v>50</v>
      </c>
      <c r="B71" s="228">
        <v>52</v>
      </c>
      <c r="C71" s="235"/>
      <c r="D71" s="235"/>
      <c r="E71" s="251"/>
      <c r="F71" s="235">
        <v>1173</v>
      </c>
      <c r="G71" s="235"/>
      <c r="H71" s="235"/>
      <c r="I71" s="235"/>
      <c r="J71" s="235"/>
      <c r="K71" s="235"/>
      <c r="L71" s="235"/>
      <c r="M71" s="235"/>
      <c r="N71" s="234">
        <v>38</v>
      </c>
      <c r="O71" s="235"/>
      <c r="P71" s="235"/>
      <c r="Q71" s="235"/>
      <c r="R71" s="235"/>
      <c r="S71" s="235"/>
      <c r="T71" s="234"/>
      <c r="U71" s="234"/>
      <c r="V71" s="234"/>
      <c r="W71" s="234"/>
      <c r="X71" s="235"/>
      <c r="Y71" s="253"/>
      <c r="Z71" s="253"/>
      <c r="AA71" s="253"/>
      <c r="AB71" s="235"/>
      <c r="AC71" s="235">
        <v>46</v>
      </c>
      <c r="AD71" s="234"/>
      <c r="AE71" s="247">
        <f t="shared" si="23"/>
        <v>1257</v>
      </c>
      <c r="AF71" s="253"/>
      <c r="AG71" s="237">
        <f t="shared" si="24"/>
        <v>1257</v>
      </c>
      <c r="AH71" s="229"/>
    </row>
    <row r="72" spans="1:34" s="227" customFormat="1" ht="13.5" customHeight="1" x14ac:dyDescent="0.2">
      <c r="A72" s="227">
        <v>51</v>
      </c>
      <c r="B72" s="228">
        <v>53</v>
      </c>
      <c r="C72" s="235"/>
      <c r="D72" s="235"/>
      <c r="E72" s="251"/>
      <c r="F72" s="235">
        <v>203</v>
      </c>
      <c r="G72" s="235"/>
      <c r="H72" s="235"/>
      <c r="I72" s="235"/>
      <c r="J72" s="235"/>
      <c r="K72" s="235"/>
      <c r="L72" s="235"/>
      <c r="M72" s="235"/>
      <c r="N72" s="234"/>
      <c r="O72" s="235"/>
      <c r="P72" s="235"/>
      <c r="Q72" s="235"/>
      <c r="R72" s="235"/>
      <c r="S72" s="235"/>
      <c r="T72" s="234"/>
      <c r="U72" s="234"/>
      <c r="V72" s="234"/>
      <c r="W72" s="234"/>
      <c r="X72" s="235"/>
      <c r="Y72" s="253"/>
      <c r="Z72" s="253"/>
      <c r="AA72" s="253"/>
      <c r="AB72" s="235"/>
      <c r="AC72" s="235">
        <v>4</v>
      </c>
      <c r="AD72" s="234"/>
      <c r="AE72" s="247">
        <f t="shared" si="23"/>
        <v>207</v>
      </c>
      <c r="AF72" s="253"/>
      <c r="AG72" s="237">
        <f t="shared" si="24"/>
        <v>207</v>
      </c>
      <c r="AH72" s="229"/>
    </row>
    <row r="73" spans="1:34" s="227" customFormat="1" ht="13.5" customHeight="1" x14ac:dyDescent="0.2">
      <c r="A73" s="227">
        <v>52</v>
      </c>
      <c r="B73" s="228">
        <v>54</v>
      </c>
      <c r="C73" s="235"/>
      <c r="D73" s="235"/>
      <c r="E73" s="251"/>
      <c r="F73" s="235">
        <v>70</v>
      </c>
      <c r="G73" s="235"/>
      <c r="H73" s="239"/>
      <c r="I73" s="235"/>
      <c r="J73" s="235"/>
      <c r="K73" s="235"/>
      <c r="L73" s="239"/>
      <c r="M73" s="235"/>
      <c r="N73" s="234"/>
      <c r="O73" s="239"/>
      <c r="P73" s="239"/>
      <c r="Q73" s="235"/>
      <c r="R73" s="235"/>
      <c r="S73" s="235"/>
      <c r="T73" s="234"/>
      <c r="U73" s="234"/>
      <c r="V73" s="234"/>
      <c r="W73" s="234"/>
      <c r="X73" s="234"/>
      <c r="Y73" s="236"/>
      <c r="Z73" s="236"/>
      <c r="AA73" s="236"/>
      <c r="AB73" s="235"/>
      <c r="AC73" s="235">
        <v>8</v>
      </c>
      <c r="AD73" s="234"/>
      <c r="AE73" s="247">
        <f t="shared" si="23"/>
        <v>78</v>
      </c>
      <c r="AF73" s="236"/>
      <c r="AG73" s="237">
        <f t="shared" si="24"/>
        <v>78</v>
      </c>
      <c r="AH73" s="229"/>
    </row>
    <row r="74" spans="1:34" s="227" customFormat="1" ht="13.5" customHeight="1" x14ac:dyDescent="0.2">
      <c r="A74" s="227">
        <v>53</v>
      </c>
      <c r="B74" s="228">
        <v>55</v>
      </c>
      <c r="C74" s="235"/>
      <c r="D74" s="235"/>
      <c r="E74" s="251"/>
      <c r="F74" s="235">
        <v>20</v>
      </c>
      <c r="G74" s="235"/>
      <c r="H74" s="239"/>
      <c r="I74" s="235"/>
      <c r="J74" s="235"/>
      <c r="K74" s="235"/>
      <c r="L74" s="239"/>
      <c r="M74" s="235"/>
      <c r="N74" s="234"/>
      <c r="O74" s="239"/>
      <c r="P74" s="239"/>
      <c r="Q74" s="235"/>
      <c r="R74" s="235"/>
      <c r="S74" s="235"/>
      <c r="T74" s="234"/>
      <c r="U74" s="234"/>
      <c r="V74" s="234"/>
      <c r="W74" s="234"/>
      <c r="X74" s="234"/>
      <c r="Y74" s="236"/>
      <c r="Z74" s="236"/>
      <c r="AA74" s="236"/>
      <c r="AB74" s="235"/>
      <c r="AC74" s="235"/>
      <c r="AD74" s="234"/>
      <c r="AE74" s="247">
        <f t="shared" si="23"/>
        <v>20</v>
      </c>
      <c r="AF74" s="236"/>
      <c r="AG74" s="237">
        <f t="shared" si="24"/>
        <v>20</v>
      </c>
      <c r="AH74" s="229"/>
    </row>
    <row r="75" spans="1:34" s="227" customFormat="1" ht="13.5" customHeight="1" x14ac:dyDescent="0.2">
      <c r="A75" s="227">
        <v>54</v>
      </c>
      <c r="B75" s="228">
        <v>56</v>
      </c>
      <c r="C75" s="235"/>
      <c r="D75" s="235"/>
      <c r="E75" s="251"/>
      <c r="F75" s="235">
        <v>5</v>
      </c>
      <c r="G75" s="235"/>
      <c r="H75" s="239"/>
      <c r="I75" s="235"/>
      <c r="J75" s="235"/>
      <c r="K75" s="235"/>
      <c r="L75" s="239"/>
      <c r="M75" s="235"/>
      <c r="N75" s="234"/>
      <c r="O75" s="239"/>
      <c r="P75" s="239"/>
      <c r="Q75" s="235"/>
      <c r="R75" s="235"/>
      <c r="S75" s="235"/>
      <c r="T75" s="234"/>
      <c r="U75" s="234"/>
      <c r="V75" s="234"/>
      <c r="W75" s="234"/>
      <c r="X75" s="234"/>
      <c r="Y75" s="236"/>
      <c r="Z75" s="236"/>
      <c r="AA75" s="236"/>
      <c r="AB75" s="235"/>
      <c r="AC75" s="235"/>
      <c r="AD75" s="234"/>
      <c r="AE75" s="247">
        <f t="shared" si="23"/>
        <v>5</v>
      </c>
      <c r="AF75" s="236"/>
      <c r="AG75" s="237">
        <f t="shared" si="24"/>
        <v>5</v>
      </c>
      <c r="AH75" s="229"/>
    </row>
    <row r="76" spans="1:34" s="227" customFormat="1" ht="13.5" customHeight="1" x14ac:dyDescent="0.2">
      <c r="A76" s="227">
        <v>55</v>
      </c>
      <c r="B76" s="228">
        <v>57</v>
      </c>
      <c r="C76" s="235"/>
      <c r="D76" s="235"/>
      <c r="E76" s="251"/>
      <c r="F76" s="235"/>
      <c r="G76" s="235"/>
      <c r="H76" s="239"/>
      <c r="I76" s="235"/>
      <c r="J76" s="235"/>
      <c r="K76" s="235"/>
      <c r="L76" s="239"/>
      <c r="M76" s="235"/>
      <c r="N76" s="234"/>
      <c r="O76" s="239"/>
      <c r="P76" s="239"/>
      <c r="Q76" s="235"/>
      <c r="R76" s="235"/>
      <c r="S76" s="235"/>
      <c r="T76" s="234"/>
      <c r="U76" s="234"/>
      <c r="V76" s="234"/>
      <c r="W76" s="234"/>
      <c r="X76" s="234"/>
      <c r="Y76" s="236"/>
      <c r="Z76" s="236"/>
      <c r="AA76" s="236"/>
      <c r="AB76" s="235"/>
      <c r="AC76" s="235"/>
      <c r="AD76" s="234"/>
      <c r="AE76" s="247">
        <f t="shared" si="23"/>
        <v>0</v>
      </c>
      <c r="AF76" s="236"/>
      <c r="AG76" s="237">
        <f t="shared" si="24"/>
        <v>0</v>
      </c>
      <c r="AH76" s="229"/>
    </row>
    <row r="77" spans="1:34" s="227" customFormat="1" ht="13.5" customHeight="1" x14ac:dyDescent="0.2">
      <c r="A77" s="227">
        <v>56</v>
      </c>
      <c r="B77" s="228">
        <v>58</v>
      </c>
      <c r="C77" s="235"/>
      <c r="D77" s="235">
        <v>16</v>
      </c>
      <c r="E77" s="251"/>
      <c r="F77" s="235"/>
      <c r="G77" s="235"/>
      <c r="H77" s="239"/>
      <c r="I77" s="235"/>
      <c r="J77" s="235"/>
      <c r="K77" s="235"/>
      <c r="L77" s="239"/>
      <c r="M77" s="235"/>
      <c r="N77" s="234"/>
      <c r="O77" s="239"/>
      <c r="P77" s="239"/>
      <c r="Q77" s="235"/>
      <c r="R77" s="235"/>
      <c r="S77" s="235"/>
      <c r="T77" s="234"/>
      <c r="U77" s="234"/>
      <c r="V77" s="234"/>
      <c r="W77" s="234"/>
      <c r="X77" s="234"/>
      <c r="Y77" s="236"/>
      <c r="Z77" s="236"/>
      <c r="AA77" s="236"/>
      <c r="AB77" s="235"/>
      <c r="AC77" s="235"/>
      <c r="AD77" s="234"/>
      <c r="AE77" s="247">
        <f t="shared" si="23"/>
        <v>16</v>
      </c>
      <c r="AF77" s="236"/>
      <c r="AG77" s="237">
        <f t="shared" si="24"/>
        <v>16</v>
      </c>
      <c r="AH77" s="229"/>
    </row>
    <row r="78" spans="1:34" s="227" customFormat="1" ht="13.5" customHeight="1" x14ac:dyDescent="0.2">
      <c r="A78" s="227">
        <v>57</v>
      </c>
      <c r="B78" s="228">
        <v>59</v>
      </c>
      <c r="C78" s="235"/>
      <c r="D78" s="235"/>
      <c r="E78" s="251"/>
      <c r="F78" s="235"/>
      <c r="G78" s="235"/>
      <c r="H78" s="239"/>
      <c r="I78" s="235"/>
      <c r="J78" s="235"/>
      <c r="K78" s="235"/>
      <c r="L78" s="239"/>
      <c r="M78" s="235"/>
      <c r="N78" s="234"/>
      <c r="O78" s="239"/>
      <c r="P78" s="239"/>
      <c r="Q78" s="235"/>
      <c r="R78" s="235"/>
      <c r="S78" s="235"/>
      <c r="T78" s="234"/>
      <c r="U78" s="234"/>
      <c r="V78" s="234"/>
      <c r="W78" s="234"/>
      <c r="X78" s="234"/>
      <c r="Y78" s="236"/>
      <c r="Z78" s="236"/>
      <c r="AA78" s="236"/>
      <c r="AB78" s="235"/>
      <c r="AC78" s="235"/>
      <c r="AD78" s="234"/>
      <c r="AE78" s="247">
        <f t="shared" si="23"/>
        <v>0</v>
      </c>
      <c r="AF78" s="236"/>
      <c r="AG78" s="237">
        <f t="shared" si="24"/>
        <v>0</v>
      </c>
      <c r="AH78" s="229"/>
    </row>
    <row r="79" spans="1:34" s="227" customFormat="1" ht="13.5" customHeight="1" x14ac:dyDescent="0.2">
      <c r="A79" s="227">
        <v>58</v>
      </c>
      <c r="B79" s="228">
        <v>60</v>
      </c>
      <c r="C79" s="235"/>
      <c r="D79" s="235"/>
      <c r="E79" s="251"/>
      <c r="F79" s="235"/>
      <c r="G79" s="235"/>
      <c r="H79" s="239"/>
      <c r="I79" s="235"/>
      <c r="J79" s="235"/>
      <c r="K79" s="235"/>
      <c r="L79" s="239"/>
      <c r="M79" s="235"/>
      <c r="N79" s="234"/>
      <c r="O79" s="235"/>
      <c r="P79" s="239"/>
      <c r="Q79" s="235"/>
      <c r="R79" s="235"/>
      <c r="S79" s="235"/>
      <c r="T79" s="235"/>
      <c r="U79" s="234"/>
      <c r="V79" s="234"/>
      <c r="W79" s="234"/>
      <c r="X79" s="234"/>
      <c r="Y79" s="236"/>
      <c r="Z79" s="236"/>
      <c r="AA79" s="236"/>
      <c r="AB79" s="235"/>
      <c r="AC79" s="235"/>
      <c r="AD79" s="234"/>
      <c r="AE79" s="247">
        <f t="shared" si="23"/>
        <v>0</v>
      </c>
      <c r="AF79" s="236"/>
      <c r="AG79" s="237">
        <f t="shared" si="24"/>
        <v>0</v>
      </c>
      <c r="AH79" s="229"/>
    </row>
    <row r="80" spans="1:34" s="227" customFormat="1" ht="13.5" customHeight="1" x14ac:dyDescent="0.2">
      <c r="A80" s="227">
        <v>59</v>
      </c>
      <c r="B80" s="228">
        <v>61</v>
      </c>
      <c r="C80" s="235"/>
      <c r="D80" s="235"/>
      <c r="E80" s="251"/>
      <c r="F80" s="235">
        <v>235</v>
      </c>
      <c r="G80" s="235"/>
      <c r="H80" s="239"/>
      <c r="I80" s="235"/>
      <c r="J80" s="235"/>
      <c r="K80" s="235"/>
      <c r="L80" s="239"/>
      <c r="M80" s="235"/>
      <c r="N80" s="234"/>
      <c r="O80" s="239"/>
      <c r="P80" s="239"/>
      <c r="Q80" s="235"/>
      <c r="R80" s="235"/>
      <c r="S80" s="235"/>
      <c r="T80" s="235"/>
      <c r="U80" s="234"/>
      <c r="V80" s="234"/>
      <c r="W80" s="234"/>
      <c r="X80" s="234"/>
      <c r="Y80" s="236"/>
      <c r="Z80" s="236"/>
      <c r="AA80" s="236"/>
      <c r="AB80" s="235"/>
      <c r="AC80" s="235"/>
      <c r="AD80" s="234"/>
      <c r="AE80" s="247">
        <f t="shared" si="23"/>
        <v>235</v>
      </c>
      <c r="AF80" s="236"/>
      <c r="AG80" s="237">
        <f t="shared" si="24"/>
        <v>235</v>
      </c>
      <c r="AH80" s="229"/>
    </row>
    <row r="81" spans="1:34" s="227" customFormat="1" ht="13.5" customHeight="1" x14ac:dyDescent="0.2">
      <c r="A81" s="227">
        <v>60</v>
      </c>
      <c r="B81" s="228">
        <v>62</v>
      </c>
      <c r="C81" s="234"/>
      <c r="D81" s="234"/>
      <c r="E81" s="251"/>
      <c r="F81" s="234">
        <v>310</v>
      </c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6"/>
      <c r="Z81" s="236"/>
      <c r="AA81" s="236"/>
      <c r="AB81" s="234"/>
      <c r="AC81" s="234"/>
      <c r="AD81" s="234"/>
      <c r="AE81" s="247">
        <f t="shared" si="23"/>
        <v>310</v>
      </c>
      <c r="AF81" s="236"/>
      <c r="AG81" s="237">
        <f t="shared" si="24"/>
        <v>310</v>
      </c>
      <c r="AH81" s="229"/>
    </row>
    <row r="82" spans="1:34" s="227" customFormat="1" ht="13.5" customHeight="1" x14ac:dyDescent="0.2">
      <c r="A82" s="227">
        <v>61</v>
      </c>
      <c r="B82" s="228">
        <v>63</v>
      </c>
      <c r="C82" s="234"/>
      <c r="D82" s="234"/>
      <c r="E82" s="251"/>
      <c r="F82" s="234">
        <v>326</v>
      </c>
      <c r="G82" s="234"/>
      <c r="H82" s="234"/>
      <c r="I82" s="234"/>
      <c r="J82" s="234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6"/>
      <c r="Z82" s="236"/>
      <c r="AA82" s="236"/>
      <c r="AB82" s="234"/>
      <c r="AC82" s="234"/>
      <c r="AD82" s="234"/>
      <c r="AE82" s="247">
        <f t="shared" si="23"/>
        <v>326</v>
      </c>
      <c r="AF82" s="236"/>
      <c r="AG82" s="237">
        <f t="shared" si="24"/>
        <v>326</v>
      </c>
      <c r="AH82" s="229"/>
    </row>
    <row r="83" spans="1:34" s="227" customFormat="1" ht="13.5" customHeight="1" x14ac:dyDescent="0.2">
      <c r="A83" s="227">
        <v>62</v>
      </c>
      <c r="B83" s="228">
        <v>64</v>
      </c>
      <c r="C83" s="234"/>
      <c r="D83" s="234"/>
      <c r="E83" s="251"/>
      <c r="F83" s="234">
        <v>200</v>
      </c>
      <c r="G83" s="234"/>
      <c r="H83" s="234"/>
      <c r="I83" s="234"/>
      <c r="J83" s="234"/>
      <c r="K83" s="234"/>
      <c r="L83" s="234"/>
      <c r="M83" s="234"/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236"/>
      <c r="Z83" s="236"/>
      <c r="AA83" s="236"/>
      <c r="AB83" s="234"/>
      <c r="AC83" s="234"/>
      <c r="AD83" s="234"/>
      <c r="AE83" s="247">
        <f t="shared" si="23"/>
        <v>200</v>
      </c>
      <c r="AF83" s="236"/>
      <c r="AG83" s="237">
        <f t="shared" si="24"/>
        <v>200</v>
      </c>
      <c r="AH83" s="229"/>
    </row>
    <row r="84" spans="1:34" s="227" customFormat="1" ht="13.5" customHeight="1" x14ac:dyDescent="0.2">
      <c r="A84" s="227">
        <v>63</v>
      </c>
      <c r="B84" s="228">
        <v>65</v>
      </c>
      <c r="C84" s="234"/>
      <c r="D84" s="234"/>
      <c r="E84" s="251"/>
      <c r="F84" s="234"/>
      <c r="G84" s="234"/>
      <c r="H84" s="234"/>
      <c r="I84" s="234"/>
      <c r="J84" s="234"/>
      <c r="K84" s="234"/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6"/>
      <c r="Z84" s="236"/>
      <c r="AA84" s="236"/>
      <c r="AB84" s="234"/>
      <c r="AC84" s="234"/>
      <c r="AD84" s="234"/>
      <c r="AE84" s="247">
        <f t="shared" si="23"/>
        <v>0</v>
      </c>
      <c r="AF84" s="236"/>
      <c r="AG84" s="237">
        <f t="shared" si="24"/>
        <v>0</v>
      </c>
      <c r="AH84" s="229"/>
    </row>
    <row r="85" spans="1:34" s="227" customFormat="1" ht="22.5" customHeight="1" x14ac:dyDescent="0.2">
      <c r="A85" s="227">
        <v>0</v>
      </c>
      <c r="B85" s="231" t="s">
        <v>634</v>
      </c>
      <c r="C85" s="232">
        <v>30</v>
      </c>
      <c r="D85" s="232">
        <v>0</v>
      </c>
      <c r="E85" s="232">
        <v>0</v>
      </c>
      <c r="F85" s="232">
        <v>0</v>
      </c>
      <c r="G85" s="232">
        <v>0</v>
      </c>
      <c r="H85" s="232">
        <v>0</v>
      </c>
      <c r="I85" s="232">
        <v>0</v>
      </c>
      <c r="J85" s="232">
        <v>13</v>
      </c>
      <c r="K85" s="232">
        <v>10</v>
      </c>
      <c r="L85" s="232">
        <v>0</v>
      </c>
      <c r="M85" s="232">
        <v>0</v>
      </c>
      <c r="N85" s="232">
        <v>0</v>
      </c>
      <c r="O85" s="232">
        <v>0</v>
      </c>
      <c r="P85" s="232">
        <v>0</v>
      </c>
      <c r="Q85" s="232">
        <v>0</v>
      </c>
      <c r="R85" s="232">
        <v>0</v>
      </c>
      <c r="S85" s="232">
        <v>0</v>
      </c>
      <c r="T85" s="232">
        <v>0</v>
      </c>
      <c r="U85" s="232">
        <v>0</v>
      </c>
      <c r="V85" s="232">
        <v>0</v>
      </c>
      <c r="W85" s="232">
        <v>0</v>
      </c>
      <c r="X85" s="232">
        <v>0</v>
      </c>
      <c r="Y85" s="232">
        <v>0</v>
      </c>
      <c r="Z85" s="232">
        <v>0</v>
      </c>
      <c r="AA85" s="232">
        <v>0</v>
      </c>
      <c r="AB85" s="232">
        <v>0</v>
      </c>
      <c r="AC85" s="232">
        <v>0</v>
      </c>
      <c r="AD85" s="232">
        <v>0</v>
      </c>
      <c r="AE85" s="232">
        <f t="shared" ref="AE85:AG85" si="25">AE86+AE87</f>
        <v>53</v>
      </c>
      <c r="AF85" s="232">
        <f t="shared" si="25"/>
        <v>0</v>
      </c>
      <c r="AG85" s="232">
        <f t="shared" si="25"/>
        <v>53</v>
      </c>
      <c r="AH85" s="229"/>
    </row>
    <row r="86" spans="1:34" s="227" customFormat="1" ht="13.5" customHeight="1" x14ac:dyDescent="0.2">
      <c r="A86" s="227">
        <v>65</v>
      </c>
      <c r="B86" s="228">
        <v>66</v>
      </c>
      <c r="C86" s="235">
        <v>20</v>
      </c>
      <c r="D86" s="235"/>
      <c r="E86" s="235"/>
      <c r="F86" s="235"/>
      <c r="G86" s="235"/>
      <c r="H86" s="239"/>
      <c r="I86" s="235"/>
      <c r="J86" s="235">
        <v>13</v>
      </c>
      <c r="K86" s="235">
        <v>10</v>
      </c>
      <c r="L86" s="239"/>
      <c r="M86" s="235"/>
      <c r="N86" s="234"/>
      <c r="O86" s="239"/>
      <c r="P86" s="239"/>
      <c r="Q86" s="235"/>
      <c r="R86" s="235"/>
      <c r="S86" s="235"/>
      <c r="T86" s="235"/>
      <c r="U86" s="234"/>
      <c r="V86" s="234"/>
      <c r="W86" s="234"/>
      <c r="X86" s="234"/>
      <c r="Y86" s="236"/>
      <c r="Z86" s="236"/>
      <c r="AA86" s="236"/>
      <c r="AB86" s="235"/>
      <c r="AC86" s="235"/>
      <c r="AD86" s="234"/>
      <c r="AE86" s="247">
        <f>C86+D86+E86+F86+G86+H86+I86+J86+K86+L86+M86+N86+O86+P86+Q86+R86+S86+T86+U86+V86+W86+X86+Y86+Z86+AA86+AB86+AC86+AD86</f>
        <v>43</v>
      </c>
      <c r="AF86" s="236"/>
      <c r="AG86" s="237">
        <f>AE86+AF86</f>
        <v>43</v>
      </c>
      <c r="AH86" s="229"/>
    </row>
    <row r="87" spans="1:34" s="240" customFormat="1" ht="13.5" customHeight="1" x14ac:dyDescent="0.2">
      <c r="A87" s="240">
        <v>66</v>
      </c>
      <c r="B87" s="254">
        <v>67</v>
      </c>
      <c r="C87" s="235">
        <v>10</v>
      </c>
      <c r="D87" s="235"/>
      <c r="E87" s="235"/>
      <c r="F87" s="235"/>
      <c r="G87" s="235"/>
      <c r="H87" s="239"/>
      <c r="I87" s="235"/>
      <c r="J87" s="235"/>
      <c r="K87" s="235"/>
      <c r="L87" s="239"/>
      <c r="M87" s="235"/>
      <c r="N87" s="234"/>
      <c r="O87" s="239"/>
      <c r="P87" s="239"/>
      <c r="Q87" s="235"/>
      <c r="R87" s="235"/>
      <c r="S87" s="235"/>
      <c r="T87" s="235"/>
      <c r="U87" s="234"/>
      <c r="V87" s="234"/>
      <c r="W87" s="234"/>
      <c r="X87" s="234"/>
      <c r="Y87" s="236"/>
      <c r="Z87" s="236"/>
      <c r="AA87" s="236"/>
      <c r="AB87" s="235"/>
      <c r="AC87" s="235"/>
      <c r="AD87" s="234"/>
      <c r="AE87" s="247">
        <f>C87+D87+E87+F87+G87+H87+I87+J87+K87+L87+M87+N87+O87+P87+Q87+R87+S87+T87+U87+V87+W87+X87+Y87+Z87+AA87+AB87+AC87+AD87</f>
        <v>10</v>
      </c>
      <c r="AF87" s="236"/>
      <c r="AG87" s="237">
        <f>AE87+AF87</f>
        <v>10</v>
      </c>
      <c r="AH87" s="242"/>
    </row>
    <row r="88" spans="1:34" s="227" customFormat="1" ht="22.5" customHeight="1" x14ac:dyDescent="0.2">
      <c r="A88" s="227">
        <v>0</v>
      </c>
      <c r="B88" s="231" t="s">
        <v>635</v>
      </c>
      <c r="C88" s="232">
        <v>384</v>
      </c>
      <c r="D88" s="232">
        <v>220</v>
      </c>
      <c r="E88" s="232">
        <v>0</v>
      </c>
      <c r="F88" s="232">
        <v>0</v>
      </c>
      <c r="G88" s="232">
        <v>0</v>
      </c>
      <c r="H88" s="232">
        <v>0</v>
      </c>
      <c r="I88" s="232">
        <v>300</v>
      </c>
      <c r="J88" s="232">
        <v>79</v>
      </c>
      <c r="K88" s="232">
        <v>238</v>
      </c>
      <c r="L88" s="232">
        <v>0</v>
      </c>
      <c r="M88" s="232">
        <v>100</v>
      </c>
      <c r="N88" s="232">
        <v>220</v>
      </c>
      <c r="O88" s="232">
        <v>225</v>
      </c>
      <c r="P88" s="232">
        <v>0</v>
      </c>
      <c r="Q88" s="232">
        <v>30</v>
      </c>
      <c r="R88" s="232">
        <v>35</v>
      </c>
      <c r="S88" s="232">
        <v>91</v>
      </c>
      <c r="T88" s="232">
        <v>45</v>
      </c>
      <c r="U88" s="232">
        <v>0</v>
      </c>
      <c r="V88" s="232">
        <v>20</v>
      </c>
      <c r="W88" s="232">
        <v>10</v>
      </c>
      <c r="X88" s="232">
        <v>0</v>
      </c>
      <c r="Y88" s="232">
        <v>0</v>
      </c>
      <c r="Z88" s="232">
        <v>0</v>
      </c>
      <c r="AA88" s="232">
        <v>0</v>
      </c>
      <c r="AB88" s="232">
        <v>0</v>
      </c>
      <c r="AC88" s="232">
        <v>0</v>
      </c>
      <c r="AD88" s="232">
        <v>36</v>
      </c>
      <c r="AE88" s="232">
        <f t="shared" ref="AE88:AF88" si="26">SUM(AE89:AE97)</f>
        <v>2033</v>
      </c>
      <c r="AF88" s="232">
        <f t="shared" si="26"/>
        <v>0</v>
      </c>
      <c r="AG88" s="232">
        <f>SUM(AG89:AG97)</f>
        <v>2033</v>
      </c>
      <c r="AH88" s="229"/>
    </row>
    <row r="89" spans="1:34" s="227" customFormat="1" ht="13.5" customHeight="1" x14ac:dyDescent="0.2">
      <c r="A89" s="227">
        <v>67</v>
      </c>
      <c r="B89" s="255">
        <v>68</v>
      </c>
      <c r="C89" s="234">
        <v>80</v>
      </c>
      <c r="D89" s="234">
        <v>45</v>
      </c>
      <c r="E89" s="234"/>
      <c r="F89" s="234"/>
      <c r="G89" s="234"/>
      <c r="H89" s="234"/>
      <c r="I89" s="234">
        <v>44</v>
      </c>
      <c r="J89" s="234">
        <v>70</v>
      </c>
      <c r="K89" s="234">
        <v>208</v>
      </c>
      <c r="L89" s="234"/>
      <c r="M89" s="234">
        <v>55</v>
      </c>
      <c r="N89" s="234">
        <v>20</v>
      </c>
      <c r="O89" s="234">
        <v>65</v>
      </c>
      <c r="P89" s="234"/>
      <c r="Q89" s="234">
        <v>20</v>
      </c>
      <c r="R89" s="234"/>
      <c r="S89" s="234">
        <v>41</v>
      </c>
      <c r="T89" s="234">
        <v>5</v>
      </c>
      <c r="U89" s="234"/>
      <c r="V89" s="234"/>
      <c r="W89" s="234"/>
      <c r="X89" s="234"/>
      <c r="Y89" s="236"/>
      <c r="Z89" s="236"/>
      <c r="AA89" s="236"/>
      <c r="AB89" s="234"/>
      <c r="AC89" s="234"/>
      <c r="AD89" s="234">
        <v>12</v>
      </c>
      <c r="AE89" s="247">
        <f t="shared" ref="AE89:AE99" si="27">C89+D89+E89+F89+G89+H89+I89+J89+K89+L89+M89+N89+O89+P89+Q89+R89+S89+T89+U89+V89+W89+X89+Y89+Z89+AA89+AB89+AC89+AD89</f>
        <v>665</v>
      </c>
      <c r="AF89" s="236"/>
      <c r="AG89" s="237">
        <f t="shared" ref="AG89:AG99" si="28">AE89+AF89</f>
        <v>665</v>
      </c>
      <c r="AH89" s="229"/>
    </row>
    <row r="90" spans="1:34" s="227" customFormat="1" ht="13.5" customHeight="1" x14ac:dyDescent="0.2">
      <c r="A90" s="227">
        <v>68</v>
      </c>
      <c r="B90" s="255">
        <v>69</v>
      </c>
      <c r="C90" s="248">
        <v>15</v>
      </c>
      <c r="D90" s="234">
        <v>36</v>
      </c>
      <c r="E90" s="234"/>
      <c r="F90" s="234"/>
      <c r="G90" s="234"/>
      <c r="H90" s="234"/>
      <c r="I90" s="234"/>
      <c r="J90" s="234">
        <v>3</v>
      </c>
      <c r="K90" s="248">
        <v>5</v>
      </c>
      <c r="L90" s="234"/>
      <c r="M90" s="234">
        <v>15</v>
      </c>
      <c r="N90" s="234"/>
      <c r="O90" s="234">
        <v>25</v>
      </c>
      <c r="P90" s="234"/>
      <c r="Q90" s="234">
        <v>10</v>
      </c>
      <c r="R90" s="234">
        <v>35</v>
      </c>
      <c r="S90" s="234">
        <v>50</v>
      </c>
      <c r="T90" s="234">
        <v>40</v>
      </c>
      <c r="U90" s="234"/>
      <c r="V90" s="234">
        <v>17</v>
      </c>
      <c r="W90" s="234">
        <v>5</v>
      </c>
      <c r="X90" s="234"/>
      <c r="Y90" s="236"/>
      <c r="Z90" s="236"/>
      <c r="AA90" s="236"/>
      <c r="AB90" s="234"/>
      <c r="AC90" s="234"/>
      <c r="AD90" s="234"/>
      <c r="AE90" s="247">
        <f t="shared" si="27"/>
        <v>256</v>
      </c>
      <c r="AF90" s="236"/>
      <c r="AG90" s="237">
        <f t="shared" si="28"/>
        <v>256</v>
      </c>
      <c r="AH90" s="229"/>
    </row>
    <row r="91" spans="1:34" s="227" customFormat="1" ht="13.5" customHeight="1" x14ac:dyDescent="0.2">
      <c r="A91" s="227">
        <v>69</v>
      </c>
      <c r="B91" s="255">
        <v>70</v>
      </c>
      <c r="C91" s="234"/>
      <c r="D91" s="234"/>
      <c r="E91" s="234"/>
      <c r="F91" s="234"/>
      <c r="G91" s="234"/>
      <c r="H91" s="234"/>
      <c r="I91" s="234"/>
      <c r="J91" s="234"/>
      <c r="K91" s="234"/>
      <c r="L91" s="234"/>
      <c r="M91" s="234">
        <v>15</v>
      </c>
      <c r="N91" s="234"/>
      <c r="O91" s="234">
        <v>12</v>
      </c>
      <c r="P91" s="234"/>
      <c r="Q91" s="234"/>
      <c r="R91" s="234"/>
      <c r="S91" s="234"/>
      <c r="T91" s="234"/>
      <c r="U91" s="234"/>
      <c r="V91" s="234"/>
      <c r="W91" s="234"/>
      <c r="X91" s="234"/>
      <c r="Y91" s="236"/>
      <c r="Z91" s="236"/>
      <c r="AA91" s="236"/>
      <c r="AB91" s="234"/>
      <c r="AC91" s="234"/>
      <c r="AD91" s="234">
        <v>24</v>
      </c>
      <c r="AE91" s="247">
        <f t="shared" si="27"/>
        <v>51</v>
      </c>
      <c r="AF91" s="236"/>
      <c r="AG91" s="237">
        <f t="shared" si="28"/>
        <v>51</v>
      </c>
      <c r="AH91" s="229"/>
    </row>
    <row r="92" spans="1:34" s="227" customFormat="1" ht="13.5" customHeight="1" x14ac:dyDescent="0.2">
      <c r="A92" s="227">
        <v>70</v>
      </c>
      <c r="B92" s="255">
        <v>71</v>
      </c>
      <c r="C92" s="248">
        <v>250</v>
      </c>
      <c r="D92" s="234">
        <v>102</v>
      </c>
      <c r="E92" s="234"/>
      <c r="F92" s="234"/>
      <c r="G92" s="234"/>
      <c r="H92" s="246"/>
      <c r="I92" s="234">
        <v>196</v>
      </c>
      <c r="J92" s="234"/>
      <c r="K92" s="234"/>
      <c r="L92" s="246"/>
      <c r="M92" s="234">
        <v>15</v>
      </c>
      <c r="N92" s="234">
        <v>176</v>
      </c>
      <c r="O92" s="234">
        <v>105</v>
      </c>
      <c r="P92" s="234"/>
      <c r="Q92" s="234"/>
      <c r="R92" s="234"/>
      <c r="S92" s="234"/>
      <c r="T92" s="234"/>
      <c r="U92" s="234"/>
      <c r="V92" s="234"/>
      <c r="W92" s="234">
        <v>5</v>
      </c>
      <c r="X92" s="234"/>
      <c r="Y92" s="236"/>
      <c r="Z92" s="236"/>
      <c r="AA92" s="236"/>
      <c r="AB92" s="234"/>
      <c r="AC92" s="234"/>
      <c r="AD92" s="234"/>
      <c r="AE92" s="247">
        <f t="shared" si="27"/>
        <v>849</v>
      </c>
      <c r="AF92" s="236"/>
      <c r="AG92" s="237">
        <f t="shared" si="28"/>
        <v>849</v>
      </c>
      <c r="AH92" s="229"/>
    </row>
    <row r="93" spans="1:34" s="227" customFormat="1" ht="13.5" customHeight="1" x14ac:dyDescent="0.2">
      <c r="A93" s="227">
        <v>71</v>
      </c>
      <c r="B93" s="255">
        <v>72</v>
      </c>
      <c r="C93" s="234"/>
      <c r="D93" s="234"/>
      <c r="E93" s="234"/>
      <c r="F93" s="234"/>
      <c r="G93" s="234"/>
      <c r="H93" s="234"/>
      <c r="I93" s="234"/>
      <c r="J93" s="234"/>
      <c r="K93" s="234">
        <v>10</v>
      </c>
      <c r="L93" s="234"/>
      <c r="M93" s="234"/>
      <c r="N93" s="234"/>
      <c r="O93" s="234"/>
      <c r="P93" s="234"/>
      <c r="Q93" s="234"/>
      <c r="R93" s="234"/>
      <c r="S93" s="234"/>
      <c r="T93" s="234"/>
      <c r="U93" s="234"/>
      <c r="V93" s="234"/>
      <c r="W93" s="234"/>
      <c r="X93" s="234"/>
      <c r="Y93" s="236"/>
      <c r="Z93" s="236"/>
      <c r="AA93" s="236"/>
      <c r="AB93" s="234"/>
      <c r="AC93" s="234"/>
      <c r="AD93" s="234"/>
      <c r="AE93" s="247">
        <f t="shared" si="27"/>
        <v>10</v>
      </c>
      <c r="AF93" s="236"/>
      <c r="AG93" s="237">
        <f t="shared" si="28"/>
        <v>10</v>
      </c>
      <c r="AH93" s="229"/>
    </row>
    <row r="94" spans="1:34" s="227" customFormat="1" ht="13.5" customHeight="1" x14ac:dyDescent="0.2">
      <c r="A94" s="227">
        <v>72</v>
      </c>
      <c r="B94" s="255">
        <v>73</v>
      </c>
      <c r="C94" s="234"/>
      <c r="D94" s="234"/>
      <c r="E94" s="234"/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6"/>
      <c r="Z94" s="236"/>
      <c r="AA94" s="236"/>
      <c r="AB94" s="234"/>
      <c r="AC94" s="234"/>
      <c r="AD94" s="234"/>
      <c r="AE94" s="247">
        <f t="shared" si="27"/>
        <v>0</v>
      </c>
      <c r="AF94" s="236"/>
      <c r="AG94" s="237">
        <f t="shared" si="28"/>
        <v>0</v>
      </c>
      <c r="AH94" s="229"/>
    </row>
    <row r="95" spans="1:34" s="240" customFormat="1" ht="13.5" customHeight="1" x14ac:dyDescent="0.2">
      <c r="A95" s="240">
        <v>73</v>
      </c>
      <c r="B95" s="255">
        <v>74</v>
      </c>
      <c r="C95" s="234">
        <v>9</v>
      </c>
      <c r="D95" s="234"/>
      <c r="E95" s="234"/>
      <c r="F95" s="234"/>
      <c r="G95" s="234"/>
      <c r="H95" s="234"/>
      <c r="I95" s="234"/>
      <c r="J95" s="234"/>
      <c r="K95" s="234"/>
      <c r="L95" s="234"/>
      <c r="M95" s="234"/>
      <c r="N95" s="234">
        <v>4</v>
      </c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6"/>
      <c r="Z95" s="236"/>
      <c r="AA95" s="236"/>
      <c r="AB95" s="234"/>
      <c r="AC95" s="234"/>
      <c r="AD95" s="234"/>
      <c r="AE95" s="247">
        <f t="shared" si="27"/>
        <v>13</v>
      </c>
      <c r="AF95" s="236"/>
      <c r="AG95" s="237">
        <f t="shared" si="28"/>
        <v>13</v>
      </c>
      <c r="AH95" s="242"/>
    </row>
    <row r="96" spans="1:34" s="227" customFormat="1" ht="13.5" customHeight="1" x14ac:dyDescent="0.2">
      <c r="B96" s="228">
        <v>75</v>
      </c>
      <c r="C96" s="234"/>
      <c r="D96" s="234"/>
      <c r="E96" s="234"/>
      <c r="F96" s="234"/>
      <c r="G96" s="234"/>
      <c r="H96" s="234"/>
      <c r="I96" s="234"/>
      <c r="J96" s="234"/>
      <c r="K96" s="234">
        <v>15</v>
      </c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6"/>
      <c r="Z96" s="236"/>
      <c r="AA96" s="236"/>
      <c r="AB96" s="234"/>
      <c r="AC96" s="234"/>
      <c r="AD96" s="234"/>
      <c r="AE96" s="247">
        <f t="shared" si="27"/>
        <v>15</v>
      </c>
      <c r="AF96" s="236"/>
      <c r="AG96" s="237">
        <f t="shared" si="28"/>
        <v>15</v>
      </c>
      <c r="AH96" s="229"/>
    </row>
    <row r="97" spans="1:34" s="227" customFormat="1" ht="13.5" customHeight="1" x14ac:dyDescent="0.2">
      <c r="B97" s="228">
        <v>76</v>
      </c>
      <c r="C97" s="234">
        <v>30</v>
      </c>
      <c r="D97" s="234">
        <v>37</v>
      </c>
      <c r="E97" s="234"/>
      <c r="F97" s="234"/>
      <c r="G97" s="234"/>
      <c r="H97" s="234"/>
      <c r="I97" s="234">
        <v>60</v>
      </c>
      <c r="J97" s="234">
        <v>6</v>
      </c>
      <c r="K97" s="234"/>
      <c r="L97" s="234"/>
      <c r="M97" s="234"/>
      <c r="N97" s="234">
        <v>20</v>
      </c>
      <c r="O97" s="234">
        <v>18</v>
      </c>
      <c r="P97" s="234"/>
      <c r="Q97" s="234"/>
      <c r="R97" s="234"/>
      <c r="S97" s="234"/>
      <c r="T97" s="234"/>
      <c r="U97" s="234"/>
      <c r="V97" s="234">
        <v>3</v>
      </c>
      <c r="W97" s="234"/>
      <c r="X97" s="234"/>
      <c r="Y97" s="236"/>
      <c r="Z97" s="236"/>
      <c r="AA97" s="236"/>
      <c r="AB97" s="234"/>
      <c r="AC97" s="234"/>
      <c r="AD97" s="234"/>
      <c r="AE97" s="247">
        <f t="shared" si="27"/>
        <v>174</v>
      </c>
      <c r="AF97" s="236"/>
      <c r="AG97" s="237">
        <f t="shared" si="28"/>
        <v>174</v>
      </c>
      <c r="AH97" s="229"/>
    </row>
    <row r="98" spans="1:34" s="230" customFormat="1" ht="25.5" customHeight="1" x14ac:dyDescent="0.2">
      <c r="B98" s="231" t="s">
        <v>563</v>
      </c>
      <c r="C98" s="256">
        <v>96</v>
      </c>
      <c r="D98" s="256">
        <v>0</v>
      </c>
      <c r="E98" s="256">
        <v>0</v>
      </c>
      <c r="F98" s="256">
        <v>0</v>
      </c>
      <c r="G98" s="256">
        <v>0</v>
      </c>
      <c r="H98" s="256">
        <v>0</v>
      </c>
      <c r="I98" s="256">
        <v>0</v>
      </c>
      <c r="J98" s="256">
        <v>0</v>
      </c>
      <c r="K98" s="256">
        <v>0</v>
      </c>
      <c r="L98" s="256">
        <v>0</v>
      </c>
      <c r="M98" s="256">
        <v>0</v>
      </c>
      <c r="N98" s="256">
        <v>0</v>
      </c>
      <c r="O98" s="256">
        <v>0</v>
      </c>
      <c r="P98" s="256">
        <v>0</v>
      </c>
      <c r="Q98" s="256">
        <v>0</v>
      </c>
      <c r="R98" s="256">
        <v>0</v>
      </c>
      <c r="S98" s="256">
        <v>0</v>
      </c>
      <c r="T98" s="256">
        <v>0</v>
      </c>
      <c r="U98" s="256">
        <v>0</v>
      </c>
      <c r="V98" s="256">
        <v>0</v>
      </c>
      <c r="W98" s="256">
        <v>0</v>
      </c>
      <c r="X98" s="256">
        <v>0</v>
      </c>
      <c r="Y98" s="257">
        <v>0</v>
      </c>
      <c r="Z98" s="257">
        <v>0</v>
      </c>
      <c r="AA98" s="257">
        <v>0</v>
      </c>
      <c r="AB98" s="256">
        <v>0</v>
      </c>
      <c r="AC98" s="256">
        <v>0</v>
      </c>
      <c r="AD98" s="256">
        <v>0</v>
      </c>
      <c r="AE98" s="232">
        <f>AE99</f>
        <v>96</v>
      </c>
      <c r="AF98" s="257"/>
      <c r="AG98" s="256">
        <f>AG99</f>
        <v>96</v>
      </c>
      <c r="AH98" s="233"/>
    </row>
    <row r="99" spans="1:34" s="227" customFormat="1" ht="13.5" customHeight="1" x14ac:dyDescent="0.2">
      <c r="B99" s="254">
        <v>77</v>
      </c>
      <c r="C99" s="234">
        <v>96</v>
      </c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6"/>
      <c r="Z99" s="236"/>
      <c r="AA99" s="236"/>
      <c r="AB99" s="234"/>
      <c r="AC99" s="234"/>
      <c r="AD99" s="234"/>
      <c r="AE99" s="247">
        <f t="shared" si="27"/>
        <v>96</v>
      </c>
      <c r="AF99" s="236"/>
      <c r="AG99" s="237">
        <f t="shared" si="28"/>
        <v>96</v>
      </c>
      <c r="AH99" s="229"/>
    </row>
    <row r="100" spans="1:34" s="227" customFormat="1" ht="22.5" customHeight="1" x14ac:dyDescent="0.2">
      <c r="A100" s="227">
        <v>0</v>
      </c>
      <c r="B100" s="231" t="s">
        <v>636</v>
      </c>
      <c r="C100" s="232">
        <v>188</v>
      </c>
      <c r="D100" s="232">
        <v>0</v>
      </c>
      <c r="E100" s="232">
        <v>0</v>
      </c>
      <c r="F100" s="232">
        <v>0</v>
      </c>
      <c r="G100" s="232">
        <v>0</v>
      </c>
      <c r="H100" s="232">
        <v>0</v>
      </c>
      <c r="I100" s="232">
        <v>0</v>
      </c>
      <c r="J100" s="232">
        <v>136</v>
      </c>
      <c r="K100" s="232">
        <v>40</v>
      </c>
      <c r="L100" s="232">
        <v>60</v>
      </c>
      <c r="M100" s="232">
        <v>0</v>
      </c>
      <c r="N100" s="232">
        <v>0</v>
      </c>
      <c r="O100" s="232">
        <v>15</v>
      </c>
      <c r="P100" s="232">
        <v>0</v>
      </c>
      <c r="Q100" s="232">
        <v>0</v>
      </c>
      <c r="R100" s="232">
        <v>0</v>
      </c>
      <c r="S100" s="232">
        <v>0</v>
      </c>
      <c r="T100" s="232">
        <v>0</v>
      </c>
      <c r="U100" s="232">
        <v>0</v>
      </c>
      <c r="V100" s="232">
        <v>0</v>
      </c>
      <c r="W100" s="232">
        <v>0</v>
      </c>
      <c r="X100" s="232">
        <v>0</v>
      </c>
      <c r="Y100" s="232">
        <v>0</v>
      </c>
      <c r="Z100" s="232">
        <v>0</v>
      </c>
      <c r="AA100" s="232">
        <v>0</v>
      </c>
      <c r="AB100" s="232">
        <v>46</v>
      </c>
      <c r="AC100" s="232">
        <v>0</v>
      </c>
      <c r="AD100" s="232">
        <v>22</v>
      </c>
      <c r="AE100" s="232">
        <f t="shared" ref="AE100:AG100" si="29">SUM(AE101:AE103)</f>
        <v>507</v>
      </c>
      <c r="AF100" s="232">
        <f t="shared" si="29"/>
        <v>0</v>
      </c>
      <c r="AG100" s="232">
        <f t="shared" si="29"/>
        <v>507</v>
      </c>
      <c r="AH100" s="229"/>
    </row>
    <row r="101" spans="1:34" s="227" customFormat="1" ht="13.5" customHeight="1" x14ac:dyDescent="0.2">
      <c r="A101" s="227">
        <v>74</v>
      </c>
      <c r="B101" s="228">
        <v>78</v>
      </c>
      <c r="C101" s="248">
        <v>158</v>
      </c>
      <c r="D101" s="234"/>
      <c r="E101" s="234"/>
      <c r="F101" s="234"/>
      <c r="G101" s="234"/>
      <c r="H101" s="234"/>
      <c r="I101" s="234"/>
      <c r="J101" s="234">
        <v>136</v>
      </c>
      <c r="K101" s="234">
        <v>40</v>
      </c>
      <c r="L101" s="234">
        <v>40</v>
      </c>
      <c r="M101" s="234"/>
      <c r="N101" s="234"/>
      <c r="O101" s="234">
        <v>15</v>
      </c>
      <c r="P101" s="234"/>
      <c r="Q101" s="234"/>
      <c r="R101" s="234"/>
      <c r="S101" s="234"/>
      <c r="T101" s="234"/>
      <c r="U101" s="234"/>
      <c r="V101" s="234"/>
      <c r="W101" s="234"/>
      <c r="X101" s="234"/>
      <c r="Y101" s="236"/>
      <c r="Z101" s="236"/>
      <c r="AA101" s="236"/>
      <c r="AB101" s="234">
        <v>46</v>
      </c>
      <c r="AC101" s="234"/>
      <c r="AD101" s="234">
        <v>22</v>
      </c>
      <c r="AE101" s="247">
        <f>C101+D101+E101+F101+G101+H101+I101+J101+K101+L101+M101+N101+O101+P101+Q101+R101+S101+T101+U101+V101+W101+X101+Y101+Z101+AA101+AB101+AC101+AD101</f>
        <v>457</v>
      </c>
      <c r="AF101" s="236"/>
      <c r="AG101" s="237">
        <f>AE101+AF101</f>
        <v>457</v>
      </c>
      <c r="AH101" s="229"/>
    </row>
    <row r="102" spans="1:34" s="227" customFormat="1" ht="13.5" customHeight="1" x14ac:dyDescent="0.2">
      <c r="A102" s="227">
        <v>75</v>
      </c>
      <c r="B102" s="228">
        <v>79</v>
      </c>
      <c r="C102" s="248">
        <v>30</v>
      </c>
      <c r="D102" s="234"/>
      <c r="E102" s="234"/>
      <c r="F102" s="234"/>
      <c r="G102" s="234"/>
      <c r="H102" s="234"/>
      <c r="I102" s="234"/>
      <c r="J102" s="234"/>
      <c r="K102" s="234"/>
      <c r="L102" s="234">
        <v>20</v>
      </c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6"/>
      <c r="Z102" s="236"/>
      <c r="AA102" s="236"/>
      <c r="AB102" s="234"/>
      <c r="AC102" s="234"/>
      <c r="AD102" s="234"/>
      <c r="AE102" s="247">
        <f>C102+D102+E102+F102+G102+H102+I102+J102+K102+L102+M102+N102+O102+P102+Q102+R102+S102+T102+U102+V102+W102+X102+Y102+Z102+AA102+AB102+AC102+AD102</f>
        <v>50</v>
      </c>
      <c r="AF102" s="236"/>
      <c r="AG102" s="237">
        <f>AE102+AF102</f>
        <v>50</v>
      </c>
      <c r="AH102" s="229"/>
    </row>
    <row r="103" spans="1:34" s="227" customFormat="1" ht="13.5" customHeight="1" x14ac:dyDescent="0.2">
      <c r="A103" s="227">
        <v>76</v>
      </c>
      <c r="B103" s="228">
        <v>80</v>
      </c>
      <c r="C103" s="248"/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6"/>
      <c r="Z103" s="236"/>
      <c r="AA103" s="236"/>
      <c r="AB103" s="234"/>
      <c r="AC103" s="234"/>
      <c r="AD103" s="234"/>
      <c r="AE103" s="247">
        <f>C103+D103+E103+F103+G103+H103+I103+J103+K103+L103+M103+N103+O103+P103+Q103+R103+S103+T103+U103+V103+W103+X103+Y103+Z103+AA103+AB103+AC103+AD103</f>
        <v>0</v>
      </c>
      <c r="AF103" s="236"/>
      <c r="AG103" s="237">
        <f>AE103+AF103</f>
        <v>0</v>
      </c>
      <c r="AH103" s="229"/>
    </row>
    <row r="104" spans="1:34" s="240" customFormat="1" ht="22.5" customHeight="1" x14ac:dyDescent="0.2">
      <c r="A104" s="240">
        <v>0</v>
      </c>
      <c r="B104" s="231" t="s">
        <v>637</v>
      </c>
      <c r="C104" s="256">
        <v>385</v>
      </c>
      <c r="D104" s="256">
        <v>20</v>
      </c>
      <c r="E104" s="256">
        <v>0</v>
      </c>
      <c r="F104" s="256">
        <v>0</v>
      </c>
      <c r="G104" s="256">
        <v>0</v>
      </c>
      <c r="H104" s="256">
        <v>0</v>
      </c>
      <c r="I104" s="256">
        <v>0</v>
      </c>
      <c r="J104" s="256">
        <v>17</v>
      </c>
      <c r="K104" s="256">
        <v>6</v>
      </c>
      <c r="L104" s="256">
        <v>0</v>
      </c>
      <c r="M104" s="256">
        <v>0</v>
      </c>
      <c r="N104" s="256">
        <v>0</v>
      </c>
      <c r="O104" s="256">
        <v>83</v>
      </c>
      <c r="P104" s="256">
        <v>0</v>
      </c>
      <c r="Q104" s="256">
        <v>0</v>
      </c>
      <c r="R104" s="256">
        <v>0</v>
      </c>
      <c r="S104" s="256">
        <v>0</v>
      </c>
      <c r="T104" s="256">
        <v>0</v>
      </c>
      <c r="U104" s="256">
        <v>0</v>
      </c>
      <c r="V104" s="256">
        <v>0</v>
      </c>
      <c r="W104" s="256">
        <v>0</v>
      </c>
      <c r="X104" s="256">
        <v>0</v>
      </c>
      <c r="Y104" s="257">
        <v>0</v>
      </c>
      <c r="Z104" s="257">
        <v>0</v>
      </c>
      <c r="AA104" s="257">
        <v>0</v>
      </c>
      <c r="AB104" s="256">
        <v>25</v>
      </c>
      <c r="AC104" s="256">
        <v>0</v>
      </c>
      <c r="AD104" s="256">
        <v>0</v>
      </c>
      <c r="AE104" s="232">
        <f t="shared" ref="AE104:AG104" si="30">SUM(AE105:AE108)</f>
        <v>536</v>
      </c>
      <c r="AF104" s="257">
        <f t="shared" si="30"/>
        <v>0</v>
      </c>
      <c r="AG104" s="256">
        <f t="shared" si="30"/>
        <v>536</v>
      </c>
      <c r="AH104" s="242"/>
    </row>
    <row r="105" spans="1:34" s="227" customFormat="1" ht="13.5" customHeight="1" x14ac:dyDescent="0.2">
      <c r="A105" s="227">
        <v>77</v>
      </c>
      <c r="B105" s="228">
        <v>81</v>
      </c>
      <c r="C105" s="248">
        <v>173</v>
      </c>
      <c r="D105" s="234">
        <v>20</v>
      </c>
      <c r="E105" s="234"/>
      <c r="F105" s="234"/>
      <c r="G105" s="234"/>
      <c r="H105" s="234"/>
      <c r="I105" s="234"/>
      <c r="J105" s="234">
        <v>15</v>
      </c>
      <c r="K105" s="234">
        <v>6</v>
      </c>
      <c r="L105" s="234"/>
      <c r="M105" s="234"/>
      <c r="N105" s="234"/>
      <c r="O105" s="234">
        <v>80</v>
      </c>
      <c r="P105" s="234"/>
      <c r="Q105" s="234"/>
      <c r="R105" s="234"/>
      <c r="S105" s="234"/>
      <c r="T105" s="234"/>
      <c r="U105" s="234"/>
      <c r="V105" s="234"/>
      <c r="W105" s="234"/>
      <c r="X105" s="234"/>
      <c r="Y105" s="236"/>
      <c r="Z105" s="236"/>
      <c r="AA105" s="236"/>
      <c r="AB105" s="234">
        <v>25</v>
      </c>
      <c r="AC105" s="234"/>
      <c r="AD105" s="234"/>
      <c r="AE105" s="247">
        <f>C105+D105+E105+F105+G105+H105+I105+J105+K105+L105+M105+N105+O105+P105+Q105+R105+S105+T105+U105+V105+W105+X105+Y105+Z105+AA105+AB105+AC105+AD105</f>
        <v>319</v>
      </c>
      <c r="AF105" s="236"/>
      <c r="AG105" s="237">
        <f>AE105+AF105</f>
        <v>319</v>
      </c>
      <c r="AH105" s="229"/>
    </row>
    <row r="106" spans="1:34" s="240" customFormat="1" ht="13.5" customHeight="1" x14ac:dyDescent="0.2">
      <c r="A106" s="240">
        <v>78</v>
      </c>
      <c r="B106" s="228">
        <v>82</v>
      </c>
      <c r="C106" s="248">
        <v>42</v>
      </c>
      <c r="D106" s="234"/>
      <c r="E106" s="234"/>
      <c r="F106" s="234"/>
      <c r="G106" s="234"/>
      <c r="H106" s="234"/>
      <c r="I106" s="234"/>
      <c r="J106" s="234">
        <v>2</v>
      </c>
      <c r="K106" s="234"/>
      <c r="L106" s="234"/>
      <c r="M106" s="234"/>
      <c r="N106" s="234"/>
      <c r="O106" s="234">
        <v>3</v>
      </c>
      <c r="P106" s="234"/>
      <c r="Q106" s="234"/>
      <c r="R106" s="234"/>
      <c r="S106" s="234"/>
      <c r="T106" s="234"/>
      <c r="U106" s="234"/>
      <c r="V106" s="234"/>
      <c r="W106" s="234"/>
      <c r="X106" s="234"/>
      <c r="Y106" s="236"/>
      <c r="Z106" s="236"/>
      <c r="AA106" s="236"/>
      <c r="AB106" s="234"/>
      <c r="AC106" s="234"/>
      <c r="AD106" s="234"/>
      <c r="AE106" s="247">
        <f>C106+D106+E106+F106+G106+H106+I106+J106+K106+L106+M106+N106+O106+P106+Q106+R106+S106+T106+U106+V106+W106+X106+Y106+Z106+AA106+AB106+AC106+AD106</f>
        <v>47</v>
      </c>
      <c r="AF106" s="236"/>
      <c r="AG106" s="237">
        <f>AE106+AF106</f>
        <v>47</v>
      </c>
      <c r="AH106" s="242"/>
    </row>
    <row r="107" spans="1:34" s="227" customFormat="1" ht="13.5" customHeight="1" x14ac:dyDescent="0.2">
      <c r="B107" s="228">
        <v>83</v>
      </c>
      <c r="C107" s="248">
        <v>170</v>
      </c>
      <c r="D107" s="234"/>
      <c r="E107" s="234"/>
      <c r="F107" s="234"/>
      <c r="G107" s="234"/>
      <c r="H107" s="234"/>
      <c r="I107" s="234"/>
      <c r="J107" s="234"/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6"/>
      <c r="Z107" s="236"/>
      <c r="AA107" s="236"/>
      <c r="AB107" s="234"/>
      <c r="AC107" s="234"/>
      <c r="AD107" s="234"/>
      <c r="AE107" s="247">
        <f>C107+D107+E107+F107+G107+H107+I107+J107+K107+L107+M107+N107+O107+P107+Q107+R107+S107+T107+U107+V107+W107+X107+Y107+Z107+AA107+AB107+AC107+AD107</f>
        <v>170</v>
      </c>
      <c r="AF107" s="236"/>
      <c r="AG107" s="237">
        <f>AE107+AF107</f>
        <v>170</v>
      </c>
      <c r="AH107" s="229"/>
    </row>
    <row r="108" spans="1:34" s="227" customFormat="1" ht="13.5" customHeight="1" x14ac:dyDescent="0.2">
      <c r="B108" s="228">
        <v>84</v>
      </c>
      <c r="C108" s="248"/>
      <c r="D108" s="234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6"/>
      <c r="Z108" s="236"/>
      <c r="AA108" s="236"/>
      <c r="AB108" s="234"/>
      <c r="AC108" s="234"/>
      <c r="AD108" s="234"/>
      <c r="AE108" s="247">
        <f>C108+D108+E108+F108+G108+H108+I108+J108+K108+L108+M108+N108+O108+P108+Q108+R108+S108+T108+U108+V108+W108+X108+Y108+Z108+AA108+AB108+AC108+AD108</f>
        <v>0</v>
      </c>
      <c r="AF108" s="236"/>
      <c r="AG108" s="237">
        <f>AE108+AF108</f>
        <v>0</v>
      </c>
      <c r="AH108" s="229"/>
    </row>
    <row r="109" spans="1:34" s="240" customFormat="1" ht="22.5" customHeight="1" x14ac:dyDescent="0.2">
      <c r="A109" s="240">
        <v>0</v>
      </c>
      <c r="B109" s="231" t="s">
        <v>638</v>
      </c>
      <c r="C109" s="232">
        <v>0</v>
      </c>
      <c r="D109" s="232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232">
        <v>65</v>
      </c>
      <c r="K109" s="232">
        <v>0</v>
      </c>
      <c r="L109" s="232">
        <v>0</v>
      </c>
      <c r="M109" s="232">
        <v>0</v>
      </c>
      <c r="N109" s="232">
        <v>0</v>
      </c>
      <c r="O109" s="232">
        <v>60</v>
      </c>
      <c r="P109" s="232">
        <v>0</v>
      </c>
      <c r="Q109" s="232">
        <v>0</v>
      </c>
      <c r="R109" s="232">
        <v>0</v>
      </c>
      <c r="S109" s="232">
        <v>20</v>
      </c>
      <c r="T109" s="232">
        <v>0</v>
      </c>
      <c r="U109" s="232">
        <v>0</v>
      </c>
      <c r="V109" s="232">
        <v>0</v>
      </c>
      <c r="W109" s="232">
        <v>0</v>
      </c>
      <c r="X109" s="232">
        <v>0</v>
      </c>
      <c r="Y109" s="232">
        <v>0</v>
      </c>
      <c r="Z109" s="232">
        <v>0</v>
      </c>
      <c r="AA109" s="232">
        <v>0</v>
      </c>
      <c r="AB109" s="232">
        <v>0</v>
      </c>
      <c r="AC109" s="232">
        <v>0</v>
      </c>
      <c r="AD109" s="232">
        <v>0</v>
      </c>
      <c r="AE109" s="232">
        <f t="shared" ref="AE109:AG109" si="31">AE110</f>
        <v>145</v>
      </c>
      <c r="AF109" s="232">
        <f t="shared" si="31"/>
        <v>0</v>
      </c>
      <c r="AG109" s="232">
        <f t="shared" si="31"/>
        <v>145</v>
      </c>
      <c r="AH109" s="242"/>
    </row>
    <row r="110" spans="1:34" ht="13.5" customHeight="1" x14ac:dyDescent="0.2">
      <c r="A110" s="215">
        <v>79</v>
      </c>
      <c r="B110" s="228">
        <v>85</v>
      </c>
      <c r="C110" s="234"/>
      <c r="D110" s="234"/>
      <c r="E110" s="234"/>
      <c r="F110" s="234"/>
      <c r="G110" s="234"/>
      <c r="H110" s="234"/>
      <c r="I110" s="234"/>
      <c r="J110" s="234">
        <v>65</v>
      </c>
      <c r="K110" s="234"/>
      <c r="L110" s="234"/>
      <c r="M110" s="234"/>
      <c r="N110" s="234"/>
      <c r="O110" s="234">
        <v>60</v>
      </c>
      <c r="P110" s="234"/>
      <c r="Q110" s="234"/>
      <c r="R110" s="234"/>
      <c r="S110" s="234">
        <v>20</v>
      </c>
      <c r="T110" s="234"/>
      <c r="U110" s="234"/>
      <c r="V110" s="234"/>
      <c r="W110" s="234"/>
      <c r="X110" s="234"/>
      <c r="Y110" s="236"/>
      <c r="Z110" s="236"/>
      <c r="AA110" s="236"/>
      <c r="AB110" s="234"/>
      <c r="AC110" s="234"/>
      <c r="AD110" s="234"/>
      <c r="AE110" s="247">
        <f>C110+D110+E110+F110+G110+H110+I110+J110+K110+L110+M110+N110+O110+P110+Q110+R110+S110+T110+U110+V110+W110+X110+Y110+Z110+AA110+AB110+AC110+AD110</f>
        <v>145</v>
      </c>
      <c r="AF110" s="236"/>
      <c r="AG110" s="237">
        <f>AE110+AF110</f>
        <v>145</v>
      </c>
    </row>
    <row r="111" spans="1:34" ht="22.5" customHeight="1" x14ac:dyDescent="0.2">
      <c r="A111" s="215">
        <v>0</v>
      </c>
      <c r="B111" s="231" t="s">
        <v>639</v>
      </c>
      <c r="C111" s="232">
        <v>20</v>
      </c>
      <c r="D111" s="232">
        <v>0</v>
      </c>
      <c r="E111" s="232">
        <v>0</v>
      </c>
      <c r="F111" s="232">
        <v>0</v>
      </c>
      <c r="G111" s="232">
        <v>0</v>
      </c>
      <c r="H111" s="232">
        <v>0</v>
      </c>
      <c r="I111" s="232">
        <v>0</v>
      </c>
      <c r="J111" s="232">
        <v>92</v>
      </c>
      <c r="K111" s="232">
        <v>0</v>
      </c>
      <c r="L111" s="232">
        <v>0</v>
      </c>
      <c r="M111" s="232">
        <v>0</v>
      </c>
      <c r="N111" s="232">
        <v>0</v>
      </c>
      <c r="O111" s="232">
        <v>24</v>
      </c>
      <c r="P111" s="232">
        <v>0</v>
      </c>
      <c r="Q111" s="232">
        <v>0</v>
      </c>
      <c r="R111" s="232">
        <v>0</v>
      </c>
      <c r="S111" s="232">
        <v>0</v>
      </c>
      <c r="T111" s="232">
        <v>0</v>
      </c>
      <c r="U111" s="232">
        <v>0</v>
      </c>
      <c r="V111" s="232">
        <v>0</v>
      </c>
      <c r="W111" s="232">
        <v>0</v>
      </c>
      <c r="X111" s="232">
        <v>0</v>
      </c>
      <c r="Y111" s="232">
        <v>0</v>
      </c>
      <c r="Z111" s="232">
        <v>0</v>
      </c>
      <c r="AA111" s="232">
        <v>0</v>
      </c>
      <c r="AB111" s="232">
        <v>0</v>
      </c>
      <c r="AC111" s="232">
        <v>0</v>
      </c>
      <c r="AD111" s="232">
        <v>0</v>
      </c>
      <c r="AE111" s="232">
        <f>SUM(AE112:AE114)</f>
        <v>136</v>
      </c>
      <c r="AF111" s="232">
        <f t="shared" ref="AF111:AG111" si="32">SUM(AF112:AF114)</f>
        <v>0</v>
      </c>
      <c r="AG111" s="232">
        <f t="shared" si="32"/>
        <v>136</v>
      </c>
    </row>
    <row r="112" spans="1:34" ht="13.5" customHeight="1" x14ac:dyDescent="0.2">
      <c r="A112" s="215">
        <v>80</v>
      </c>
      <c r="B112" s="228">
        <v>86</v>
      </c>
      <c r="C112" s="234">
        <v>20</v>
      </c>
      <c r="D112" s="234"/>
      <c r="E112" s="234"/>
      <c r="F112" s="234"/>
      <c r="G112" s="234"/>
      <c r="H112" s="234"/>
      <c r="I112" s="234"/>
      <c r="J112" s="234">
        <v>92</v>
      </c>
      <c r="K112" s="234"/>
      <c r="L112" s="234"/>
      <c r="M112" s="234"/>
      <c r="N112" s="234"/>
      <c r="O112" s="234">
        <v>24</v>
      </c>
      <c r="P112" s="234"/>
      <c r="Q112" s="234"/>
      <c r="R112" s="234"/>
      <c r="S112" s="234"/>
      <c r="T112" s="234"/>
      <c r="U112" s="234"/>
      <c r="V112" s="234"/>
      <c r="W112" s="234"/>
      <c r="X112" s="234"/>
      <c r="Y112" s="236"/>
      <c r="Z112" s="236"/>
      <c r="AA112" s="236"/>
      <c r="AB112" s="234"/>
      <c r="AC112" s="234"/>
      <c r="AD112" s="234"/>
      <c r="AE112" s="247">
        <f>C112+D112+E112+F112+G112+H112+I112+J112+K112+L112+M112+N112+O112+P112+Q112+R112+S112+T112+U112+V112+W112+X112+Y112+Z112+AA112+AB112+AC112+AD112</f>
        <v>136</v>
      </c>
      <c r="AF112" s="236"/>
      <c r="AG112" s="237">
        <f>AE112+AF112</f>
        <v>136</v>
      </c>
    </row>
    <row r="113" spans="1:36" ht="12.75" customHeight="1" x14ac:dyDescent="0.2">
      <c r="B113" s="228">
        <v>87</v>
      </c>
      <c r="C113" s="234"/>
      <c r="D113" s="234"/>
      <c r="E113" s="234"/>
      <c r="F113" s="234"/>
      <c r="G113" s="234"/>
      <c r="H113" s="234"/>
      <c r="I113" s="234"/>
      <c r="J113" s="234"/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6"/>
      <c r="Z113" s="236"/>
      <c r="AA113" s="236"/>
      <c r="AB113" s="234"/>
      <c r="AC113" s="234"/>
      <c r="AD113" s="234"/>
      <c r="AE113" s="247">
        <f>C113+D113+E113+F113+G113+H113+I113+J113+K113+L113+M113+N113+O113+P113+Q113+R113+S113+T113+U113+V113+W113+X113+Y113+Z113+AA113+AB113+AC113+AD113</f>
        <v>0</v>
      </c>
      <c r="AF113" s="236"/>
      <c r="AG113" s="237">
        <f>AE113+AF113</f>
        <v>0</v>
      </c>
    </row>
    <row r="114" spans="1:36" s="216" customFormat="1" ht="13.5" customHeight="1" x14ac:dyDescent="0.2">
      <c r="A114" s="215">
        <v>81</v>
      </c>
      <c r="B114" s="228">
        <v>88</v>
      </c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6"/>
      <c r="Z114" s="236"/>
      <c r="AA114" s="236"/>
      <c r="AB114" s="234"/>
      <c r="AC114" s="234"/>
      <c r="AD114" s="234"/>
      <c r="AE114" s="247">
        <f>C114+D114+E114+F114+G114+H114+I114+J114+K114+L114+M114+N114+O114+P114+Q114+R114+S114+T114+U114+V114+W114+X114+Y114+Z114+AA114+AB114+AC114+AD114</f>
        <v>0</v>
      </c>
      <c r="AF114" s="236"/>
      <c r="AG114" s="237">
        <f>AE114+AF114</f>
        <v>0</v>
      </c>
      <c r="AI114" s="215"/>
      <c r="AJ114" s="215"/>
    </row>
    <row r="115" spans="1:36" s="216" customFormat="1" ht="21.75" customHeight="1" x14ac:dyDescent="0.2">
      <c r="A115" s="215"/>
      <c r="B115" s="258" t="s">
        <v>44</v>
      </c>
      <c r="C115" s="259">
        <f>C6+C11+C13+C16+C18+C20+C23+C31+C34+C43+C47+C64+C66+C85+C88+C98+C100+C104+C109+C111+C55</f>
        <v>3006</v>
      </c>
      <c r="D115" s="259">
        <f t="shared" ref="D115:AG115" si="33">D6+D11+D13+D16+D18+D20+D23+D31+D34+D43+D47+D64+D66+D85+D88+D98+D100+D104+D109+D111+D55</f>
        <v>809</v>
      </c>
      <c r="E115" s="259">
        <f t="shared" si="33"/>
        <v>905</v>
      </c>
      <c r="F115" s="259">
        <f t="shared" si="33"/>
        <v>3632</v>
      </c>
      <c r="G115" s="259">
        <f t="shared" si="33"/>
        <v>1971</v>
      </c>
      <c r="H115" s="259">
        <f t="shared" si="33"/>
        <v>52</v>
      </c>
      <c r="I115" s="259">
        <f t="shared" si="33"/>
        <v>300</v>
      </c>
      <c r="J115" s="259">
        <f t="shared" si="33"/>
        <v>1266</v>
      </c>
      <c r="K115" s="259">
        <f t="shared" si="33"/>
        <v>440</v>
      </c>
      <c r="L115" s="259">
        <f t="shared" si="33"/>
        <v>1409</v>
      </c>
      <c r="M115" s="259">
        <f t="shared" si="33"/>
        <v>405</v>
      </c>
      <c r="N115" s="259">
        <f t="shared" si="33"/>
        <v>605</v>
      </c>
      <c r="O115" s="259">
        <f>O6+O11+O13+O16+O18+O20+O23+O31+O34+O43+O47+O64+O66+O85+O88+O98+O100+O104+O109+O111+O55</f>
        <v>840</v>
      </c>
      <c r="P115" s="259">
        <f t="shared" si="33"/>
        <v>100</v>
      </c>
      <c r="Q115" s="259">
        <f t="shared" si="33"/>
        <v>46</v>
      </c>
      <c r="R115" s="259">
        <f t="shared" si="33"/>
        <v>152</v>
      </c>
      <c r="S115" s="259">
        <f t="shared" si="33"/>
        <v>819</v>
      </c>
      <c r="T115" s="259">
        <f t="shared" si="33"/>
        <v>124</v>
      </c>
      <c r="U115" s="259">
        <f t="shared" si="33"/>
        <v>4</v>
      </c>
      <c r="V115" s="259">
        <f t="shared" si="33"/>
        <v>36</v>
      </c>
      <c r="W115" s="259">
        <f t="shared" si="33"/>
        <v>10</v>
      </c>
      <c r="X115" s="259">
        <f t="shared" si="33"/>
        <v>97</v>
      </c>
      <c r="Y115" s="259">
        <f t="shared" si="33"/>
        <v>130</v>
      </c>
      <c r="Z115" s="259">
        <f t="shared" si="33"/>
        <v>100</v>
      </c>
      <c r="AA115" s="259">
        <f t="shared" si="33"/>
        <v>0</v>
      </c>
      <c r="AB115" s="259">
        <f t="shared" si="33"/>
        <v>275</v>
      </c>
      <c r="AC115" s="259">
        <f t="shared" si="33"/>
        <v>114</v>
      </c>
      <c r="AD115" s="259">
        <f>AD6+AD11+AD13+AD16+AD18+AD20+AD23+AD31+AD34+AD43+AD47+AD64+AD66+AD85+AD88+AD98+AD100+AD104+AD109+AD111+AD55</f>
        <v>62</v>
      </c>
      <c r="AE115" s="259">
        <f t="shared" si="33"/>
        <v>17709</v>
      </c>
      <c r="AF115" s="259">
        <f t="shared" si="33"/>
        <v>0</v>
      </c>
      <c r="AG115" s="259">
        <f t="shared" si="33"/>
        <v>17709</v>
      </c>
      <c r="AI115" s="215"/>
      <c r="AJ115" s="215"/>
    </row>
  </sheetData>
  <mergeCells count="2">
    <mergeCell ref="B1:AF1"/>
    <mergeCell ref="B3:B4"/>
  </mergeCells>
  <pageMargins left="0.19685039370078741" right="0" top="0.19685039370078741" bottom="0" header="0.70866141732283472" footer="0.31496062992125984"/>
  <pageSetup paperSize="9" scale="63" fitToWidth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Z152"/>
  <sheetViews>
    <sheetView zoomScale="110" zoomScaleNormal="110" workbookViewId="0">
      <pane xSplit="3" ySplit="10" topLeftCell="K11" activePane="bottomRight" state="frozen"/>
      <selection pane="topRight" activeCell="D1" sqref="D1"/>
      <selection pane="bottomLeft" activeCell="A9" sqref="A9"/>
      <selection pane="bottomRight" activeCell="K84" sqref="K84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2.5703125" style="2" customWidth="1"/>
    <col min="4" max="4" width="8.85546875" style="5" customWidth="1"/>
    <col min="5" max="5" width="7.5703125" style="5" customWidth="1"/>
    <col min="6" max="6" width="11.140625" style="5" customWidth="1"/>
    <col min="7" max="7" width="12" style="5" customWidth="1"/>
    <col min="8" max="8" width="7" style="5" bestFit="1" customWidth="1"/>
    <col min="9" max="9" width="8.140625" style="5" customWidth="1"/>
    <col min="10" max="10" width="7.7109375" style="5" customWidth="1"/>
    <col min="11" max="11" width="8.7109375" style="5" customWidth="1"/>
    <col min="12" max="12" width="8.28515625" style="5" customWidth="1"/>
    <col min="13" max="13" width="8.85546875" style="5" customWidth="1"/>
    <col min="14" max="14" width="8.5703125" style="5" customWidth="1"/>
    <col min="15" max="15" width="9.7109375" style="5" bestFit="1" customWidth="1"/>
    <col min="16" max="16" width="8.28515625" style="5" customWidth="1"/>
    <col min="17" max="17" width="9.140625" style="5"/>
    <col min="18" max="18" width="12.7109375" style="5" customWidth="1"/>
    <col min="19" max="19" width="13" style="5" customWidth="1"/>
    <col min="20" max="20" width="12.7109375" style="5" customWidth="1"/>
    <col min="21" max="21" width="13.85546875" style="5" customWidth="1"/>
    <col min="22" max="22" width="13.28515625" style="5" customWidth="1"/>
    <col min="23" max="23" width="12.140625" style="5" customWidth="1"/>
    <col min="24" max="24" width="14.28515625" style="5" customWidth="1"/>
    <col min="25" max="16384" width="9.140625" style="5"/>
  </cols>
  <sheetData>
    <row r="2" spans="1:26" ht="15.75" customHeight="1" x14ac:dyDescent="0.25">
      <c r="A2" s="1143" t="s">
        <v>548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  <c r="R2" s="1143"/>
      <c r="S2" s="1143"/>
      <c r="T2" s="1143"/>
      <c r="U2" s="1143"/>
      <c r="V2" s="1143"/>
      <c r="W2" s="1143"/>
      <c r="X2" s="1143"/>
      <c r="Y2" s="1143"/>
      <c r="Z2" s="1143"/>
    </row>
    <row r="3" spans="1:26" x14ac:dyDescent="0.25">
      <c r="C3" s="6"/>
      <c r="E3" s="32"/>
      <c r="M3" s="1153"/>
      <c r="N3" s="1153"/>
      <c r="O3" s="1153"/>
    </row>
    <row r="4" spans="1:26" s="10" customFormat="1" ht="42" customHeight="1" x14ac:dyDescent="0.25">
      <c r="A4" s="1141" t="s">
        <v>0</v>
      </c>
      <c r="B4" s="1141" t="s">
        <v>1</v>
      </c>
      <c r="C4" s="1151" t="s">
        <v>2</v>
      </c>
      <c r="D4" s="1155" t="s">
        <v>509</v>
      </c>
      <c r="E4" s="1155"/>
      <c r="F4" s="1155"/>
      <c r="G4" s="1155"/>
      <c r="H4" s="1155"/>
      <c r="I4" s="1155"/>
      <c r="J4" s="1155"/>
      <c r="K4" s="1155"/>
      <c r="L4" s="1156" t="s">
        <v>510</v>
      </c>
      <c r="M4" s="1157"/>
      <c r="N4" s="1157"/>
      <c r="O4" s="1157"/>
      <c r="P4" s="1157"/>
      <c r="Q4" s="1157"/>
      <c r="R4" s="1162" t="s">
        <v>511</v>
      </c>
      <c r="S4" s="1162"/>
      <c r="T4" s="1162"/>
      <c r="U4" s="1162"/>
      <c r="V4" s="1162"/>
      <c r="W4" s="1162"/>
      <c r="X4" s="1162"/>
      <c r="Y4" s="1162"/>
      <c r="Z4" s="1162"/>
    </row>
    <row r="5" spans="1:26" s="10" customFormat="1" ht="68.25" customHeight="1" x14ac:dyDescent="0.25">
      <c r="A5" s="1147"/>
      <c r="B5" s="1147"/>
      <c r="C5" s="1154"/>
      <c r="D5" s="1164" t="s">
        <v>512</v>
      </c>
      <c r="E5" s="1164" t="s">
        <v>513</v>
      </c>
      <c r="F5" s="157" t="s">
        <v>717</v>
      </c>
      <c r="G5" s="157" t="s">
        <v>716</v>
      </c>
      <c r="H5" s="1164" t="s">
        <v>448</v>
      </c>
      <c r="I5" s="1164"/>
      <c r="J5" s="1164"/>
      <c r="K5" s="1165" t="s">
        <v>13</v>
      </c>
      <c r="L5" s="1159" t="s">
        <v>514</v>
      </c>
      <c r="M5" s="1159" t="s">
        <v>515</v>
      </c>
      <c r="N5" s="1159" t="s">
        <v>516</v>
      </c>
      <c r="O5" s="1159" t="s">
        <v>517</v>
      </c>
      <c r="P5" s="1159" t="s">
        <v>518</v>
      </c>
      <c r="Q5" s="1158" t="s">
        <v>13</v>
      </c>
      <c r="R5" s="1163" t="s">
        <v>519</v>
      </c>
      <c r="S5" s="1163" t="s">
        <v>520</v>
      </c>
      <c r="T5" s="1163" t="s">
        <v>521</v>
      </c>
      <c r="U5" s="1163" t="s">
        <v>522</v>
      </c>
      <c r="V5" s="1163" t="s">
        <v>523</v>
      </c>
      <c r="W5" s="1163" t="s">
        <v>524</v>
      </c>
      <c r="X5" s="1160" t="s">
        <v>525</v>
      </c>
      <c r="Y5" s="1161" t="s">
        <v>526</v>
      </c>
      <c r="Z5" s="1162" t="s">
        <v>13</v>
      </c>
    </row>
    <row r="6" spans="1:26" ht="60" customHeight="1" x14ac:dyDescent="0.25">
      <c r="A6" s="1142"/>
      <c r="B6" s="1142"/>
      <c r="C6" s="1152"/>
      <c r="D6" s="1164"/>
      <c r="E6" s="1164"/>
      <c r="F6" s="168" t="s">
        <v>527</v>
      </c>
      <c r="G6" s="168" t="s">
        <v>13</v>
      </c>
      <c r="H6" s="25" t="s">
        <v>528</v>
      </c>
      <c r="I6" s="166" t="s">
        <v>529</v>
      </c>
      <c r="J6" s="166" t="s">
        <v>530</v>
      </c>
      <c r="K6" s="1166"/>
      <c r="L6" s="1159"/>
      <c r="M6" s="1159"/>
      <c r="N6" s="1159"/>
      <c r="O6" s="1159"/>
      <c r="P6" s="1159"/>
      <c r="Q6" s="1158"/>
      <c r="R6" s="1163"/>
      <c r="S6" s="1163"/>
      <c r="T6" s="1163"/>
      <c r="U6" s="1163"/>
      <c r="V6" s="1163"/>
      <c r="W6" s="1163"/>
      <c r="X6" s="1160"/>
      <c r="Y6" s="1161"/>
      <c r="Z6" s="1162"/>
    </row>
    <row r="7" spans="1:26" x14ac:dyDescent="0.25">
      <c r="A7" s="1134" t="s">
        <v>13</v>
      </c>
      <c r="B7" s="1134"/>
      <c r="C7" s="1134"/>
      <c r="D7" s="171">
        <f>D8+D10+D9</f>
        <v>104720</v>
      </c>
      <c r="E7" s="171">
        <f t="shared" ref="E7:Z7" si="0">E8+E10+E9</f>
        <v>5314</v>
      </c>
      <c r="F7" s="171">
        <f t="shared" si="0"/>
        <v>14971</v>
      </c>
      <c r="G7" s="171">
        <f t="shared" si="0"/>
        <v>10675</v>
      </c>
      <c r="H7" s="171">
        <f t="shared" si="0"/>
        <v>8260</v>
      </c>
      <c r="I7" s="171">
        <f t="shared" si="0"/>
        <v>549</v>
      </c>
      <c r="J7" s="171">
        <f t="shared" si="0"/>
        <v>1866</v>
      </c>
      <c r="K7" s="171">
        <f t="shared" si="0"/>
        <v>135680</v>
      </c>
      <c r="L7" s="171">
        <f t="shared" si="0"/>
        <v>2668</v>
      </c>
      <c r="M7" s="171">
        <f t="shared" si="0"/>
        <v>15352</v>
      </c>
      <c r="N7" s="171">
        <f t="shared" si="0"/>
        <v>49448</v>
      </c>
      <c r="O7" s="171">
        <f t="shared" si="0"/>
        <v>30177</v>
      </c>
      <c r="P7" s="171">
        <f t="shared" si="0"/>
        <v>6323</v>
      </c>
      <c r="Q7" s="171">
        <f t="shared" si="0"/>
        <v>103968</v>
      </c>
      <c r="R7" s="171">
        <f t="shared" si="0"/>
        <v>344</v>
      </c>
      <c r="S7" s="171">
        <f t="shared" si="0"/>
        <v>815</v>
      </c>
      <c r="T7" s="171">
        <f t="shared" si="0"/>
        <v>665</v>
      </c>
      <c r="U7" s="171">
        <f t="shared" si="0"/>
        <v>435</v>
      </c>
      <c r="V7" s="171">
        <f t="shared" si="0"/>
        <v>510</v>
      </c>
      <c r="W7" s="171">
        <f t="shared" si="0"/>
        <v>800</v>
      </c>
      <c r="X7" s="171">
        <f t="shared" si="0"/>
        <v>2106</v>
      </c>
      <c r="Y7" s="171">
        <f t="shared" si="0"/>
        <v>48</v>
      </c>
      <c r="Z7" s="171">
        <f t="shared" si="0"/>
        <v>5723</v>
      </c>
    </row>
    <row r="8" spans="1:26" x14ac:dyDescent="0.25">
      <c r="A8" s="16"/>
      <c r="B8" s="16"/>
      <c r="C8" s="17" t="s">
        <v>14</v>
      </c>
      <c r="D8" s="147"/>
      <c r="E8" s="147"/>
      <c r="F8" s="147"/>
      <c r="G8" s="147">
        <f>H8+I8+J8</f>
        <v>0</v>
      </c>
      <c r="H8" s="147"/>
      <c r="I8" s="147"/>
      <c r="J8" s="147"/>
      <c r="K8" s="147">
        <f>D8+E8+F8+G8</f>
        <v>0</v>
      </c>
      <c r="L8" s="147"/>
      <c r="M8" s="174"/>
      <c r="N8" s="174"/>
      <c r="O8" s="147"/>
      <c r="P8" s="147"/>
      <c r="Q8" s="147">
        <f>P8+L8+M8+N8+O8</f>
        <v>0</v>
      </c>
      <c r="R8" s="147"/>
      <c r="S8" s="147"/>
      <c r="T8" s="147"/>
      <c r="U8" s="147"/>
      <c r="V8" s="147"/>
      <c r="W8" s="147"/>
      <c r="X8" s="147"/>
      <c r="Y8" s="147"/>
      <c r="Z8" s="147">
        <f>R8+S8+T8+U8+V8+W8+X8+Y8</f>
        <v>0</v>
      </c>
    </row>
    <row r="9" spans="1:26" x14ac:dyDescent="0.25">
      <c r="A9" s="16"/>
      <c r="B9" s="16"/>
      <c r="C9" s="17" t="s">
        <v>546</v>
      </c>
      <c r="D9" s="147"/>
      <c r="E9" s="147"/>
      <c r="F9" s="147"/>
      <c r="G9" s="147">
        <f>H9+I9+J9</f>
        <v>0</v>
      </c>
      <c r="H9" s="147"/>
      <c r="I9" s="147"/>
      <c r="J9" s="147"/>
      <c r="K9" s="147">
        <f>D9+E9+F9+G9</f>
        <v>0</v>
      </c>
      <c r="L9" s="147">
        <v>67</v>
      </c>
      <c r="M9" s="148">
        <v>200</v>
      </c>
      <c r="N9" s="148">
        <v>267</v>
      </c>
      <c r="O9" s="147">
        <v>133</v>
      </c>
      <c r="P9" s="147"/>
      <c r="Q9" s="147">
        <f>P9+L9+M9+N9+O9</f>
        <v>667</v>
      </c>
      <c r="R9" s="147"/>
      <c r="S9" s="147"/>
      <c r="T9" s="147"/>
      <c r="U9" s="147"/>
      <c r="V9" s="147"/>
      <c r="W9" s="147"/>
      <c r="X9" s="147"/>
      <c r="Y9" s="147"/>
      <c r="Z9" s="147">
        <f>R9+S9+T9+U9+V9+W9+X9+Y9</f>
        <v>0</v>
      </c>
    </row>
    <row r="10" spans="1:26" s="10" customFormat="1" x14ac:dyDescent="0.25">
      <c r="A10" s="1134" t="s">
        <v>15</v>
      </c>
      <c r="B10" s="1134"/>
      <c r="C10" s="1134"/>
      <c r="D10" s="171">
        <f t="shared" ref="D10:K10" si="1">SUM(D11:D148)-D36-D74-D75-D77-D78-D79-D84-D87-D91</f>
        <v>104720</v>
      </c>
      <c r="E10" s="171">
        <f t="shared" si="1"/>
        <v>5314</v>
      </c>
      <c r="F10" s="171">
        <f t="shared" si="1"/>
        <v>14971</v>
      </c>
      <c r="G10" s="171">
        <f t="shared" si="1"/>
        <v>10675</v>
      </c>
      <c r="H10" s="171">
        <f t="shared" si="1"/>
        <v>8260</v>
      </c>
      <c r="I10" s="171">
        <f t="shared" si="1"/>
        <v>549</v>
      </c>
      <c r="J10" s="171">
        <f t="shared" si="1"/>
        <v>1866</v>
      </c>
      <c r="K10" s="171">
        <f t="shared" si="1"/>
        <v>135680</v>
      </c>
      <c r="L10" s="171">
        <f t="shared" ref="L10:Z10" si="2">SUM(L11:L148)-L36-L74-L75-L77-L78-L79-L84-L87-L91</f>
        <v>2601</v>
      </c>
      <c r="M10" s="171">
        <f t="shared" si="2"/>
        <v>15152</v>
      </c>
      <c r="N10" s="171">
        <f t="shared" si="2"/>
        <v>49181</v>
      </c>
      <c r="O10" s="171">
        <f t="shared" si="2"/>
        <v>30044</v>
      </c>
      <c r="P10" s="171">
        <f t="shared" si="2"/>
        <v>6323</v>
      </c>
      <c r="Q10" s="171">
        <f t="shared" si="2"/>
        <v>103301</v>
      </c>
      <c r="R10" s="171">
        <f t="shared" si="2"/>
        <v>344</v>
      </c>
      <c r="S10" s="171">
        <f t="shared" si="2"/>
        <v>815</v>
      </c>
      <c r="T10" s="171">
        <f t="shared" si="2"/>
        <v>665</v>
      </c>
      <c r="U10" s="171">
        <f t="shared" si="2"/>
        <v>435</v>
      </c>
      <c r="V10" s="171">
        <f t="shared" si="2"/>
        <v>510</v>
      </c>
      <c r="W10" s="171">
        <f t="shared" si="2"/>
        <v>800</v>
      </c>
      <c r="X10" s="171">
        <f t="shared" si="2"/>
        <v>2106</v>
      </c>
      <c r="Y10" s="171">
        <f t="shared" si="2"/>
        <v>48</v>
      </c>
      <c r="Z10" s="171">
        <f t="shared" si="2"/>
        <v>5723</v>
      </c>
    </row>
    <row r="11" spans="1:26" s="20" customFormat="1" x14ac:dyDescent="0.25">
      <c r="A11" s="593">
        <v>1</v>
      </c>
      <c r="B11" s="71" t="s">
        <v>54</v>
      </c>
      <c r="C11" s="31" t="s">
        <v>55</v>
      </c>
      <c r="D11" s="561">
        <v>393</v>
      </c>
      <c r="E11" s="561">
        <v>0</v>
      </c>
      <c r="F11" s="561">
        <v>0</v>
      </c>
      <c r="G11" s="561">
        <f>H11+I11+J11</f>
        <v>0</v>
      </c>
      <c r="H11" s="561">
        <v>0</v>
      </c>
      <c r="I11" s="561">
        <v>0</v>
      </c>
      <c r="J11" s="561">
        <v>0</v>
      </c>
      <c r="K11" s="561">
        <f>D11+E11+F11+G11</f>
        <v>393</v>
      </c>
      <c r="L11" s="561">
        <v>0</v>
      </c>
      <c r="M11" s="561">
        <v>0</v>
      </c>
      <c r="N11" s="561">
        <v>0</v>
      </c>
      <c r="O11" s="561">
        <v>0</v>
      </c>
      <c r="P11" s="561">
        <v>0</v>
      </c>
      <c r="Q11" s="561">
        <f>L11+M11+N11+O11+P11</f>
        <v>0</v>
      </c>
      <c r="R11" s="561"/>
      <c r="S11" s="561"/>
      <c r="T11" s="561"/>
      <c r="U11" s="561"/>
      <c r="V11" s="561"/>
      <c r="W11" s="561"/>
      <c r="X11" s="561"/>
      <c r="Y11" s="561"/>
      <c r="Z11" s="561">
        <f>R11+S11+T11+U11+V11+W11+X11+Y11</f>
        <v>0</v>
      </c>
    </row>
    <row r="12" spans="1:26" s="20" customFormat="1" x14ac:dyDescent="0.25">
      <c r="A12" s="593">
        <v>2</v>
      </c>
      <c r="B12" s="72" t="s">
        <v>56</v>
      </c>
      <c r="C12" s="31" t="s">
        <v>57</v>
      </c>
      <c r="D12" s="561">
        <v>407</v>
      </c>
      <c r="E12" s="561">
        <v>0</v>
      </c>
      <c r="F12" s="561">
        <v>59</v>
      </c>
      <c r="G12" s="561">
        <f t="shared" ref="G12:G72" si="3">H12+I12+J12</f>
        <v>0</v>
      </c>
      <c r="H12" s="561">
        <v>0</v>
      </c>
      <c r="I12" s="561">
        <v>0</v>
      </c>
      <c r="J12" s="561">
        <v>0</v>
      </c>
      <c r="K12" s="561">
        <f t="shared" ref="K12:K72" si="4">D12+E12+F12+G12</f>
        <v>466</v>
      </c>
      <c r="L12" s="561">
        <v>0</v>
      </c>
      <c r="M12" s="561">
        <v>0</v>
      </c>
      <c r="N12" s="561">
        <v>0</v>
      </c>
      <c r="O12" s="561">
        <v>0</v>
      </c>
      <c r="P12" s="561">
        <v>0</v>
      </c>
      <c r="Q12" s="561">
        <f t="shared" ref="Q12:Q72" si="5">L12+M12+N12+O12+P12</f>
        <v>0</v>
      </c>
      <c r="R12" s="561"/>
      <c r="S12" s="561"/>
      <c r="T12" s="561"/>
      <c r="U12" s="561"/>
      <c r="V12" s="561"/>
      <c r="W12" s="561"/>
      <c r="X12" s="561"/>
      <c r="Y12" s="561"/>
      <c r="Z12" s="561">
        <f t="shared" ref="Z12:Z72" si="6">R12+S12+T12+U12+V12+W12+X12+Y12</f>
        <v>0</v>
      </c>
    </row>
    <row r="13" spans="1:26" s="10" customFormat="1" x14ac:dyDescent="0.25">
      <c r="A13" s="593">
        <v>3</v>
      </c>
      <c r="B13" s="611" t="s">
        <v>16</v>
      </c>
      <c r="C13" s="31" t="s">
        <v>17</v>
      </c>
      <c r="D13" s="561">
        <v>1643</v>
      </c>
      <c r="E13" s="561">
        <v>92</v>
      </c>
      <c r="F13" s="561">
        <v>237</v>
      </c>
      <c r="G13" s="561">
        <f t="shared" si="3"/>
        <v>0</v>
      </c>
      <c r="H13" s="561">
        <v>0</v>
      </c>
      <c r="I13" s="561">
        <v>0</v>
      </c>
      <c r="J13" s="561">
        <v>0</v>
      </c>
      <c r="K13" s="561">
        <f t="shared" si="4"/>
        <v>1972</v>
      </c>
      <c r="L13" s="561">
        <v>48</v>
      </c>
      <c r="M13" s="561">
        <v>334</v>
      </c>
      <c r="N13" s="561">
        <v>959</v>
      </c>
      <c r="O13" s="561">
        <v>650</v>
      </c>
      <c r="P13" s="561">
        <v>0</v>
      </c>
      <c r="Q13" s="561">
        <f t="shared" si="5"/>
        <v>1991</v>
      </c>
      <c r="R13" s="561"/>
      <c r="S13" s="561"/>
      <c r="T13" s="561"/>
      <c r="U13" s="561"/>
      <c r="V13" s="561"/>
      <c r="W13" s="561"/>
      <c r="X13" s="561"/>
      <c r="Y13" s="561"/>
      <c r="Z13" s="561">
        <f t="shared" si="6"/>
        <v>0</v>
      </c>
    </row>
    <row r="14" spans="1:26" s="27" customFormat="1" x14ac:dyDescent="0.25">
      <c r="A14" s="593">
        <v>4</v>
      </c>
      <c r="B14" s="71" t="s">
        <v>58</v>
      </c>
      <c r="C14" s="31" t="s">
        <v>59</v>
      </c>
      <c r="D14" s="561">
        <v>437</v>
      </c>
      <c r="E14" s="561">
        <v>0</v>
      </c>
      <c r="F14" s="561">
        <v>0</v>
      </c>
      <c r="G14" s="561">
        <f t="shared" si="3"/>
        <v>0</v>
      </c>
      <c r="H14" s="561">
        <v>0</v>
      </c>
      <c r="I14" s="561">
        <v>0</v>
      </c>
      <c r="J14" s="561">
        <v>0</v>
      </c>
      <c r="K14" s="561">
        <f t="shared" si="4"/>
        <v>437</v>
      </c>
      <c r="L14" s="561">
        <v>0</v>
      </c>
      <c r="M14" s="561">
        <v>0</v>
      </c>
      <c r="N14" s="561">
        <v>0</v>
      </c>
      <c r="O14" s="561">
        <v>0</v>
      </c>
      <c r="P14" s="561">
        <v>0</v>
      </c>
      <c r="Q14" s="561">
        <f t="shared" si="5"/>
        <v>0</v>
      </c>
      <c r="R14" s="561"/>
      <c r="S14" s="561"/>
      <c r="T14" s="561"/>
      <c r="U14" s="561"/>
      <c r="V14" s="561"/>
      <c r="W14" s="561"/>
      <c r="X14" s="561"/>
      <c r="Y14" s="561"/>
      <c r="Z14" s="561">
        <f t="shared" si="6"/>
        <v>0</v>
      </c>
    </row>
    <row r="15" spans="1:26" s="27" customFormat="1" x14ac:dyDescent="0.25">
      <c r="A15" s="593">
        <v>5</v>
      </c>
      <c r="B15" s="71" t="s">
        <v>60</v>
      </c>
      <c r="C15" s="31" t="s">
        <v>61</v>
      </c>
      <c r="D15" s="561">
        <v>475</v>
      </c>
      <c r="E15" s="561">
        <v>13</v>
      </c>
      <c r="F15" s="561">
        <v>69</v>
      </c>
      <c r="G15" s="561">
        <f t="shared" si="3"/>
        <v>0</v>
      </c>
      <c r="H15" s="561">
        <v>0</v>
      </c>
      <c r="I15" s="561">
        <v>0</v>
      </c>
      <c r="J15" s="561">
        <v>0</v>
      </c>
      <c r="K15" s="561">
        <f t="shared" si="4"/>
        <v>557</v>
      </c>
      <c r="L15" s="561">
        <v>0</v>
      </c>
      <c r="M15" s="561">
        <v>0</v>
      </c>
      <c r="N15" s="561">
        <v>0</v>
      </c>
      <c r="O15" s="561">
        <v>0</v>
      </c>
      <c r="P15" s="561">
        <v>0</v>
      </c>
      <c r="Q15" s="561">
        <f t="shared" si="5"/>
        <v>0</v>
      </c>
      <c r="R15" s="561"/>
      <c r="S15" s="561"/>
      <c r="T15" s="561"/>
      <c r="U15" s="561"/>
      <c r="V15" s="561"/>
      <c r="W15" s="561"/>
      <c r="X15" s="561"/>
      <c r="Y15" s="561"/>
      <c r="Z15" s="561">
        <f t="shared" si="6"/>
        <v>0</v>
      </c>
    </row>
    <row r="16" spans="1:26" s="149" customFormat="1" x14ac:dyDescent="0.25">
      <c r="A16" s="593">
        <v>6</v>
      </c>
      <c r="B16" s="611" t="s">
        <v>18</v>
      </c>
      <c r="C16" s="31" t="s">
        <v>19</v>
      </c>
      <c r="D16" s="561">
        <v>3393</v>
      </c>
      <c r="E16" s="561">
        <v>93</v>
      </c>
      <c r="F16" s="561">
        <v>495</v>
      </c>
      <c r="G16" s="561">
        <f t="shared" si="3"/>
        <v>598</v>
      </c>
      <c r="H16" s="561">
        <v>450</v>
      </c>
      <c r="I16" s="561">
        <v>58</v>
      </c>
      <c r="J16" s="561">
        <v>90</v>
      </c>
      <c r="K16" s="561">
        <f t="shared" si="4"/>
        <v>4579</v>
      </c>
      <c r="L16" s="561">
        <v>110</v>
      </c>
      <c r="M16" s="561">
        <v>871</v>
      </c>
      <c r="N16" s="561">
        <v>2668</v>
      </c>
      <c r="O16" s="561">
        <v>1807</v>
      </c>
      <c r="P16" s="561">
        <v>0</v>
      </c>
      <c r="Q16" s="561">
        <f t="shared" si="5"/>
        <v>5456</v>
      </c>
      <c r="R16" s="561"/>
      <c r="S16" s="561"/>
      <c r="T16" s="561"/>
      <c r="U16" s="561"/>
      <c r="V16" s="561"/>
      <c r="W16" s="561"/>
      <c r="X16" s="561"/>
      <c r="Y16" s="561"/>
      <c r="Z16" s="561">
        <f t="shared" si="6"/>
        <v>0</v>
      </c>
    </row>
    <row r="17" spans="1:26" s="27" customFormat="1" x14ac:dyDescent="0.25">
      <c r="A17" s="593">
        <v>7</v>
      </c>
      <c r="B17" s="71" t="s">
        <v>62</v>
      </c>
      <c r="C17" s="31" t="s">
        <v>63</v>
      </c>
      <c r="D17" s="561">
        <v>1246</v>
      </c>
      <c r="E17" s="561">
        <v>34</v>
      </c>
      <c r="F17" s="561">
        <v>181</v>
      </c>
      <c r="G17" s="561">
        <f t="shared" si="3"/>
        <v>155</v>
      </c>
      <c r="H17" s="561">
        <v>142</v>
      </c>
      <c r="I17" s="561">
        <v>3</v>
      </c>
      <c r="J17" s="561">
        <v>10</v>
      </c>
      <c r="K17" s="561">
        <f t="shared" si="4"/>
        <v>1616</v>
      </c>
      <c r="L17" s="561">
        <v>0</v>
      </c>
      <c r="M17" s="561">
        <v>0</v>
      </c>
      <c r="N17" s="561">
        <v>0</v>
      </c>
      <c r="O17" s="561">
        <v>0</v>
      </c>
      <c r="P17" s="561">
        <v>0</v>
      </c>
      <c r="Q17" s="561">
        <f t="shared" si="5"/>
        <v>0</v>
      </c>
      <c r="R17" s="561"/>
      <c r="S17" s="561"/>
      <c r="T17" s="561"/>
      <c r="U17" s="561"/>
      <c r="V17" s="561"/>
      <c r="W17" s="561"/>
      <c r="X17" s="561"/>
      <c r="Y17" s="561"/>
      <c r="Z17" s="561">
        <f t="shared" si="6"/>
        <v>0</v>
      </c>
    </row>
    <row r="18" spans="1:26" s="27" customFormat="1" x14ac:dyDescent="0.25">
      <c r="A18" s="593">
        <v>8</v>
      </c>
      <c r="B18" s="611" t="s">
        <v>64</v>
      </c>
      <c r="C18" s="31" t="s">
        <v>65</v>
      </c>
      <c r="D18" s="561">
        <v>503</v>
      </c>
      <c r="E18" s="561">
        <v>0</v>
      </c>
      <c r="F18" s="561">
        <v>73</v>
      </c>
      <c r="G18" s="561">
        <f t="shared" si="3"/>
        <v>0</v>
      </c>
      <c r="H18" s="561">
        <v>0</v>
      </c>
      <c r="I18" s="561">
        <v>0</v>
      </c>
      <c r="J18" s="561">
        <v>0</v>
      </c>
      <c r="K18" s="561">
        <f t="shared" si="4"/>
        <v>576</v>
      </c>
      <c r="L18" s="561">
        <v>0</v>
      </c>
      <c r="M18" s="561">
        <v>0</v>
      </c>
      <c r="N18" s="561">
        <v>0</v>
      </c>
      <c r="O18" s="561">
        <v>0</v>
      </c>
      <c r="P18" s="561">
        <v>0</v>
      </c>
      <c r="Q18" s="561">
        <f t="shared" si="5"/>
        <v>0</v>
      </c>
      <c r="R18" s="561"/>
      <c r="S18" s="561"/>
      <c r="T18" s="561"/>
      <c r="U18" s="561"/>
      <c r="V18" s="561"/>
      <c r="W18" s="561"/>
      <c r="X18" s="561"/>
      <c r="Y18" s="561"/>
      <c r="Z18" s="561">
        <f t="shared" si="6"/>
        <v>0</v>
      </c>
    </row>
    <row r="19" spans="1:26" s="149" customFormat="1" x14ac:dyDescent="0.25">
      <c r="A19" s="593">
        <v>9</v>
      </c>
      <c r="B19" s="611" t="s">
        <v>66</v>
      </c>
      <c r="C19" s="31" t="s">
        <v>67</v>
      </c>
      <c r="D19" s="561">
        <v>450</v>
      </c>
      <c r="E19" s="561">
        <v>0</v>
      </c>
      <c r="F19" s="561">
        <v>66</v>
      </c>
      <c r="G19" s="561">
        <f t="shared" si="3"/>
        <v>0</v>
      </c>
      <c r="H19" s="561">
        <v>0</v>
      </c>
      <c r="I19" s="561">
        <v>0</v>
      </c>
      <c r="J19" s="561">
        <v>0</v>
      </c>
      <c r="K19" s="561">
        <f t="shared" si="4"/>
        <v>516</v>
      </c>
      <c r="L19" s="561">
        <v>0</v>
      </c>
      <c r="M19" s="561">
        <v>0</v>
      </c>
      <c r="N19" s="561">
        <v>0</v>
      </c>
      <c r="O19" s="561">
        <v>0</v>
      </c>
      <c r="P19" s="561">
        <v>0</v>
      </c>
      <c r="Q19" s="561">
        <f t="shared" si="5"/>
        <v>0</v>
      </c>
      <c r="R19" s="561"/>
      <c r="S19" s="561"/>
      <c r="T19" s="561"/>
      <c r="U19" s="561"/>
      <c r="V19" s="561"/>
      <c r="W19" s="561"/>
      <c r="X19" s="561"/>
      <c r="Y19" s="561"/>
      <c r="Z19" s="561">
        <f t="shared" si="6"/>
        <v>0</v>
      </c>
    </row>
    <row r="20" spans="1:26" s="27" customFormat="1" x14ac:dyDescent="0.25">
      <c r="A20" s="593">
        <v>10</v>
      </c>
      <c r="B20" s="611" t="s">
        <v>68</v>
      </c>
      <c r="C20" s="31" t="s">
        <v>69</v>
      </c>
      <c r="D20" s="561">
        <v>630</v>
      </c>
      <c r="E20" s="561">
        <v>0</v>
      </c>
      <c r="F20" s="561">
        <v>92</v>
      </c>
      <c r="G20" s="561">
        <f t="shared" si="3"/>
        <v>0</v>
      </c>
      <c r="H20" s="561">
        <v>0</v>
      </c>
      <c r="I20" s="561">
        <v>0</v>
      </c>
      <c r="J20" s="561">
        <v>0</v>
      </c>
      <c r="K20" s="561">
        <f t="shared" si="4"/>
        <v>722</v>
      </c>
      <c r="L20" s="561">
        <v>0</v>
      </c>
      <c r="M20" s="561">
        <v>0</v>
      </c>
      <c r="N20" s="561">
        <v>0</v>
      </c>
      <c r="O20" s="561">
        <v>0</v>
      </c>
      <c r="P20" s="561">
        <v>0</v>
      </c>
      <c r="Q20" s="561">
        <f t="shared" si="5"/>
        <v>0</v>
      </c>
      <c r="R20" s="561"/>
      <c r="S20" s="561"/>
      <c r="T20" s="561"/>
      <c r="U20" s="561"/>
      <c r="V20" s="561"/>
      <c r="W20" s="561"/>
      <c r="X20" s="561"/>
      <c r="Y20" s="561"/>
      <c r="Z20" s="561">
        <f t="shared" si="6"/>
        <v>0</v>
      </c>
    </row>
    <row r="21" spans="1:26" s="27" customFormat="1" x14ac:dyDescent="0.25">
      <c r="A21" s="593">
        <v>11</v>
      </c>
      <c r="B21" s="611" t="s">
        <v>70</v>
      </c>
      <c r="C21" s="31" t="s">
        <v>71</v>
      </c>
      <c r="D21" s="561">
        <v>448</v>
      </c>
      <c r="E21" s="561">
        <v>0</v>
      </c>
      <c r="F21" s="561">
        <v>65</v>
      </c>
      <c r="G21" s="561">
        <f t="shared" si="3"/>
        <v>0</v>
      </c>
      <c r="H21" s="561">
        <v>0</v>
      </c>
      <c r="I21" s="561">
        <v>0</v>
      </c>
      <c r="J21" s="561">
        <v>0</v>
      </c>
      <c r="K21" s="561">
        <f t="shared" si="4"/>
        <v>513</v>
      </c>
      <c r="L21" s="561">
        <v>0</v>
      </c>
      <c r="M21" s="561">
        <v>0</v>
      </c>
      <c r="N21" s="561">
        <v>0</v>
      </c>
      <c r="O21" s="561">
        <v>0</v>
      </c>
      <c r="P21" s="561">
        <v>0</v>
      </c>
      <c r="Q21" s="561">
        <f t="shared" si="5"/>
        <v>0</v>
      </c>
      <c r="R21" s="561"/>
      <c r="S21" s="561"/>
      <c r="T21" s="561"/>
      <c r="U21" s="561"/>
      <c r="V21" s="561"/>
      <c r="W21" s="561"/>
      <c r="X21" s="561"/>
      <c r="Y21" s="561"/>
      <c r="Z21" s="561">
        <f t="shared" si="6"/>
        <v>0</v>
      </c>
    </row>
    <row r="22" spans="1:26" s="27" customFormat="1" x14ac:dyDescent="0.25">
      <c r="A22" s="593">
        <v>12</v>
      </c>
      <c r="B22" s="611" t="s">
        <v>72</v>
      </c>
      <c r="C22" s="31" t="s">
        <v>73</v>
      </c>
      <c r="D22" s="561">
        <v>928</v>
      </c>
      <c r="E22" s="561">
        <v>0</v>
      </c>
      <c r="F22" s="561">
        <v>135</v>
      </c>
      <c r="G22" s="561">
        <f t="shared" si="3"/>
        <v>133</v>
      </c>
      <c r="H22" s="561">
        <v>106</v>
      </c>
      <c r="I22" s="561">
        <v>5</v>
      </c>
      <c r="J22" s="561">
        <v>22</v>
      </c>
      <c r="K22" s="561">
        <f t="shared" si="4"/>
        <v>1196</v>
      </c>
      <c r="L22" s="561">
        <v>0</v>
      </c>
      <c r="M22" s="561">
        <v>0</v>
      </c>
      <c r="N22" s="561">
        <v>0</v>
      </c>
      <c r="O22" s="561">
        <v>0</v>
      </c>
      <c r="P22" s="561">
        <v>0</v>
      </c>
      <c r="Q22" s="561">
        <f t="shared" si="5"/>
        <v>0</v>
      </c>
      <c r="R22" s="561"/>
      <c r="S22" s="561"/>
      <c r="T22" s="561"/>
      <c r="U22" s="561"/>
      <c r="V22" s="561"/>
      <c r="W22" s="561"/>
      <c r="X22" s="561"/>
      <c r="Y22" s="561"/>
      <c r="Z22" s="561">
        <f t="shared" si="6"/>
        <v>0</v>
      </c>
    </row>
    <row r="23" spans="1:26" s="27" customFormat="1" x14ac:dyDescent="0.25">
      <c r="A23" s="593">
        <v>13</v>
      </c>
      <c r="B23" s="611" t="s">
        <v>74</v>
      </c>
      <c r="C23" s="31" t="s">
        <v>75</v>
      </c>
      <c r="D23" s="561">
        <v>0</v>
      </c>
      <c r="E23" s="561">
        <v>0</v>
      </c>
      <c r="F23" s="561">
        <v>0</v>
      </c>
      <c r="G23" s="561">
        <f t="shared" si="3"/>
        <v>0</v>
      </c>
      <c r="H23" s="561">
        <v>0</v>
      </c>
      <c r="I23" s="561">
        <v>0</v>
      </c>
      <c r="J23" s="561">
        <v>0</v>
      </c>
      <c r="K23" s="561">
        <f t="shared" si="4"/>
        <v>0</v>
      </c>
      <c r="L23" s="561">
        <v>0</v>
      </c>
      <c r="M23" s="561">
        <v>0</v>
      </c>
      <c r="N23" s="561">
        <v>0</v>
      </c>
      <c r="O23" s="561">
        <v>0</v>
      </c>
      <c r="P23" s="561">
        <v>0</v>
      </c>
      <c r="Q23" s="561">
        <f t="shared" si="5"/>
        <v>0</v>
      </c>
      <c r="R23" s="561"/>
      <c r="S23" s="561"/>
      <c r="T23" s="561"/>
      <c r="U23" s="561"/>
      <c r="V23" s="561"/>
      <c r="W23" s="561"/>
      <c r="X23" s="561"/>
      <c r="Y23" s="561"/>
      <c r="Z23" s="561">
        <f t="shared" si="6"/>
        <v>0</v>
      </c>
    </row>
    <row r="24" spans="1:26" s="27" customFormat="1" x14ac:dyDescent="0.25">
      <c r="A24" s="593">
        <v>14</v>
      </c>
      <c r="B24" s="611" t="s">
        <v>76</v>
      </c>
      <c r="C24" s="31" t="s">
        <v>77</v>
      </c>
      <c r="D24" s="561">
        <v>576</v>
      </c>
      <c r="E24" s="561">
        <v>10</v>
      </c>
      <c r="F24" s="561">
        <v>84</v>
      </c>
      <c r="G24" s="561">
        <f t="shared" si="3"/>
        <v>43</v>
      </c>
      <c r="H24" s="561">
        <v>43</v>
      </c>
      <c r="I24" s="561">
        <v>0</v>
      </c>
      <c r="J24" s="561">
        <v>0</v>
      </c>
      <c r="K24" s="561">
        <f t="shared" si="4"/>
        <v>713</v>
      </c>
      <c r="L24" s="561">
        <v>0</v>
      </c>
      <c r="M24" s="561">
        <v>0</v>
      </c>
      <c r="N24" s="561">
        <v>0</v>
      </c>
      <c r="O24" s="561">
        <v>0</v>
      </c>
      <c r="P24" s="561">
        <v>0</v>
      </c>
      <c r="Q24" s="561">
        <f t="shared" si="5"/>
        <v>0</v>
      </c>
      <c r="R24" s="561"/>
      <c r="S24" s="561"/>
      <c r="T24" s="561"/>
      <c r="U24" s="561"/>
      <c r="V24" s="561"/>
      <c r="W24" s="561"/>
      <c r="X24" s="561"/>
      <c r="Y24" s="561"/>
      <c r="Z24" s="561">
        <f t="shared" si="6"/>
        <v>0</v>
      </c>
    </row>
    <row r="25" spans="1:26" s="27" customFormat="1" x14ac:dyDescent="0.25">
      <c r="A25" s="593">
        <v>15</v>
      </c>
      <c r="B25" s="611" t="s">
        <v>78</v>
      </c>
      <c r="C25" s="31" t="s">
        <v>79</v>
      </c>
      <c r="D25" s="561">
        <v>831</v>
      </c>
      <c r="E25" s="561">
        <v>0</v>
      </c>
      <c r="F25" s="561">
        <v>121</v>
      </c>
      <c r="G25" s="561">
        <f t="shared" si="3"/>
        <v>0</v>
      </c>
      <c r="H25" s="561">
        <v>0</v>
      </c>
      <c r="I25" s="561">
        <v>0</v>
      </c>
      <c r="J25" s="561">
        <v>0</v>
      </c>
      <c r="K25" s="561">
        <f t="shared" si="4"/>
        <v>952</v>
      </c>
      <c r="L25" s="561">
        <v>0</v>
      </c>
      <c r="M25" s="561">
        <v>0</v>
      </c>
      <c r="N25" s="561">
        <v>0</v>
      </c>
      <c r="O25" s="561">
        <v>0</v>
      </c>
      <c r="P25" s="561">
        <v>0</v>
      </c>
      <c r="Q25" s="561">
        <f t="shared" si="5"/>
        <v>0</v>
      </c>
      <c r="R25" s="561"/>
      <c r="S25" s="561"/>
      <c r="T25" s="561"/>
      <c r="U25" s="561"/>
      <c r="V25" s="561"/>
      <c r="W25" s="561"/>
      <c r="X25" s="561"/>
      <c r="Y25" s="561"/>
      <c r="Z25" s="561">
        <f t="shared" si="6"/>
        <v>0</v>
      </c>
    </row>
    <row r="26" spans="1:26" s="27" customFormat="1" x14ac:dyDescent="0.25">
      <c r="A26" s="593">
        <v>16</v>
      </c>
      <c r="B26" s="611" t="s">
        <v>80</v>
      </c>
      <c r="C26" s="31" t="s">
        <v>81</v>
      </c>
      <c r="D26" s="561">
        <v>1087</v>
      </c>
      <c r="E26" s="561">
        <v>30</v>
      </c>
      <c r="F26" s="561">
        <v>158</v>
      </c>
      <c r="G26" s="561">
        <f t="shared" si="3"/>
        <v>122</v>
      </c>
      <c r="H26" s="561">
        <v>117</v>
      </c>
      <c r="I26" s="561">
        <v>5</v>
      </c>
      <c r="J26" s="561">
        <v>0</v>
      </c>
      <c r="K26" s="561">
        <f t="shared" si="4"/>
        <v>1397</v>
      </c>
      <c r="L26" s="561">
        <v>0</v>
      </c>
      <c r="M26" s="561">
        <v>0</v>
      </c>
      <c r="N26" s="561">
        <v>0</v>
      </c>
      <c r="O26" s="561">
        <v>0</v>
      </c>
      <c r="P26" s="561">
        <v>0</v>
      </c>
      <c r="Q26" s="561">
        <f t="shared" si="5"/>
        <v>0</v>
      </c>
      <c r="R26" s="561"/>
      <c r="S26" s="561"/>
      <c r="T26" s="561"/>
      <c r="U26" s="561"/>
      <c r="V26" s="561"/>
      <c r="W26" s="561"/>
      <c r="X26" s="561"/>
      <c r="Y26" s="561"/>
      <c r="Z26" s="561">
        <f t="shared" si="6"/>
        <v>0</v>
      </c>
    </row>
    <row r="27" spans="1:26" s="27" customFormat="1" x14ac:dyDescent="0.25">
      <c r="A27" s="593">
        <v>17</v>
      </c>
      <c r="B27" s="611" t="s">
        <v>20</v>
      </c>
      <c r="C27" s="31" t="s">
        <v>21</v>
      </c>
      <c r="D27" s="561">
        <v>2302</v>
      </c>
      <c r="E27" s="561">
        <v>43</v>
      </c>
      <c r="F27" s="561">
        <v>351</v>
      </c>
      <c r="G27" s="561">
        <f t="shared" si="3"/>
        <v>391</v>
      </c>
      <c r="H27" s="561">
        <v>302</v>
      </c>
      <c r="I27" s="561">
        <v>40</v>
      </c>
      <c r="J27" s="561">
        <v>49</v>
      </c>
      <c r="K27" s="561">
        <f t="shared" si="4"/>
        <v>3087</v>
      </c>
      <c r="L27" s="561">
        <v>41</v>
      </c>
      <c r="M27" s="561">
        <v>595</v>
      </c>
      <c r="N27" s="561">
        <v>2909</v>
      </c>
      <c r="O27" s="561">
        <v>2023</v>
      </c>
      <c r="P27" s="561">
        <v>0</v>
      </c>
      <c r="Q27" s="561">
        <f t="shared" si="5"/>
        <v>5568</v>
      </c>
      <c r="R27" s="561"/>
      <c r="S27" s="561"/>
      <c r="T27" s="561"/>
      <c r="U27" s="561"/>
      <c r="V27" s="561"/>
      <c r="W27" s="561"/>
      <c r="X27" s="561"/>
      <c r="Y27" s="561"/>
      <c r="Z27" s="561">
        <f t="shared" si="6"/>
        <v>0</v>
      </c>
    </row>
    <row r="28" spans="1:26" s="27" customFormat="1" x14ac:dyDescent="0.25">
      <c r="A28" s="593">
        <v>18</v>
      </c>
      <c r="B28" s="71" t="s">
        <v>82</v>
      </c>
      <c r="C28" s="31" t="s">
        <v>83</v>
      </c>
      <c r="D28" s="561">
        <v>338</v>
      </c>
      <c r="E28" s="561">
        <v>0</v>
      </c>
      <c r="F28" s="561">
        <v>0</v>
      </c>
      <c r="G28" s="561">
        <f t="shared" si="3"/>
        <v>0</v>
      </c>
      <c r="H28" s="561">
        <v>0</v>
      </c>
      <c r="I28" s="561">
        <v>0</v>
      </c>
      <c r="J28" s="561">
        <v>0</v>
      </c>
      <c r="K28" s="561">
        <f t="shared" si="4"/>
        <v>338</v>
      </c>
      <c r="L28" s="561">
        <v>0</v>
      </c>
      <c r="M28" s="561">
        <v>0</v>
      </c>
      <c r="N28" s="561">
        <v>0</v>
      </c>
      <c r="O28" s="561">
        <v>0</v>
      </c>
      <c r="P28" s="561">
        <v>0</v>
      </c>
      <c r="Q28" s="561">
        <f t="shared" si="5"/>
        <v>0</v>
      </c>
      <c r="R28" s="561"/>
      <c r="S28" s="561"/>
      <c r="T28" s="561"/>
      <c r="U28" s="561"/>
      <c r="V28" s="561"/>
      <c r="W28" s="561"/>
      <c r="X28" s="561"/>
      <c r="Y28" s="561"/>
      <c r="Z28" s="561">
        <f t="shared" si="6"/>
        <v>0</v>
      </c>
    </row>
    <row r="29" spans="1:26" s="27" customFormat="1" x14ac:dyDescent="0.25">
      <c r="A29" s="593">
        <v>19</v>
      </c>
      <c r="B29" s="71" t="s">
        <v>84</v>
      </c>
      <c r="C29" s="31" t="s">
        <v>85</v>
      </c>
      <c r="D29" s="561">
        <v>286</v>
      </c>
      <c r="E29" s="561">
        <v>0</v>
      </c>
      <c r="F29" s="561">
        <v>42</v>
      </c>
      <c r="G29" s="561">
        <f t="shared" si="3"/>
        <v>40</v>
      </c>
      <c r="H29" s="561">
        <v>35</v>
      </c>
      <c r="I29" s="561">
        <v>0</v>
      </c>
      <c r="J29" s="561">
        <v>5</v>
      </c>
      <c r="K29" s="561">
        <f t="shared" si="4"/>
        <v>368</v>
      </c>
      <c r="L29" s="561">
        <v>0</v>
      </c>
      <c r="M29" s="561">
        <v>0</v>
      </c>
      <c r="N29" s="561">
        <v>0</v>
      </c>
      <c r="O29" s="561">
        <v>0</v>
      </c>
      <c r="P29" s="561">
        <v>0</v>
      </c>
      <c r="Q29" s="561">
        <f t="shared" si="5"/>
        <v>0</v>
      </c>
      <c r="R29" s="561"/>
      <c r="S29" s="561"/>
      <c r="T29" s="561"/>
      <c r="U29" s="561"/>
      <c r="V29" s="561"/>
      <c r="W29" s="561"/>
      <c r="X29" s="561"/>
      <c r="Y29" s="561"/>
      <c r="Z29" s="561">
        <f t="shared" si="6"/>
        <v>0</v>
      </c>
    </row>
    <row r="30" spans="1:26" s="149" customFormat="1" x14ac:dyDescent="0.25">
      <c r="A30" s="593">
        <v>20</v>
      </c>
      <c r="B30" s="71" t="s">
        <v>86</v>
      </c>
      <c r="C30" s="31" t="s">
        <v>87</v>
      </c>
      <c r="D30" s="561">
        <v>1810</v>
      </c>
      <c r="E30" s="561">
        <v>41</v>
      </c>
      <c r="F30" s="561">
        <v>215</v>
      </c>
      <c r="G30" s="561">
        <f t="shared" si="3"/>
        <v>184</v>
      </c>
      <c r="H30" s="561">
        <v>154</v>
      </c>
      <c r="I30" s="561">
        <v>0</v>
      </c>
      <c r="J30" s="561">
        <v>30</v>
      </c>
      <c r="K30" s="561">
        <f t="shared" si="4"/>
        <v>2250</v>
      </c>
      <c r="L30" s="561">
        <v>0</v>
      </c>
      <c r="M30" s="561">
        <v>0</v>
      </c>
      <c r="N30" s="561">
        <v>0</v>
      </c>
      <c r="O30" s="561">
        <v>0</v>
      </c>
      <c r="P30" s="561">
        <v>0</v>
      </c>
      <c r="Q30" s="561">
        <f t="shared" si="5"/>
        <v>0</v>
      </c>
      <c r="R30" s="561"/>
      <c r="S30" s="561"/>
      <c r="T30" s="561"/>
      <c r="U30" s="561"/>
      <c r="V30" s="561"/>
      <c r="W30" s="561"/>
      <c r="X30" s="561"/>
      <c r="Y30" s="561"/>
      <c r="Z30" s="561">
        <f t="shared" si="6"/>
        <v>0</v>
      </c>
    </row>
    <row r="31" spans="1:26" s="27" customFormat="1" x14ac:dyDescent="0.25">
      <c r="A31" s="593">
        <v>21</v>
      </c>
      <c r="B31" s="71" t="s">
        <v>22</v>
      </c>
      <c r="C31" s="31" t="s">
        <v>23</v>
      </c>
      <c r="D31" s="561">
        <v>1391</v>
      </c>
      <c r="E31" s="561">
        <v>42</v>
      </c>
      <c r="F31" s="561">
        <v>181</v>
      </c>
      <c r="G31" s="561">
        <f t="shared" si="3"/>
        <v>160</v>
      </c>
      <c r="H31" s="561">
        <v>155</v>
      </c>
      <c r="I31" s="561">
        <v>0</v>
      </c>
      <c r="J31" s="561">
        <v>5</v>
      </c>
      <c r="K31" s="561">
        <f t="shared" si="4"/>
        <v>1774</v>
      </c>
      <c r="L31" s="561">
        <v>0</v>
      </c>
      <c r="M31" s="561">
        <v>0</v>
      </c>
      <c r="N31" s="561">
        <v>0</v>
      </c>
      <c r="O31" s="561">
        <v>0</v>
      </c>
      <c r="P31" s="561">
        <v>0</v>
      </c>
      <c r="Q31" s="561">
        <f t="shared" si="5"/>
        <v>0</v>
      </c>
      <c r="R31" s="561"/>
      <c r="S31" s="561"/>
      <c r="T31" s="561"/>
      <c r="U31" s="561"/>
      <c r="V31" s="561"/>
      <c r="W31" s="561"/>
      <c r="X31" s="561"/>
      <c r="Y31" s="561"/>
      <c r="Z31" s="561">
        <f t="shared" si="6"/>
        <v>0</v>
      </c>
    </row>
    <row r="32" spans="1:26" s="27" customFormat="1" x14ac:dyDescent="0.25">
      <c r="A32" s="593">
        <v>22</v>
      </c>
      <c r="B32" s="611" t="s">
        <v>24</v>
      </c>
      <c r="C32" s="31" t="s">
        <v>25</v>
      </c>
      <c r="D32" s="561">
        <v>307</v>
      </c>
      <c r="E32" s="561">
        <v>0</v>
      </c>
      <c r="F32" s="561">
        <v>45</v>
      </c>
      <c r="G32" s="561">
        <f t="shared" si="3"/>
        <v>0</v>
      </c>
      <c r="H32" s="561">
        <v>0</v>
      </c>
      <c r="I32" s="561">
        <v>0</v>
      </c>
      <c r="J32" s="561">
        <v>0</v>
      </c>
      <c r="K32" s="561">
        <f t="shared" si="4"/>
        <v>352</v>
      </c>
      <c r="L32" s="561">
        <v>0</v>
      </c>
      <c r="M32" s="561">
        <v>0</v>
      </c>
      <c r="N32" s="561">
        <v>0</v>
      </c>
      <c r="O32" s="561">
        <v>0</v>
      </c>
      <c r="P32" s="561">
        <v>0</v>
      </c>
      <c r="Q32" s="561">
        <f>L32+M32+N32+O32+P32</f>
        <v>0</v>
      </c>
      <c r="R32" s="561"/>
      <c r="S32" s="561"/>
      <c r="T32" s="561"/>
      <c r="U32" s="561"/>
      <c r="V32" s="561"/>
      <c r="W32" s="561"/>
      <c r="X32" s="561"/>
      <c r="Y32" s="561"/>
      <c r="Z32" s="561">
        <f t="shared" si="6"/>
        <v>0</v>
      </c>
    </row>
    <row r="33" spans="1:26" x14ac:dyDescent="0.25">
      <c r="A33" s="593">
        <v>23</v>
      </c>
      <c r="B33" s="611" t="s">
        <v>88</v>
      </c>
      <c r="C33" s="31" t="s">
        <v>89</v>
      </c>
      <c r="D33" s="561">
        <v>0</v>
      </c>
      <c r="E33" s="561">
        <v>0</v>
      </c>
      <c r="F33" s="561">
        <v>0</v>
      </c>
      <c r="G33" s="561">
        <f t="shared" si="3"/>
        <v>0</v>
      </c>
      <c r="H33" s="561">
        <v>0</v>
      </c>
      <c r="I33" s="561">
        <v>0</v>
      </c>
      <c r="J33" s="561">
        <v>0</v>
      </c>
      <c r="K33" s="561">
        <f t="shared" si="4"/>
        <v>0</v>
      </c>
      <c r="L33" s="561">
        <v>0</v>
      </c>
      <c r="M33" s="561">
        <v>0</v>
      </c>
      <c r="N33" s="561">
        <v>0</v>
      </c>
      <c r="O33" s="561">
        <v>0</v>
      </c>
      <c r="P33" s="561">
        <v>0</v>
      </c>
      <c r="Q33" s="561">
        <f t="shared" ref="Q33:Q36" si="7">L33+M33+N33+O33+P33</f>
        <v>0</v>
      </c>
      <c r="R33" s="561"/>
      <c r="S33" s="561"/>
      <c r="T33" s="561"/>
      <c r="U33" s="561"/>
      <c r="V33" s="561"/>
      <c r="W33" s="561"/>
      <c r="X33" s="561"/>
      <c r="Y33" s="561"/>
      <c r="Z33" s="561">
        <f t="shared" si="6"/>
        <v>0</v>
      </c>
    </row>
    <row r="34" spans="1:26" x14ac:dyDescent="0.25">
      <c r="A34" s="613">
        <v>24</v>
      </c>
      <c r="B34" s="611" t="s">
        <v>90</v>
      </c>
      <c r="C34" s="31" t="s">
        <v>91</v>
      </c>
      <c r="D34" s="561">
        <v>0</v>
      </c>
      <c r="E34" s="561">
        <v>0</v>
      </c>
      <c r="F34" s="561">
        <v>0</v>
      </c>
      <c r="G34" s="561">
        <f t="shared" si="3"/>
        <v>0</v>
      </c>
      <c r="H34" s="561">
        <v>0</v>
      </c>
      <c r="I34" s="561">
        <v>0</v>
      </c>
      <c r="J34" s="561">
        <v>0</v>
      </c>
      <c r="K34" s="561">
        <f t="shared" si="4"/>
        <v>0</v>
      </c>
      <c r="L34" s="561">
        <v>0</v>
      </c>
      <c r="M34" s="561">
        <v>0</v>
      </c>
      <c r="N34" s="561">
        <v>0</v>
      </c>
      <c r="O34" s="561">
        <v>0</v>
      </c>
      <c r="P34" s="561">
        <v>0</v>
      </c>
      <c r="Q34" s="561">
        <f t="shared" si="7"/>
        <v>0</v>
      </c>
      <c r="R34" s="561"/>
      <c r="S34" s="561"/>
      <c r="T34" s="561"/>
      <c r="U34" s="561"/>
      <c r="V34" s="561"/>
      <c r="W34" s="561"/>
      <c r="X34" s="561"/>
      <c r="Y34" s="561"/>
      <c r="Z34" s="561">
        <f t="shared" si="6"/>
        <v>0</v>
      </c>
    </row>
    <row r="35" spans="1:26" s="149" customFormat="1" ht="25.5" customHeight="1" x14ac:dyDescent="0.25">
      <c r="A35" s="1135">
        <v>25</v>
      </c>
      <c r="B35" s="71" t="s">
        <v>92</v>
      </c>
      <c r="C35" s="145" t="s">
        <v>792</v>
      </c>
      <c r="D35" s="561">
        <v>7795</v>
      </c>
      <c r="E35" s="561">
        <v>208</v>
      </c>
      <c r="F35" s="561">
        <v>832</v>
      </c>
      <c r="G35" s="561">
        <f t="shared" si="3"/>
        <v>985</v>
      </c>
      <c r="H35" s="561">
        <v>849</v>
      </c>
      <c r="I35" s="561">
        <v>7</v>
      </c>
      <c r="J35" s="561">
        <v>129</v>
      </c>
      <c r="K35" s="561">
        <f t="shared" si="4"/>
        <v>9820</v>
      </c>
      <c r="L35" s="561">
        <v>479</v>
      </c>
      <c r="M35" s="561">
        <v>1907</v>
      </c>
      <c r="N35" s="561">
        <v>3126</v>
      </c>
      <c r="O35" s="561">
        <v>1564</v>
      </c>
      <c r="P35" s="561">
        <v>95</v>
      </c>
      <c r="Q35" s="561">
        <f t="shared" si="7"/>
        <v>7171</v>
      </c>
      <c r="R35" s="561"/>
      <c r="S35" s="561"/>
      <c r="T35" s="561"/>
      <c r="U35" s="561"/>
      <c r="V35" s="561"/>
      <c r="W35" s="561"/>
      <c r="X35" s="561"/>
      <c r="Y35" s="561"/>
      <c r="Z35" s="561">
        <f t="shared" si="6"/>
        <v>0</v>
      </c>
    </row>
    <row r="36" spans="1:26" s="149" customFormat="1" x14ac:dyDescent="0.25">
      <c r="A36" s="1137"/>
      <c r="B36" s="611" t="s">
        <v>94</v>
      </c>
      <c r="C36" s="31" t="s">
        <v>95</v>
      </c>
      <c r="D36" s="561">
        <v>140</v>
      </c>
      <c r="E36" s="561">
        <v>0</v>
      </c>
      <c r="F36" s="561">
        <v>0</v>
      </c>
      <c r="G36" s="561">
        <f t="shared" si="3"/>
        <v>0</v>
      </c>
      <c r="H36" s="561">
        <v>0</v>
      </c>
      <c r="I36" s="561">
        <v>0</v>
      </c>
      <c r="J36" s="561">
        <v>0</v>
      </c>
      <c r="K36" s="561">
        <f t="shared" si="4"/>
        <v>140</v>
      </c>
      <c r="L36" s="561">
        <v>0</v>
      </c>
      <c r="M36" s="561">
        <v>0</v>
      </c>
      <c r="N36" s="561">
        <v>0</v>
      </c>
      <c r="O36" s="561">
        <v>0</v>
      </c>
      <c r="P36" s="561">
        <v>0</v>
      </c>
      <c r="Q36" s="561">
        <f t="shared" si="7"/>
        <v>0</v>
      </c>
      <c r="R36" s="561"/>
      <c r="S36" s="561"/>
      <c r="T36" s="561"/>
      <c r="U36" s="561"/>
      <c r="V36" s="561"/>
      <c r="W36" s="561"/>
      <c r="X36" s="561"/>
      <c r="Y36" s="561"/>
      <c r="Z36" s="561">
        <f t="shared" si="6"/>
        <v>0</v>
      </c>
    </row>
    <row r="37" spans="1:26" s="27" customFormat="1" x14ac:dyDescent="0.25">
      <c r="A37" s="593">
        <v>26</v>
      </c>
      <c r="B37" s="72" t="s">
        <v>96</v>
      </c>
      <c r="C37" s="31" t="s">
        <v>97</v>
      </c>
      <c r="D37" s="561">
        <v>0</v>
      </c>
      <c r="E37" s="561">
        <v>0</v>
      </c>
      <c r="F37" s="561">
        <v>0</v>
      </c>
      <c r="G37" s="561">
        <f t="shared" si="3"/>
        <v>0</v>
      </c>
      <c r="H37" s="561">
        <v>0</v>
      </c>
      <c r="I37" s="561">
        <v>0</v>
      </c>
      <c r="J37" s="561">
        <v>0</v>
      </c>
      <c r="K37" s="561">
        <f t="shared" si="4"/>
        <v>0</v>
      </c>
      <c r="L37" s="561">
        <v>0</v>
      </c>
      <c r="M37" s="561">
        <v>0</v>
      </c>
      <c r="N37" s="561">
        <v>0</v>
      </c>
      <c r="O37" s="561">
        <v>0</v>
      </c>
      <c r="P37" s="561">
        <v>0</v>
      </c>
      <c r="Q37" s="561">
        <f t="shared" si="5"/>
        <v>0</v>
      </c>
      <c r="R37" s="561"/>
      <c r="S37" s="561"/>
      <c r="T37" s="561"/>
      <c r="U37" s="561"/>
      <c r="V37" s="561"/>
      <c r="W37" s="561"/>
      <c r="X37" s="561"/>
      <c r="Y37" s="561"/>
      <c r="Z37" s="561">
        <f t="shared" si="6"/>
        <v>0</v>
      </c>
    </row>
    <row r="38" spans="1:26" s="27" customFormat="1" x14ac:dyDescent="0.25">
      <c r="A38" s="593">
        <v>27</v>
      </c>
      <c r="B38" s="72" t="s">
        <v>26</v>
      </c>
      <c r="C38" s="31" t="s">
        <v>27</v>
      </c>
      <c r="D38" s="561">
        <v>1789</v>
      </c>
      <c r="E38" s="561">
        <v>58</v>
      </c>
      <c r="F38" s="561">
        <v>260</v>
      </c>
      <c r="G38" s="561">
        <f t="shared" si="3"/>
        <v>392</v>
      </c>
      <c r="H38" s="561">
        <v>347</v>
      </c>
      <c r="I38" s="561">
        <v>1</v>
      </c>
      <c r="J38" s="561">
        <v>44</v>
      </c>
      <c r="K38" s="561">
        <f t="shared" si="4"/>
        <v>2499</v>
      </c>
      <c r="L38" s="561">
        <v>9</v>
      </c>
      <c r="M38" s="561">
        <v>132</v>
      </c>
      <c r="N38" s="561">
        <v>1904</v>
      </c>
      <c r="O38" s="561">
        <v>1289</v>
      </c>
      <c r="P38" s="561">
        <v>0</v>
      </c>
      <c r="Q38" s="561">
        <f t="shared" si="5"/>
        <v>3334</v>
      </c>
      <c r="R38" s="561"/>
      <c r="S38" s="561"/>
      <c r="T38" s="561"/>
      <c r="U38" s="561"/>
      <c r="V38" s="561"/>
      <c r="W38" s="561"/>
      <c r="X38" s="561"/>
      <c r="Y38" s="561"/>
      <c r="Z38" s="561">
        <f t="shared" si="6"/>
        <v>0</v>
      </c>
    </row>
    <row r="39" spans="1:26" s="27" customFormat="1" x14ac:dyDescent="0.25">
      <c r="A39" s="593">
        <v>28</v>
      </c>
      <c r="B39" s="71" t="s">
        <v>98</v>
      </c>
      <c r="C39" s="31" t="s">
        <v>99</v>
      </c>
      <c r="D39" s="561">
        <v>3152</v>
      </c>
      <c r="E39" s="561">
        <v>72</v>
      </c>
      <c r="F39" s="561">
        <v>383</v>
      </c>
      <c r="G39" s="561">
        <f t="shared" si="3"/>
        <v>426</v>
      </c>
      <c r="H39" s="561">
        <v>336</v>
      </c>
      <c r="I39" s="561">
        <v>30</v>
      </c>
      <c r="J39" s="561">
        <v>60</v>
      </c>
      <c r="K39" s="561">
        <f t="shared" si="4"/>
        <v>4033</v>
      </c>
      <c r="L39" s="561">
        <v>66</v>
      </c>
      <c r="M39" s="561">
        <v>690</v>
      </c>
      <c r="N39" s="561">
        <v>1163</v>
      </c>
      <c r="O39" s="561">
        <v>786</v>
      </c>
      <c r="P39" s="561">
        <v>0</v>
      </c>
      <c r="Q39" s="561">
        <f t="shared" si="5"/>
        <v>2705</v>
      </c>
      <c r="R39" s="561"/>
      <c r="S39" s="561"/>
      <c r="T39" s="561"/>
      <c r="U39" s="561"/>
      <c r="V39" s="561"/>
      <c r="W39" s="561"/>
      <c r="X39" s="561"/>
      <c r="Y39" s="561"/>
      <c r="Z39" s="561">
        <f t="shared" si="6"/>
        <v>0</v>
      </c>
    </row>
    <row r="40" spans="1:26" s="27" customFormat="1" x14ac:dyDescent="0.25">
      <c r="A40" s="593">
        <v>29</v>
      </c>
      <c r="B40" s="72" t="s">
        <v>100</v>
      </c>
      <c r="C40" s="31" t="s">
        <v>101</v>
      </c>
      <c r="D40" s="561">
        <v>505</v>
      </c>
      <c r="E40" s="561">
        <v>0</v>
      </c>
      <c r="F40" s="561">
        <v>73</v>
      </c>
      <c r="G40" s="561">
        <f t="shared" si="3"/>
        <v>0</v>
      </c>
      <c r="H40" s="561">
        <v>0</v>
      </c>
      <c r="I40" s="561">
        <v>0</v>
      </c>
      <c r="J40" s="561">
        <v>0</v>
      </c>
      <c r="K40" s="561">
        <f t="shared" si="4"/>
        <v>578</v>
      </c>
      <c r="L40" s="561">
        <v>0</v>
      </c>
      <c r="M40" s="561">
        <v>0</v>
      </c>
      <c r="N40" s="561">
        <v>0</v>
      </c>
      <c r="O40" s="561">
        <v>0</v>
      </c>
      <c r="P40" s="561">
        <v>0</v>
      </c>
      <c r="Q40" s="561">
        <f t="shared" si="5"/>
        <v>0</v>
      </c>
      <c r="R40" s="561"/>
      <c r="S40" s="561"/>
      <c r="T40" s="561"/>
      <c r="U40" s="561"/>
      <c r="V40" s="561"/>
      <c r="W40" s="561"/>
      <c r="X40" s="561"/>
      <c r="Y40" s="561"/>
      <c r="Z40" s="561">
        <f t="shared" si="6"/>
        <v>0</v>
      </c>
    </row>
    <row r="41" spans="1:26" s="149" customFormat="1" x14ac:dyDescent="0.25">
      <c r="A41" s="593">
        <v>30</v>
      </c>
      <c r="B41" s="611" t="s">
        <v>102</v>
      </c>
      <c r="C41" s="31" t="s">
        <v>103</v>
      </c>
      <c r="D41" s="561">
        <v>1820</v>
      </c>
      <c r="E41" s="561">
        <v>50</v>
      </c>
      <c r="F41" s="561">
        <v>265</v>
      </c>
      <c r="G41" s="561">
        <f t="shared" si="3"/>
        <v>231</v>
      </c>
      <c r="H41" s="561">
        <v>201</v>
      </c>
      <c r="I41" s="561">
        <v>15</v>
      </c>
      <c r="J41" s="561">
        <v>15</v>
      </c>
      <c r="K41" s="561">
        <f t="shared" si="4"/>
        <v>2366</v>
      </c>
      <c r="L41" s="561">
        <v>0</v>
      </c>
      <c r="M41" s="561">
        <v>0</v>
      </c>
      <c r="N41" s="561">
        <v>0</v>
      </c>
      <c r="O41" s="561">
        <v>0</v>
      </c>
      <c r="P41" s="561">
        <v>0</v>
      </c>
      <c r="Q41" s="561">
        <f t="shared" si="5"/>
        <v>0</v>
      </c>
      <c r="R41" s="561"/>
      <c r="S41" s="561"/>
      <c r="T41" s="561"/>
      <c r="U41" s="561"/>
      <c r="V41" s="561"/>
      <c r="W41" s="561"/>
      <c r="X41" s="561"/>
      <c r="Y41" s="561"/>
      <c r="Z41" s="561">
        <f t="shared" si="6"/>
        <v>0</v>
      </c>
    </row>
    <row r="42" spans="1:26" x14ac:dyDescent="0.25">
      <c r="A42" s="593">
        <v>31</v>
      </c>
      <c r="B42" s="72" t="s">
        <v>104</v>
      </c>
      <c r="C42" s="31" t="s">
        <v>105</v>
      </c>
      <c r="D42" s="561">
        <v>669</v>
      </c>
      <c r="E42" s="561">
        <v>0</v>
      </c>
      <c r="F42" s="561">
        <v>97</v>
      </c>
      <c r="G42" s="561">
        <f t="shared" si="3"/>
        <v>82</v>
      </c>
      <c r="H42" s="561">
        <v>57</v>
      </c>
      <c r="I42" s="561">
        <v>1</v>
      </c>
      <c r="J42" s="561">
        <v>24</v>
      </c>
      <c r="K42" s="561">
        <f t="shared" si="4"/>
        <v>848</v>
      </c>
      <c r="L42" s="561">
        <v>0</v>
      </c>
      <c r="M42" s="561">
        <v>0</v>
      </c>
      <c r="N42" s="561">
        <v>0</v>
      </c>
      <c r="O42" s="561">
        <v>0</v>
      </c>
      <c r="P42" s="561">
        <v>0</v>
      </c>
      <c r="Q42" s="561">
        <f t="shared" si="5"/>
        <v>0</v>
      </c>
      <c r="R42" s="561"/>
      <c r="S42" s="561"/>
      <c r="T42" s="561"/>
      <c r="U42" s="561"/>
      <c r="V42" s="561"/>
      <c r="W42" s="561"/>
      <c r="X42" s="561"/>
      <c r="Y42" s="561"/>
      <c r="Z42" s="561">
        <f t="shared" si="6"/>
        <v>0</v>
      </c>
    </row>
    <row r="43" spans="1:26" s="27" customFormat="1" x14ac:dyDescent="0.25">
      <c r="A43" s="593">
        <v>32</v>
      </c>
      <c r="B43" s="71" t="s">
        <v>106</v>
      </c>
      <c r="C43" s="31" t="s">
        <v>107</v>
      </c>
      <c r="D43" s="561">
        <v>1831</v>
      </c>
      <c r="E43" s="561">
        <v>48</v>
      </c>
      <c r="F43" s="561">
        <v>255</v>
      </c>
      <c r="G43" s="561">
        <f t="shared" si="3"/>
        <v>199</v>
      </c>
      <c r="H43" s="561">
        <v>188</v>
      </c>
      <c r="I43" s="561">
        <v>0</v>
      </c>
      <c r="J43" s="561">
        <v>11</v>
      </c>
      <c r="K43" s="561">
        <f t="shared" si="4"/>
        <v>2333</v>
      </c>
      <c r="L43" s="561">
        <v>0</v>
      </c>
      <c r="M43" s="561">
        <v>0</v>
      </c>
      <c r="N43" s="561">
        <v>0</v>
      </c>
      <c r="O43" s="561">
        <v>0</v>
      </c>
      <c r="P43" s="561">
        <v>0</v>
      </c>
      <c r="Q43" s="561">
        <f t="shared" si="5"/>
        <v>0</v>
      </c>
      <c r="R43" s="561"/>
      <c r="S43" s="561"/>
      <c r="T43" s="561"/>
      <c r="U43" s="561"/>
      <c r="V43" s="561"/>
      <c r="W43" s="561"/>
      <c r="X43" s="561"/>
      <c r="Y43" s="561"/>
      <c r="Z43" s="561">
        <f t="shared" si="6"/>
        <v>0</v>
      </c>
    </row>
    <row r="44" spans="1:26" s="27" customFormat="1" x14ac:dyDescent="0.25">
      <c r="A44" s="593">
        <v>33</v>
      </c>
      <c r="B44" s="594" t="s">
        <v>108</v>
      </c>
      <c r="C44" s="595" t="s">
        <v>109</v>
      </c>
      <c r="D44" s="561">
        <v>599</v>
      </c>
      <c r="E44" s="561">
        <v>16</v>
      </c>
      <c r="F44" s="561">
        <v>87</v>
      </c>
      <c r="G44" s="561">
        <f t="shared" si="3"/>
        <v>0</v>
      </c>
      <c r="H44" s="561">
        <v>0</v>
      </c>
      <c r="I44" s="561">
        <v>0</v>
      </c>
      <c r="J44" s="561">
        <v>0</v>
      </c>
      <c r="K44" s="561">
        <f t="shared" si="4"/>
        <v>702</v>
      </c>
      <c r="L44" s="561">
        <v>0</v>
      </c>
      <c r="M44" s="561">
        <v>0</v>
      </c>
      <c r="N44" s="561">
        <v>0</v>
      </c>
      <c r="O44" s="561">
        <v>0</v>
      </c>
      <c r="P44" s="561">
        <v>0</v>
      </c>
      <c r="Q44" s="561">
        <f t="shared" si="5"/>
        <v>0</v>
      </c>
      <c r="R44" s="561"/>
      <c r="S44" s="561"/>
      <c r="T44" s="561"/>
      <c r="U44" s="561"/>
      <c r="V44" s="561"/>
      <c r="W44" s="561"/>
      <c r="X44" s="561"/>
      <c r="Y44" s="561"/>
      <c r="Z44" s="561">
        <f t="shared" si="6"/>
        <v>0</v>
      </c>
    </row>
    <row r="45" spans="1:26" s="27" customFormat="1" x14ac:dyDescent="0.25">
      <c r="A45" s="593">
        <v>34</v>
      </c>
      <c r="B45" s="71" t="s">
        <v>110</v>
      </c>
      <c r="C45" s="31" t="s">
        <v>111</v>
      </c>
      <c r="D45" s="561">
        <v>385</v>
      </c>
      <c r="E45" s="561">
        <v>0</v>
      </c>
      <c r="F45" s="561">
        <v>0</v>
      </c>
      <c r="G45" s="561">
        <f t="shared" si="3"/>
        <v>0</v>
      </c>
      <c r="H45" s="561">
        <v>0</v>
      </c>
      <c r="I45" s="561">
        <v>0</v>
      </c>
      <c r="J45" s="561">
        <v>0</v>
      </c>
      <c r="K45" s="561">
        <f t="shared" si="4"/>
        <v>385</v>
      </c>
      <c r="L45" s="561">
        <v>0</v>
      </c>
      <c r="M45" s="561">
        <v>0</v>
      </c>
      <c r="N45" s="561">
        <v>0</v>
      </c>
      <c r="O45" s="561">
        <v>0</v>
      </c>
      <c r="P45" s="561">
        <v>0</v>
      </c>
      <c r="Q45" s="561">
        <f t="shared" si="5"/>
        <v>0</v>
      </c>
      <c r="R45" s="561"/>
      <c r="S45" s="561"/>
      <c r="T45" s="561"/>
      <c r="U45" s="561"/>
      <c r="V45" s="561"/>
      <c r="W45" s="561"/>
      <c r="X45" s="561"/>
      <c r="Y45" s="561"/>
      <c r="Z45" s="561">
        <f t="shared" si="6"/>
        <v>0</v>
      </c>
    </row>
    <row r="46" spans="1:26" x14ac:dyDescent="0.25">
      <c r="A46" s="593">
        <v>35</v>
      </c>
      <c r="B46" s="71" t="s">
        <v>112</v>
      </c>
      <c r="C46" s="31" t="s">
        <v>113</v>
      </c>
      <c r="D46" s="561">
        <v>684</v>
      </c>
      <c r="E46" s="561">
        <v>19</v>
      </c>
      <c r="F46" s="561">
        <v>99</v>
      </c>
      <c r="G46" s="561">
        <f t="shared" si="3"/>
        <v>88</v>
      </c>
      <c r="H46" s="561">
        <v>65</v>
      </c>
      <c r="I46" s="561">
        <v>1</v>
      </c>
      <c r="J46" s="561">
        <v>22</v>
      </c>
      <c r="K46" s="561">
        <f t="shared" si="4"/>
        <v>890</v>
      </c>
      <c r="L46" s="561">
        <v>0</v>
      </c>
      <c r="M46" s="561">
        <v>0</v>
      </c>
      <c r="N46" s="561">
        <v>0</v>
      </c>
      <c r="O46" s="561">
        <v>0</v>
      </c>
      <c r="P46" s="561">
        <v>0</v>
      </c>
      <c r="Q46" s="561">
        <f t="shared" si="5"/>
        <v>0</v>
      </c>
      <c r="R46" s="561"/>
      <c r="S46" s="561"/>
      <c r="T46" s="561"/>
      <c r="U46" s="561"/>
      <c r="V46" s="561"/>
      <c r="W46" s="561"/>
      <c r="X46" s="561"/>
      <c r="Y46" s="561"/>
      <c r="Z46" s="561">
        <f t="shared" si="6"/>
        <v>0</v>
      </c>
    </row>
    <row r="47" spans="1:26" s="27" customFormat="1" x14ac:dyDescent="0.25">
      <c r="A47" s="593">
        <v>36</v>
      </c>
      <c r="B47" s="611" t="s">
        <v>114</v>
      </c>
      <c r="C47" s="31" t="s">
        <v>115</v>
      </c>
      <c r="D47" s="561">
        <v>312</v>
      </c>
      <c r="E47" s="561">
        <v>0</v>
      </c>
      <c r="F47" s="561">
        <v>45</v>
      </c>
      <c r="G47" s="561">
        <f t="shared" si="3"/>
        <v>0</v>
      </c>
      <c r="H47" s="561">
        <v>0</v>
      </c>
      <c r="I47" s="561">
        <v>0</v>
      </c>
      <c r="J47" s="561">
        <v>0</v>
      </c>
      <c r="K47" s="561">
        <f t="shared" si="4"/>
        <v>357</v>
      </c>
      <c r="L47" s="561">
        <v>0</v>
      </c>
      <c r="M47" s="561">
        <v>0</v>
      </c>
      <c r="N47" s="561">
        <v>0</v>
      </c>
      <c r="O47" s="561">
        <v>0</v>
      </c>
      <c r="P47" s="561">
        <v>0</v>
      </c>
      <c r="Q47" s="561">
        <f t="shared" si="5"/>
        <v>0</v>
      </c>
      <c r="R47" s="561"/>
      <c r="S47" s="561"/>
      <c r="T47" s="561"/>
      <c r="U47" s="561"/>
      <c r="V47" s="561"/>
      <c r="W47" s="561"/>
      <c r="X47" s="561"/>
      <c r="Y47" s="561"/>
      <c r="Z47" s="561">
        <f t="shared" si="6"/>
        <v>0</v>
      </c>
    </row>
    <row r="48" spans="1:26" s="27" customFormat="1" x14ac:dyDescent="0.25">
      <c r="A48" s="593">
        <v>37</v>
      </c>
      <c r="B48" s="72" t="s">
        <v>116</v>
      </c>
      <c r="C48" s="31" t="s">
        <v>117</v>
      </c>
      <c r="D48" s="561">
        <v>450</v>
      </c>
      <c r="E48" s="561">
        <v>0</v>
      </c>
      <c r="F48" s="561">
        <v>65</v>
      </c>
      <c r="G48" s="561">
        <f t="shared" si="3"/>
        <v>0</v>
      </c>
      <c r="H48" s="561">
        <v>0</v>
      </c>
      <c r="I48" s="561">
        <v>0</v>
      </c>
      <c r="J48" s="561">
        <v>0</v>
      </c>
      <c r="K48" s="561">
        <f t="shared" si="4"/>
        <v>515</v>
      </c>
      <c r="L48" s="561">
        <v>8</v>
      </c>
      <c r="M48" s="561">
        <v>64</v>
      </c>
      <c r="N48" s="561">
        <v>160</v>
      </c>
      <c r="O48" s="561">
        <v>108</v>
      </c>
      <c r="P48" s="561">
        <v>0</v>
      </c>
      <c r="Q48" s="561">
        <f t="shared" si="5"/>
        <v>340</v>
      </c>
      <c r="R48" s="561"/>
      <c r="S48" s="561"/>
      <c r="T48" s="561"/>
      <c r="U48" s="561"/>
      <c r="V48" s="561"/>
      <c r="W48" s="561"/>
      <c r="X48" s="561"/>
      <c r="Y48" s="561"/>
      <c r="Z48" s="561">
        <f t="shared" si="6"/>
        <v>0</v>
      </c>
    </row>
    <row r="49" spans="1:26" s="27" customFormat="1" x14ac:dyDescent="0.25">
      <c r="A49" s="593">
        <v>38</v>
      </c>
      <c r="B49" s="611" t="s">
        <v>28</v>
      </c>
      <c r="C49" s="31" t="s">
        <v>29</v>
      </c>
      <c r="D49" s="561">
        <v>2603</v>
      </c>
      <c r="E49" s="561">
        <v>178</v>
      </c>
      <c r="F49" s="561">
        <v>340</v>
      </c>
      <c r="G49" s="561">
        <f t="shared" si="3"/>
        <v>1082</v>
      </c>
      <c r="H49" s="561">
        <v>922</v>
      </c>
      <c r="I49" s="561">
        <v>60</v>
      </c>
      <c r="J49" s="561">
        <v>100</v>
      </c>
      <c r="K49" s="561">
        <f t="shared" si="4"/>
        <v>4203</v>
      </c>
      <c r="L49" s="561">
        <v>44</v>
      </c>
      <c r="M49" s="561">
        <v>384</v>
      </c>
      <c r="N49" s="561">
        <v>1077</v>
      </c>
      <c r="O49" s="561">
        <v>697</v>
      </c>
      <c r="P49" s="561">
        <v>0</v>
      </c>
      <c r="Q49" s="561">
        <f t="shared" si="5"/>
        <v>2202</v>
      </c>
      <c r="R49" s="561"/>
      <c r="S49" s="561"/>
      <c r="T49" s="561"/>
      <c r="U49" s="561"/>
      <c r="V49" s="561"/>
      <c r="W49" s="561"/>
      <c r="X49" s="561"/>
      <c r="Y49" s="561"/>
      <c r="Z49" s="561">
        <f t="shared" si="6"/>
        <v>0</v>
      </c>
    </row>
    <row r="50" spans="1:26" s="27" customFormat="1" x14ac:dyDescent="0.25">
      <c r="A50" s="593">
        <v>39</v>
      </c>
      <c r="B50" s="71" t="s">
        <v>118</v>
      </c>
      <c r="C50" s="31" t="s">
        <v>119</v>
      </c>
      <c r="D50" s="561">
        <v>542</v>
      </c>
      <c r="E50" s="561">
        <v>0</v>
      </c>
      <c r="F50" s="561">
        <v>79</v>
      </c>
      <c r="G50" s="561">
        <f t="shared" si="3"/>
        <v>0</v>
      </c>
      <c r="H50" s="561">
        <v>0</v>
      </c>
      <c r="I50" s="561">
        <v>0</v>
      </c>
      <c r="J50" s="561">
        <v>0</v>
      </c>
      <c r="K50" s="561">
        <f t="shared" si="4"/>
        <v>621</v>
      </c>
      <c r="L50" s="561">
        <v>0</v>
      </c>
      <c r="M50" s="561">
        <v>0</v>
      </c>
      <c r="N50" s="561">
        <v>0</v>
      </c>
      <c r="O50" s="561">
        <v>0</v>
      </c>
      <c r="P50" s="561">
        <v>0</v>
      </c>
      <c r="Q50" s="561">
        <f t="shared" si="5"/>
        <v>0</v>
      </c>
      <c r="R50" s="561"/>
      <c r="S50" s="561"/>
      <c r="T50" s="561"/>
      <c r="U50" s="561"/>
      <c r="V50" s="561"/>
      <c r="W50" s="561"/>
      <c r="X50" s="561"/>
      <c r="Y50" s="561"/>
      <c r="Z50" s="561">
        <f t="shared" si="6"/>
        <v>0</v>
      </c>
    </row>
    <row r="51" spans="1:26" s="27" customFormat="1" x14ac:dyDescent="0.25">
      <c r="A51" s="593">
        <v>40</v>
      </c>
      <c r="B51" s="71" t="s">
        <v>120</v>
      </c>
      <c r="C51" s="31" t="s">
        <v>121</v>
      </c>
      <c r="D51" s="561">
        <v>1898</v>
      </c>
      <c r="E51" s="561">
        <v>52</v>
      </c>
      <c r="F51" s="561">
        <v>276</v>
      </c>
      <c r="G51" s="561">
        <f t="shared" si="3"/>
        <v>0</v>
      </c>
      <c r="H51" s="561">
        <v>0</v>
      </c>
      <c r="I51" s="561">
        <v>0</v>
      </c>
      <c r="J51" s="561">
        <v>0</v>
      </c>
      <c r="K51" s="561">
        <f t="shared" si="4"/>
        <v>2226</v>
      </c>
      <c r="L51" s="561">
        <v>95</v>
      </c>
      <c r="M51" s="561">
        <v>697</v>
      </c>
      <c r="N51" s="561">
        <v>1394</v>
      </c>
      <c r="O51" s="561">
        <v>1145</v>
      </c>
      <c r="P51" s="561">
        <v>0</v>
      </c>
      <c r="Q51" s="561">
        <f t="shared" si="5"/>
        <v>3331</v>
      </c>
      <c r="R51" s="561"/>
      <c r="S51" s="561"/>
      <c r="T51" s="561"/>
      <c r="U51" s="561"/>
      <c r="V51" s="561"/>
      <c r="W51" s="561"/>
      <c r="X51" s="561"/>
      <c r="Y51" s="561"/>
      <c r="Z51" s="561">
        <f t="shared" si="6"/>
        <v>0</v>
      </c>
    </row>
    <row r="52" spans="1:26" s="149" customFormat="1" x14ac:dyDescent="0.25">
      <c r="A52" s="593">
        <v>41</v>
      </c>
      <c r="B52" s="611" t="s">
        <v>122</v>
      </c>
      <c r="C52" s="31" t="s">
        <v>123</v>
      </c>
      <c r="D52" s="561">
        <v>415</v>
      </c>
      <c r="E52" s="561">
        <v>0</v>
      </c>
      <c r="F52" s="561">
        <v>60</v>
      </c>
      <c r="G52" s="561">
        <f t="shared" si="3"/>
        <v>0</v>
      </c>
      <c r="H52" s="561">
        <v>0</v>
      </c>
      <c r="I52" s="561">
        <v>0</v>
      </c>
      <c r="J52" s="561">
        <v>0</v>
      </c>
      <c r="K52" s="561">
        <f t="shared" si="4"/>
        <v>475</v>
      </c>
      <c r="L52" s="561">
        <v>0</v>
      </c>
      <c r="M52" s="561">
        <v>0</v>
      </c>
      <c r="N52" s="561">
        <v>0</v>
      </c>
      <c r="O52" s="561">
        <v>0</v>
      </c>
      <c r="P52" s="561">
        <v>0</v>
      </c>
      <c r="Q52" s="561">
        <f t="shared" si="5"/>
        <v>0</v>
      </c>
      <c r="R52" s="561"/>
      <c r="S52" s="561"/>
      <c r="T52" s="561"/>
      <c r="U52" s="561"/>
      <c r="V52" s="561"/>
      <c r="W52" s="561"/>
      <c r="X52" s="561"/>
      <c r="Y52" s="561"/>
      <c r="Z52" s="561">
        <f t="shared" si="6"/>
        <v>0</v>
      </c>
    </row>
    <row r="53" spans="1:26" s="27" customFormat="1" x14ac:dyDescent="0.25">
      <c r="A53" s="593">
        <v>42</v>
      </c>
      <c r="B53" s="72" t="s">
        <v>124</v>
      </c>
      <c r="C53" s="31" t="s">
        <v>125</v>
      </c>
      <c r="D53" s="561">
        <v>567</v>
      </c>
      <c r="E53" s="561">
        <v>16</v>
      </c>
      <c r="F53" s="561">
        <v>82</v>
      </c>
      <c r="G53" s="561">
        <f t="shared" si="3"/>
        <v>0</v>
      </c>
      <c r="H53" s="561">
        <v>0</v>
      </c>
      <c r="I53" s="561">
        <v>0</v>
      </c>
      <c r="J53" s="561">
        <v>0</v>
      </c>
      <c r="K53" s="561">
        <f t="shared" si="4"/>
        <v>665</v>
      </c>
      <c r="L53" s="561">
        <v>0</v>
      </c>
      <c r="M53" s="561">
        <v>0</v>
      </c>
      <c r="N53" s="561">
        <v>0</v>
      </c>
      <c r="O53" s="561">
        <v>0</v>
      </c>
      <c r="P53" s="561">
        <v>0</v>
      </c>
      <c r="Q53" s="561">
        <f t="shared" si="5"/>
        <v>0</v>
      </c>
      <c r="R53" s="561"/>
      <c r="S53" s="561"/>
      <c r="T53" s="561"/>
      <c r="U53" s="561"/>
      <c r="V53" s="561"/>
      <c r="W53" s="561"/>
      <c r="X53" s="561"/>
      <c r="Y53" s="561"/>
      <c r="Z53" s="561">
        <f t="shared" si="6"/>
        <v>0</v>
      </c>
    </row>
    <row r="54" spans="1:26" s="27" customFormat="1" x14ac:dyDescent="0.25">
      <c r="A54" s="593">
        <v>43</v>
      </c>
      <c r="B54" s="611" t="s">
        <v>126</v>
      </c>
      <c r="C54" s="31" t="s">
        <v>127</v>
      </c>
      <c r="D54" s="561">
        <v>664</v>
      </c>
      <c r="E54" s="561">
        <v>0</v>
      </c>
      <c r="F54" s="561">
        <v>97</v>
      </c>
      <c r="G54" s="561">
        <f t="shared" si="3"/>
        <v>85</v>
      </c>
      <c r="H54" s="561">
        <v>79</v>
      </c>
      <c r="I54" s="561">
        <v>1</v>
      </c>
      <c r="J54" s="561">
        <v>5</v>
      </c>
      <c r="K54" s="561">
        <f t="shared" si="4"/>
        <v>846</v>
      </c>
      <c r="L54" s="561">
        <v>0</v>
      </c>
      <c r="M54" s="561">
        <v>0</v>
      </c>
      <c r="N54" s="561">
        <v>0</v>
      </c>
      <c r="O54" s="561">
        <v>0</v>
      </c>
      <c r="P54" s="561">
        <v>0</v>
      </c>
      <c r="Q54" s="561">
        <f t="shared" si="5"/>
        <v>0</v>
      </c>
      <c r="R54" s="561"/>
      <c r="S54" s="561"/>
      <c r="T54" s="561"/>
      <c r="U54" s="561"/>
      <c r="V54" s="561"/>
      <c r="W54" s="561"/>
      <c r="X54" s="561"/>
      <c r="Y54" s="561"/>
      <c r="Z54" s="561">
        <f t="shared" si="6"/>
        <v>0</v>
      </c>
    </row>
    <row r="55" spans="1:26" s="27" customFormat="1" x14ac:dyDescent="0.25">
      <c r="A55" s="593">
        <v>44</v>
      </c>
      <c r="B55" s="72" t="s">
        <v>128</v>
      </c>
      <c r="C55" s="31" t="s">
        <v>129</v>
      </c>
      <c r="D55" s="561">
        <v>785</v>
      </c>
      <c r="E55" s="561">
        <v>22</v>
      </c>
      <c r="F55" s="561">
        <v>114</v>
      </c>
      <c r="G55" s="561">
        <f t="shared" si="3"/>
        <v>0</v>
      </c>
      <c r="H55" s="561">
        <v>0</v>
      </c>
      <c r="I55" s="561">
        <v>0</v>
      </c>
      <c r="J55" s="561">
        <v>0</v>
      </c>
      <c r="K55" s="561">
        <f t="shared" si="4"/>
        <v>921</v>
      </c>
      <c r="L55" s="561">
        <v>29</v>
      </c>
      <c r="M55" s="561">
        <v>410</v>
      </c>
      <c r="N55" s="561">
        <v>819</v>
      </c>
      <c r="O55" s="561">
        <v>213</v>
      </c>
      <c r="P55" s="561">
        <v>0</v>
      </c>
      <c r="Q55" s="561">
        <f t="shared" si="5"/>
        <v>1471</v>
      </c>
      <c r="R55" s="561"/>
      <c r="S55" s="561"/>
      <c r="T55" s="561"/>
      <c r="U55" s="561"/>
      <c r="V55" s="561"/>
      <c r="W55" s="561"/>
      <c r="X55" s="561"/>
      <c r="Y55" s="561"/>
      <c r="Z55" s="561">
        <f t="shared" si="6"/>
        <v>0</v>
      </c>
    </row>
    <row r="56" spans="1:26" s="27" customFormat="1" x14ac:dyDescent="0.25">
      <c r="A56" s="593">
        <v>45</v>
      </c>
      <c r="B56" s="611" t="s">
        <v>130</v>
      </c>
      <c r="C56" s="31" t="s">
        <v>131</v>
      </c>
      <c r="D56" s="561">
        <v>279</v>
      </c>
      <c r="E56" s="561">
        <v>8</v>
      </c>
      <c r="F56" s="561">
        <v>41</v>
      </c>
      <c r="G56" s="561">
        <f t="shared" si="3"/>
        <v>0</v>
      </c>
      <c r="H56" s="561">
        <v>0</v>
      </c>
      <c r="I56" s="561">
        <v>0</v>
      </c>
      <c r="J56" s="561">
        <v>0</v>
      </c>
      <c r="K56" s="561">
        <f t="shared" si="4"/>
        <v>328</v>
      </c>
      <c r="L56" s="561">
        <v>0</v>
      </c>
      <c r="M56" s="561">
        <v>0</v>
      </c>
      <c r="N56" s="561">
        <v>0</v>
      </c>
      <c r="O56" s="561">
        <v>0</v>
      </c>
      <c r="P56" s="561">
        <v>0</v>
      </c>
      <c r="Q56" s="561">
        <f t="shared" si="5"/>
        <v>0</v>
      </c>
      <c r="R56" s="561"/>
      <c r="S56" s="561"/>
      <c r="T56" s="561"/>
      <c r="U56" s="561"/>
      <c r="V56" s="561"/>
      <c r="W56" s="561"/>
      <c r="X56" s="561"/>
      <c r="Y56" s="561"/>
      <c r="Z56" s="561">
        <f t="shared" si="6"/>
        <v>0</v>
      </c>
    </row>
    <row r="57" spans="1:26" s="27" customFormat="1" x14ac:dyDescent="0.25">
      <c r="A57" s="593">
        <v>46</v>
      </c>
      <c r="B57" s="72" t="s">
        <v>132</v>
      </c>
      <c r="C57" s="31" t="s">
        <v>133</v>
      </c>
      <c r="D57" s="561">
        <v>511</v>
      </c>
      <c r="E57" s="561">
        <v>14</v>
      </c>
      <c r="F57" s="561">
        <v>74</v>
      </c>
      <c r="G57" s="561">
        <f t="shared" si="3"/>
        <v>0</v>
      </c>
      <c r="H57" s="561">
        <v>0</v>
      </c>
      <c r="I57" s="561">
        <v>0</v>
      </c>
      <c r="J57" s="561">
        <v>0</v>
      </c>
      <c r="K57" s="561">
        <f t="shared" si="4"/>
        <v>599</v>
      </c>
      <c r="L57" s="561">
        <v>0</v>
      </c>
      <c r="M57" s="561">
        <v>0</v>
      </c>
      <c r="N57" s="561">
        <v>0</v>
      </c>
      <c r="O57" s="561">
        <v>0</v>
      </c>
      <c r="P57" s="561">
        <v>0</v>
      </c>
      <c r="Q57" s="561">
        <f t="shared" si="5"/>
        <v>0</v>
      </c>
      <c r="R57" s="561"/>
      <c r="S57" s="561"/>
      <c r="T57" s="561"/>
      <c r="U57" s="561"/>
      <c r="V57" s="561"/>
      <c r="W57" s="561"/>
      <c r="X57" s="561"/>
      <c r="Y57" s="561"/>
      <c r="Z57" s="561">
        <f t="shared" si="6"/>
        <v>0</v>
      </c>
    </row>
    <row r="58" spans="1:26" s="27" customFormat="1" x14ac:dyDescent="0.25">
      <c r="A58" s="593">
        <v>47</v>
      </c>
      <c r="B58" s="611" t="s">
        <v>134</v>
      </c>
      <c r="C58" s="31" t="s">
        <v>135</v>
      </c>
      <c r="D58" s="561">
        <v>808</v>
      </c>
      <c r="E58" s="561">
        <v>0</v>
      </c>
      <c r="F58" s="561">
        <v>118</v>
      </c>
      <c r="G58" s="561">
        <f t="shared" si="3"/>
        <v>0</v>
      </c>
      <c r="H58" s="561">
        <v>0</v>
      </c>
      <c r="I58" s="561">
        <v>0</v>
      </c>
      <c r="J58" s="561">
        <v>0</v>
      </c>
      <c r="K58" s="561">
        <f t="shared" si="4"/>
        <v>926</v>
      </c>
      <c r="L58" s="561">
        <v>0</v>
      </c>
      <c r="M58" s="561">
        <v>0</v>
      </c>
      <c r="N58" s="561">
        <v>0</v>
      </c>
      <c r="O58" s="561">
        <v>0</v>
      </c>
      <c r="P58" s="561">
        <v>0</v>
      </c>
      <c r="Q58" s="561">
        <f t="shared" si="5"/>
        <v>0</v>
      </c>
      <c r="R58" s="561"/>
      <c r="S58" s="561"/>
      <c r="T58" s="561"/>
      <c r="U58" s="561"/>
      <c r="V58" s="561"/>
      <c r="W58" s="561"/>
      <c r="X58" s="561"/>
      <c r="Y58" s="561"/>
      <c r="Z58" s="561">
        <f t="shared" si="6"/>
        <v>0</v>
      </c>
    </row>
    <row r="59" spans="1:26" s="27" customFormat="1" x14ac:dyDescent="0.25">
      <c r="A59" s="593">
        <v>48</v>
      </c>
      <c r="B59" s="611" t="s">
        <v>136</v>
      </c>
      <c r="C59" s="31" t="s">
        <v>137</v>
      </c>
      <c r="D59" s="561">
        <v>2331</v>
      </c>
      <c r="E59" s="561">
        <v>0</v>
      </c>
      <c r="F59" s="561">
        <v>0</v>
      </c>
      <c r="G59" s="561">
        <f t="shared" si="3"/>
        <v>0</v>
      </c>
      <c r="H59" s="561">
        <v>0</v>
      </c>
      <c r="I59" s="561">
        <v>0</v>
      </c>
      <c r="J59" s="561">
        <v>0</v>
      </c>
      <c r="K59" s="561">
        <f t="shared" si="4"/>
        <v>2331</v>
      </c>
      <c r="L59" s="561">
        <v>63</v>
      </c>
      <c r="M59" s="561">
        <v>474</v>
      </c>
      <c r="N59" s="561">
        <v>1255</v>
      </c>
      <c r="O59" s="561">
        <v>686</v>
      </c>
      <c r="P59" s="561">
        <v>0</v>
      </c>
      <c r="Q59" s="561">
        <f t="shared" si="5"/>
        <v>2478</v>
      </c>
      <c r="R59" s="561"/>
      <c r="S59" s="561"/>
      <c r="T59" s="561"/>
      <c r="U59" s="561"/>
      <c r="V59" s="561"/>
      <c r="W59" s="561"/>
      <c r="X59" s="561"/>
      <c r="Y59" s="561"/>
      <c r="Z59" s="561">
        <f t="shared" si="6"/>
        <v>0</v>
      </c>
    </row>
    <row r="60" spans="1:26" s="27" customFormat="1" x14ac:dyDescent="0.25">
      <c r="A60" s="593">
        <v>49</v>
      </c>
      <c r="B60" s="611" t="s">
        <v>138</v>
      </c>
      <c r="C60" s="31" t="s">
        <v>139</v>
      </c>
      <c r="D60" s="561">
        <v>574</v>
      </c>
      <c r="E60" s="561">
        <v>16</v>
      </c>
      <c r="F60" s="561">
        <v>84</v>
      </c>
      <c r="G60" s="561">
        <f t="shared" si="3"/>
        <v>74</v>
      </c>
      <c r="H60" s="561">
        <v>68</v>
      </c>
      <c r="I60" s="561">
        <v>1</v>
      </c>
      <c r="J60" s="561">
        <v>5</v>
      </c>
      <c r="K60" s="561">
        <f t="shared" si="4"/>
        <v>748</v>
      </c>
      <c r="L60" s="561">
        <v>0</v>
      </c>
      <c r="M60" s="561">
        <v>0</v>
      </c>
      <c r="N60" s="561">
        <v>0</v>
      </c>
      <c r="O60" s="561">
        <v>0</v>
      </c>
      <c r="P60" s="561">
        <v>0</v>
      </c>
      <c r="Q60" s="561">
        <f t="shared" si="5"/>
        <v>0</v>
      </c>
      <c r="R60" s="561"/>
      <c r="S60" s="561"/>
      <c r="T60" s="561"/>
      <c r="U60" s="561"/>
      <c r="V60" s="561"/>
      <c r="W60" s="561"/>
      <c r="X60" s="561"/>
      <c r="Y60" s="561"/>
      <c r="Z60" s="561">
        <f t="shared" si="6"/>
        <v>0</v>
      </c>
    </row>
    <row r="61" spans="1:26" s="27" customFormat="1" x14ac:dyDescent="0.25">
      <c r="A61" s="593">
        <v>50</v>
      </c>
      <c r="B61" s="611" t="s">
        <v>140</v>
      </c>
      <c r="C61" s="31" t="s">
        <v>141</v>
      </c>
      <c r="D61" s="561">
        <v>427</v>
      </c>
      <c r="E61" s="561">
        <v>0</v>
      </c>
      <c r="F61" s="561">
        <v>62</v>
      </c>
      <c r="G61" s="561">
        <f t="shared" si="3"/>
        <v>0</v>
      </c>
      <c r="H61" s="561">
        <v>0</v>
      </c>
      <c r="I61" s="561">
        <v>0</v>
      </c>
      <c r="J61" s="561">
        <v>0</v>
      </c>
      <c r="K61" s="561">
        <f t="shared" si="4"/>
        <v>489</v>
      </c>
      <c r="L61" s="561">
        <v>0</v>
      </c>
      <c r="M61" s="561">
        <v>0</v>
      </c>
      <c r="N61" s="561">
        <v>0</v>
      </c>
      <c r="O61" s="561">
        <v>0</v>
      </c>
      <c r="P61" s="561">
        <v>0</v>
      </c>
      <c r="Q61" s="561">
        <f t="shared" si="5"/>
        <v>0</v>
      </c>
      <c r="R61" s="561"/>
      <c r="S61" s="561"/>
      <c r="T61" s="561"/>
      <c r="U61" s="561"/>
      <c r="V61" s="561"/>
      <c r="W61" s="561"/>
      <c r="X61" s="561"/>
      <c r="Y61" s="561"/>
      <c r="Z61" s="561">
        <f t="shared" si="6"/>
        <v>0</v>
      </c>
    </row>
    <row r="62" spans="1:26" s="27" customFormat="1" x14ac:dyDescent="0.25">
      <c r="A62" s="593">
        <v>51</v>
      </c>
      <c r="B62" s="72" t="s">
        <v>142</v>
      </c>
      <c r="C62" s="31" t="s">
        <v>143</v>
      </c>
      <c r="D62" s="561">
        <v>560</v>
      </c>
      <c r="E62" s="561">
        <v>0</v>
      </c>
      <c r="F62" s="561">
        <v>0</v>
      </c>
      <c r="G62" s="561">
        <f t="shared" si="3"/>
        <v>0</v>
      </c>
      <c r="H62" s="561">
        <v>0</v>
      </c>
      <c r="I62" s="561">
        <v>0</v>
      </c>
      <c r="J62" s="561">
        <v>0</v>
      </c>
      <c r="K62" s="561">
        <f t="shared" si="4"/>
        <v>560</v>
      </c>
      <c r="L62" s="561">
        <v>0</v>
      </c>
      <c r="M62" s="561">
        <v>0</v>
      </c>
      <c r="N62" s="561">
        <v>0</v>
      </c>
      <c r="O62" s="561">
        <v>0</v>
      </c>
      <c r="P62" s="561">
        <v>0</v>
      </c>
      <c r="Q62" s="561">
        <f t="shared" si="5"/>
        <v>0</v>
      </c>
      <c r="R62" s="561"/>
      <c r="S62" s="561"/>
      <c r="T62" s="561"/>
      <c r="U62" s="561"/>
      <c r="V62" s="561"/>
      <c r="W62" s="561"/>
      <c r="X62" s="561"/>
      <c r="Y62" s="561"/>
      <c r="Z62" s="561">
        <f t="shared" si="6"/>
        <v>0</v>
      </c>
    </row>
    <row r="63" spans="1:26" s="27" customFormat="1" x14ac:dyDescent="0.25">
      <c r="A63" s="593">
        <v>52</v>
      </c>
      <c r="B63" s="611" t="s">
        <v>144</v>
      </c>
      <c r="C63" s="31" t="s">
        <v>145</v>
      </c>
      <c r="D63" s="561">
        <v>0</v>
      </c>
      <c r="E63" s="561">
        <v>0</v>
      </c>
      <c r="F63" s="561">
        <v>0</v>
      </c>
      <c r="G63" s="561">
        <f t="shared" si="3"/>
        <v>0</v>
      </c>
      <c r="H63" s="561">
        <v>0</v>
      </c>
      <c r="I63" s="561">
        <v>0</v>
      </c>
      <c r="J63" s="561">
        <v>0</v>
      </c>
      <c r="K63" s="561">
        <f t="shared" si="4"/>
        <v>0</v>
      </c>
      <c r="L63" s="561">
        <v>0</v>
      </c>
      <c r="M63" s="561">
        <v>0</v>
      </c>
      <c r="N63" s="561">
        <v>0</v>
      </c>
      <c r="O63" s="561">
        <v>0</v>
      </c>
      <c r="P63" s="561">
        <v>0</v>
      </c>
      <c r="Q63" s="561">
        <f t="shared" si="5"/>
        <v>0</v>
      </c>
      <c r="R63" s="561"/>
      <c r="S63" s="561"/>
      <c r="T63" s="561"/>
      <c r="U63" s="561"/>
      <c r="V63" s="561"/>
      <c r="W63" s="561"/>
      <c r="X63" s="561"/>
      <c r="Y63" s="561"/>
      <c r="Z63" s="561">
        <f t="shared" si="6"/>
        <v>0</v>
      </c>
    </row>
    <row r="64" spans="1:26" s="27" customFormat="1" x14ac:dyDescent="0.25">
      <c r="A64" s="593">
        <v>53</v>
      </c>
      <c r="B64" s="611" t="s">
        <v>146</v>
      </c>
      <c r="C64" s="31" t="s">
        <v>147</v>
      </c>
      <c r="D64" s="561">
        <v>0</v>
      </c>
      <c r="E64" s="561">
        <v>0</v>
      </c>
      <c r="F64" s="561">
        <v>0</v>
      </c>
      <c r="G64" s="561">
        <f t="shared" si="3"/>
        <v>0</v>
      </c>
      <c r="H64" s="561">
        <v>0</v>
      </c>
      <c r="I64" s="561">
        <v>0</v>
      </c>
      <c r="J64" s="561">
        <v>0</v>
      </c>
      <c r="K64" s="561">
        <f t="shared" si="4"/>
        <v>0</v>
      </c>
      <c r="L64" s="561">
        <v>0</v>
      </c>
      <c r="M64" s="561">
        <v>0</v>
      </c>
      <c r="N64" s="561">
        <v>0</v>
      </c>
      <c r="O64" s="561">
        <v>0</v>
      </c>
      <c r="P64" s="561">
        <v>0</v>
      </c>
      <c r="Q64" s="561">
        <f t="shared" si="5"/>
        <v>0</v>
      </c>
      <c r="R64" s="561"/>
      <c r="S64" s="561"/>
      <c r="T64" s="561"/>
      <c r="U64" s="561"/>
      <c r="V64" s="561"/>
      <c r="W64" s="561"/>
      <c r="X64" s="561"/>
      <c r="Y64" s="561"/>
      <c r="Z64" s="561">
        <f t="shared" si="6"/>
        <v>0</v>
      </c>
    </row>
    <row r="65" spans="1:26" s="27" customFormat="1" x14ac:dyDescent="0.25">
      <c r="A65" s="593">
        <v>54</v>
      </c>
      <c r="B65" s="611" t="s">
        <v>148</v>
      </c>
      <c r="C65" s="31" t="s">
        <v>149</v>
      </c>
      <c r="D65" s="561">
        <v>0</v>
      </c>
      <c r="E65" s="561">
        <v>0</v>
      </c>
      <c r="F65" s="561">
        <v>0</v>
      </c>
      <c r="G65" s="561">
        <f t="shared" si="3"/>
        <v>0</v>
      </c>
      <c r="H65" s="561">
        <v>0</v>
      </c>
      <c r="I65" s="561">
        <v>0</v>
      </c>
      <c r="J65" s="561">
        <v>0</v>
      </c>
      <c r="K65" s="561">
        <f t="shared" si="4"/>
        <v>0</v>
      </c>
      <c r="L65" s="561">
        <v>0</v>
      </c>
      <c r="M65" s="561">
        <v>0</v>
      </c>
      <c r="N65" s="561">
        <v>0</v>
      </c>
      <c r="O65" s="561">
        <v>0</v>
      </c>
      <c r="P65" s="561">
        <v>0</v>
      </c>
      <c r="Q65" s="561">
        <f t="shared" si="5"/>
        <v>0</v>
      </c>
      <c r="R65" s="561"/>
      <c r="S65" s="561"/>
      <c r="T65" s="561"/>
      <c r="U65" s="561"/>
      <c r="V65" s="561"/>
      <c r="W65" s="561"/>
      <c r="X65" s="561"/>
      <c r="Y65" s="561"/>
      <c r="Z65" s="561">
        <f t="shared" si="6"/>
        <v>0</v>
      </c>
    </row>
    <row r="66" spans="1:26" s="27" customFormat="1" x14ac:dyDescent="0.25">
      <c r="A66" s="593">
        <v>55</v>
      </c>
      <c r="B66" s="72" t="s">
        <v>150</v>
      </c>
      <c r="C66" s="31" t="s">
        <v>151</v>
      </c>
      <c r="D66" s="561">
        <v>329</v>
      </c>
      <c r="E66" s="561">
        <v>0</v>
      </c>
      <c r="F66" s="561">
        <v>0</v>
      </c>
      <c r="G66" s="561">
        <f t="shared" si="3"/>
        <v>0</v>
      </c>
      <c r="H66" s="561">
        <v>0</v>
      </c>
      <c r="I66" s="561">
        <v>0</v>
      </c>
      <c r="J66" s="561">
        <v>0</v>
      </c>
      <c r="K66" s="561">
        <f t="shared" si="4"/>
        <v>329</v>
      </c>
      <c r="L66" s="561">
        <v>0</v>
      </c>
      <c r="M66" s="561">
        <v>0</v>
      </c>
      <c r="N66" s="561">
        <v>0</v>
      </c>
      <c r="O66" s="561">
        <v>0</v>
      </c>
      <c r="P66" s="561">
        <v>0</v>
      </c>
      <c r="Q66" s="561">
        <f t="shared" si="5"/>
        <v>0</v>
      </c>
      <c r="R66" s="561"/>
      <c r="S66" s="561"/>
      <c r="T66" s="561"/>
      <c r="U66" s="561"/>
      <c r="V66" s="561"/>
      <c r="W66" s="561"/>
      <c r="X66" s="561"/>
      <c r="Y66" s="561"/>
      <c r="Z66" s="561">
        <f t="shared" si="6"/>
        <v>0</v>
      </c>
    </row>
    <row r="67" spans="1:26" s="27" customFormat="1" x14ac:dyDescent="0.25">
      <c r="A67" s="593">
        <v>56</v>
      </c>
      <c r="B67" s="72" t="s">
        <v>154</v>
      </c>
      <c r="C67" s="31" t="s">
        <v>155</v>
      </c>
      <c r="D67" s="561">
        <v>1298</v>
      </c>
      <c r="E67" s="561">
        <v>0</v>
      </c>
      <c r="F67" s="561">
        <v>0</v>
      </c>
      <c r="G67" s="561">
        <f t="shared" si="3"/>
        <v>0</v>
      </c>
      <c r="H67" s="561">
        <v>0</v>
      </c>
      <c r="I67" s="561">
        <v>0</v>
      </c>
      <c r="J67" s="561">
        <v>0</v>
      </c>
      <c r="K67" s="561">
        <f t="shared" si="4"/>
        <v>1298</v>
      </c>
      <c r="L67" s="561">
        <v>0</v>
      </c>
      <c r="M67" s="561">
        <v>0</v>
      </c>
      <c r="N67" s="561">
        <v>0</v>
      </c>
      <c r="O67" s="561">
        <v>0</v>
      </c>
      <c r="P67" s="561">
        <v>0</v>
      </c>
      <c r="Q67" s="561">
        <f t="shared" si="5"/>
        <v>0</v>
      </c>
      <c r="R67" s="561"/>
      <c r="S67" s="561"/>
      <c r="T67" s="561"/>
      <c r="U67" s="561"/>
      <c r="V67" s="561"/>
      <c r="W67" s="561"/>
      <c r="X67" s="561"/>
      <c r="Y67" s="561"/>
      <c r="Z67" s="561">
        <f t="shared" si="6"/>
        <v>0</v>
      </c>
    </row>
    <row r="68" spans="1:26" s="27" customFormat="1" ht="24" x14ac:dyDescent="0.25">
      <c r="A68" s="593">
        <v>57</v>
      </c>
      <c r="B68" s="71" t="s">
        <v>158</v>
      </c>
      <c r="C68" s="31" t="s">
        <v>159</v>
      </c>
      <c r="D68" s="561">
        <v>0</v>
      </c>
      <c r="E68" s="561">
        <v>0</v>
      </c>
      <c r="F68" s="561">
        <v>0</v>
      </c>
      <c r="G68" s="561">
        <f t="shared" si="3"/>
        <v>0</v>
      </c>
      <c r="H68" s="561">
        <v>0</v>
      </c>
      <c r="I68" s="561">
        <v>0</v>
      </c>
      <c r="J68" s="561">
        <v>0</v>
      </c>
      <c r="K68" s="561">
        <f t="shared" si="4"/>
        <v>0</v>
      </c>
      <c r="L68" s="561">
        <v>0</v>
      </c>
      <c r="M68" s="561">
        <v>0</v>
      </c>
      <c r="N68" s="561">
        <v>0</v>
      </c>
      <c r="O68" s="561">
        <v>0</v>
      </c>
      <c r="P68" s="561">
        <v>0</v>
      </c>
      <c r="Q68" s="561">
        <f t="shared" si="5"/>
        <v>0</v>
      </c>
      <c r="R68" s="561"/>
      <c r="S68" s="561"/>
      <c r="T68" s="561"/>
      <c r="U68" s="561"/>
      <c r="V68" s="561"/>
      <c r="W68" s="561"/>
      <c r="X68" s="561"/>
      <c r="Y68" s="561"/>
      <c r="Z68" s="561">
        <f t="shared" si="6"/>
        <v>0</v>
      </c>
    </row>
    <row r="69" spans="1:26" s="27" customFormat="1" ht="24" x14ac:dyDescent="0.25">
      <c r="A69" s="593">
        <v>58</v>
      </c>
      <c r="B69" s="71" t="s">
        <v>160</v>
      </c>
      <c r="C69" s="31" t="s">
        <v>161</v>
      </c>
      <c r="D69" s="561">
        <v>0</v>
      </c>
      <c r="E69" s="561">
        <v>0</v>
      </c>
      <c r="F69" s="561">
        <v>0</v>
      </c>
      <c r="G69" s="561">
        <f t="shared" si="3"/>
        <v>0</v>
      </c>
      <c r="H69" s="561">
        <v>0</v>
      </c>
      <c r="I69" s="561">
        <v>0</v>
      </c>
      <c r="J69" s="561">
        <v>0</v>
      </c>
      <c r="K69" s="561">
        <f t="shared" si="4"/>
        <v>0</v>
      </c>
      <c r="L69" s="561">
        <v>0</v>
      </c>
      <c r="M69" s="561">
        <v>0</v>
      </c>
      <c r="N69" s="561">
        <v>0</v>
      </c>
      <c r="O69" s="561">
        <v>0</v>
      </c>
      <c r="P69" s="561">
        <v>0</v>
      </c>
      <c r="Q69" s="561">
        <f t="shared" si="5"/>
        <v>0</v>
      </c>
      <c r="R69" s="561"/>
      <c r="S69" s="561"/>
      <c r="T69" s="561"/>
      <c r="U69" s="561"/>
      <c r="V69" s="561"/>
      <c r="W69" s="561"/>
      <c r="X69" s="561"/>
      <c r="Y69" s="561"/>
      <c r="Z69" s="561">
        <f t="shared" si="6"/>
        <v>0</v>
      </c>
    </row>
    <row r="70" spans="1:26" s="27" customFormat="1" x14ac:dyDescent="0.25">
      <c r="A70" s="593">
        <v>59</v>
      </c>
      <c r="B70" s="72" t="s">
        <v>162</v>
      </c>
      <c r="C70" s="31" t="s">
        <v>163</v>
      </c>
      <c r="D70" s="561">
        <v>2436</v>
      </c>
      <c r="E70" s="561">
        <v>0</v>
      </c>
      <c r="F70" s="561">
        <v>354</v>
      </c>
      <c r="G70" s="561">
        <f t="shared" si="3"/>
        <v>0</v>
      </c>
      <c r="H70" s="561">
        <v>0</v>
      </c>
      <c r="I70" s="561">
        <v>0</v>
      </c>
      <c r="J70" s="561">
        <v>0</v>
      </c>
      <c r="K70" s="561">
        <f t="shared" si="4"/>
        <v>2790</v>
      </c>
      <c r="L70" s="561">
        <v>0</v>
      </c>
      <c r="M70" s="561">
        <v>0</v>
      </c>
      <c r="N70" s="561">
        <v>0</v>
      </c>
      <c r="O70" s="561">
        <v>0</v>
      </c>
      <c r="P70" s="561">
        <v>0</v>
      </c>
      <c r="Q70" s="561">
        <f t="shared" si="5"/>
        <v>0</v>
      </c>
      <c r="R70" s="561"/>
      <c r="S70" s="561"/>
      <c r="T70" s="561"/>
      <c r="U70" s="561"/>
      <c r="V70" s="561"/>
      <c r="W70" s="561"/>
      <c r="X70" s="561"/>
      <c r="Y70" s="561"/>
      <c r="Z70" s="561">
        <f t="shared" si="6"/>
        <v>0</v>
      </c>
    </row>
    <row r="71" spans="1:26" s="27" customFormat="1" x14ac:dyDescent="0.25">
      <c r="A71" s="593">
        <v>60</v>
      </c>
      <c r="B71" s="72" t="s">
        <v>164</v>
      </c>
      <c r="C71" s="31" t="s">
        <v>165</v>
      </c>
      <c r="D71" s="561">
        <v>1411</v>
      </c>
      <c r="E71" s="561">
        <v>0</v>
      </c>
      <c r="F71" s="561">
        <v>0</v>
      </c>
      <c r="G71" s="561">
        <f t="shared" si="3"/>
        <v>0</v>
      </c>
      <c r="H71" s="561">
        <v>0</v>
      </c>
      <c r="I71" s="561">
        <v>0</v>
      </c>
      <c r="J71" s="561">
        <v>0</v>
      </c>
      <c r="K71" s="561">
        <f t="shared" si="4"/>
        <v>1411</v>
      </c>
      <c r="L71" s="561">
        <v>0</v>
      </c>
      <c r="M71" s="561">
        <v>0</v>
      </c>
      <c r="N71" s="561">
        <v>0</v>
      </c>
      <c r="O71" s="561">
        <v>0</v>
      </c>
      <c r="P71" s="561">
        <v>0</v>
      </c>
      <c r="Q71" s="561">
        <f t="shared" si="5"/>
        <v>0</v>
      </c>
      <c r="R71" s="561"/>
      <c r="S71" s="561"/>
      <c r="T71" s="561"/>
      <c r="U71" s="561"/>
      <c r="V71" s="561"/>
      <c r="W71" s="561"/>
      <c r="X71" s="561"/>
      <c r="Y71" s="561"/>
      <c r="Z71" s="561">
        <f t="shared" si="6"/>
        <v>0</v>
      </c>
    </row>
    <row r="72" spans="1:26" s="27" customFormat="1" x14ac:dyDescent="0.25">
      <c r="A72" s="593">
        <v>61</v>
      </c>
      <c r="B72" s="72" t="s">
        <v>166</v>
      </c>
      <c r="C72" s="31" t="s">
        <v>167</v>
      </c>
      <c r="D72" s="561">
        <v>3239</v>
      </c>
      <c r="E72" s="561">
        <v>0</v>
      </c>
      <c r="F72" s="561">
        <v>471</v>
      </c>
      <c r="G72" s="561">
        <f t="shared" si="3"/>
        <v>0</v>
      </c>
      <c r="H72" s="561">
        <v>0</v>
      </c>
      <c r="I72" s="561">
        <v>0</v>
      </c>
      <c r="J72" s="561">
        <v>0</v>
      </c>
      <c r="K72" s="561">
        <f t="shared" si="4"/>
        <v>3710</v>
      </c>
      <c r="L72" s="561">
        <v>0</v>
      </c>
      <c r="M72" s="561">
        <v>0</v>
      </c>
      <c r="N72" s="561">
        <v>0</v>
      </c>
      <c r="O72" s="561">
        <v>0</v>
      </c>
      <c r="P72" s="561">
        <v>0</v>
      </c>
      <c r="Q72" s="561">
        <f t="shared" si="5"/>
        <v>0</v>
      </c>
      <c r="R72" s="561"/>
      <c r="S72" s="561"/>
      <c r="T72" s="561"/>
      <c r="U72" s="561"/>
      <c r="V72" s="561"/>
      <c r="W72" s="561"/>
      <c r="X72" s="561"/>
      <c r="Y72" s="561"/>
      <c r="Z72" s="561">
        <f t="shared" si="6"/>
        <v>0</v>
      </c>
    </row>
    <row r="73" spans="1:26" s="27" customFormat="1" ht="26.25" customHeight="1" x14ac:dyDescent="0.25">
      <c r="A73" s="1135">
        <v>62</v>
      </c>
      <c r="B73" s="71" t="s">
        <v>170</v>
      </c>
      <c r="C73" s="145" t="s">
        <v>793</v>
      </c>
      <c r="D73" s="561">
        <v>0</v>
      </c>
      <c r="E73" s="561">
        <v>0</v>
      </c>
      <c r="F73" s="561">
        <v>0</v>
      </c>
      <c r="G73" s="561">
        <f t="shared" ref="G73:G139" si="8">H73+I73+J73</f>
        <v>0</v>
      </c>
      <c r="H73" s="561">
        <v>0</v>
      </c>
      <c r="I73" s="561">
        <v>0</v>
      </c>
      <c r="J73" s="561">
        <v>0</v>
      </c>
      <c r="K73" s="561">
        <f t="shared" ref="K73:K139" si="9">D73+E73+F73+G73</f>
        <v>0</v>
      </c>
      <c r="L73" s="561">
        <v>0</v>
      </c>
      <c r="M73" s="561">
        <v>0</v>
      </c>
      <c r="N73" s="561">
        <v>0</v>
      </c>
      <c r="O73" s="561">
        <v>0</v>
      </c>
      <c r="P73" s="561">
        <v>0</v>
      </c>
      <c r="Q73" s="561">
        <f t="shared" ref="Q73:Q139" si="10">L73+M73+N73+O73+P73</f>
        <v>0</v>
      </c>
      <c r="R73" s="561"/>
      <c r="S73" s="561"/>
      <c r="T73" s="561"/>
      <c r="U73" s="561"/>
      <c r="V73" s="561"/>
      <c r="W73" s="561"/>
      <c r="X73" s="561"/>
      <c r="Y73" s="561"/>
      <c r="Z73" s="561">
        <f t="shared" ref="Z73:Z139" si="11">R73+S73+T73+U73+V73+W73+X73+Y73</f>
        <v>0</v>
      </c>
    </row>
    <row r="74" spans="1:26" s="27" customFormat="1" x14ac:dyDescent="0.25">
      <c r="A74" s="1136"/>
      <c r="B74" s="71" t="s">
        <v>168</v>
      </c>
      <c r="C74" s="31" t="s">
        <v>169</v>
      </c>
      <c r="D74" s="561">
        <v>0</v>
      </c>
      <c r="E74" s="561">
        <v>0</v>
      </c>
      <c r="F74" s="561"/>
      <c r="G74" s="561"/>
      <c r="H74" s="561"/>
      <c r="I74" s="561"/>
      <c r="J74" s="561"/>
      <c r="K74" s="561">
        <f t="shared" si="9"/>
        <v>0</v>
      </c>
      <c r="L74" s="561"/>
      <c r="M74" s="561"/>
      <c r="N74" s="561"/>
      <c r="O74" s="561"/>
      <c r="P74" s="561"/>
      <c r="Q74" s="561"/>
      <c r="R74" s="561"/>
      <c r="S74" s="561"/>
      <c r="T74" s="561"/>
      <c r="U74" s="561"/>
      <c r="V74" s="561"/>
      <c r="W74" s="561"/>
      <c r="X74" s="561"/>
      <c r="Y74" s="561"/>
      <c r="Z74" s="561"/>
    </row>
    <row r="75" spans="1:26" s="27" customFormat="1" x14ac:dyDescent="0.25">
      <c r="A75" s="1137"/>
      <c r="B75" s="71" t="s">
        <v>174</v>
      </c>
      <c r="C75" s="31" t="s">
        <v>175</v>
      </c>
      <c r="D75" s="561">
        <v>0</v>
      </c>
      <c r="E75" s="561">
        <v>0</v>
      </c>
      <c r="F75" s="561"/>
      <c r="G75" s="561"/>
      <c r="H75" s="561"/>
      <c r="I75" s="561"/>
      <c r="J75" s="561"/>
      <c r="K75" s="561">
        <f t="shared" si="9"/>
        <v>0</v>
      </c>
      <c r="L75" s="561"/>
      <c r="M75" s="561"/>
      <c r="N75" s="561"/>
      <c r="O75" s="561"/>
      <c r="P75" s="561"/>
      <c r="Q75" s="561"/>
      <c r="R75" s="561"/>
      <c r="S75" s="561"/>
      <c r="T75" s="561"/>
      <c r="U75" s="561"/>
      <c r="V75" s="561"/>
      <c r="W75" s="561"/>
      <c r="X75" s="561"/>
      <c r="Y75" s="561"/>
      <c r="Z75" s="561"/>
    </row>
    <row r="76" spans="1:26" s="27" customFormat="1" ht="26.25" customHeight="1" x14ac:dyDescent="0.25">
      <c r="A76" s="1135">
        <v>63</v>
      </c>
      <c r="B76" s="71" t="s">
        <v>176</v>
      </c>
      <c r="C76" s="145" t="s">
        <v>796</v>
      </c>
      <c r="D76" s="561">
        <v>0</v>
      </c>
      <c r="E76" s="561">
        <v>0</v>
      </c>
      <c r="F76" s="561">
        <v>0</v>
      </c>
      <c r="G76" s="561">
        <f t="shared" si="8"/>
        <v>0</v>
      </c>
      <c r="H76" s="561">
        <v>0</v>
      </c>
      <c r="I76" s="561">
        <v>0</v>
      </c>
      <c r="J76" s="561">
        <v>0</v>
      </c>
      <c r="K76" s="561">
        <f t="shared" si="9"/>
        <v>0</v>
      </c>
      <c r="L76" s="561">
        <v>0</v>
      </c>
      <c r="M76" s="561">
        <v>0</v>
      </c>
      <c r="N76" s="561">
        <v>0</v>
      </c>
      <c r="O76" s="561">
        <v>0</v>
      </c>
      <c r="P76" s="561">
        <v>0</v>
      </c>
      <c r="Q76" s="561">
        <f t="shared" si="10"/>
        <v>0</v>
      </c>
      <c r="R76" s="561"/>
      <c r="S76" s="561"/>
      <c r="T76" s="561"/>
      <c r="U76" s="561"/>
      <c r="V76" s="561"/>
      <c r="W76" s="561"/>
      <c r="X76" s="561"/>
      <c r="Y76" s="561"/>
      <c r="Z76" s="561">
        <f t="shared" si="11"/>
        <v>0</v>
      </c>
    </row>
    <row r="77" spans="1:26" s="27" customFormat="1" x14ac:dyDescent="0.25">
      <c r="A77" s="1136"/>
      <c r="B77" s="72" t="s">
        <v>172</v>
      </c>
      <c r="C77" s="31" t="s">
        <v>173</v>
      </c>
      <c r="D77" s="561">
        <v>0</v>
      </c>
      <c r="E77" s="561">
        <v>0</v>
      </c>
      <c r="F77" s="561">
        <v>0</v>
      </c>
      <c r="G77" s="561">
        <f t="shared" si="8"/>
        <v>0</v>
      </c>
      <c r="H77" s="561">
        <v>0</v>
      </c>
      <c r="I77" s="561">
        <v>0</v>
      </c>
      <c r="J77" s="561">
        <v>0</v>
      </c>
      <c r="K77" s="561">
        <f t="shared" si="9"/>
        <v>0</v>
      </c>
      <c r="L77" s="561">
        <v>0</v>
      </c>
      <c r="M77" s="561">
        <v>0</v>
      </c>
      <c r="N77" s="561">
        <v>0</v>
      </c>
      <c r="O77" s="561">
        <v>0</v>
      </c>
      <c r="P77" s="561">
        <v>0</v>
      </c>
      <c r="Q77" s="561">
        <f t="shared" si="10"/>
        <v>0</v>
      </c>
      <c r="R77" s="561"/>
      <c r="S77" s="561"/>
      <c r="T77" s="561"/>
      <c r="U77" s="561"/>
      <c r="V77" s="561"/>
      <c r="W77" s="561"/>
      <c r="X77" s="561"/>
      <c r="Y77" s="561"/>
      <c r="Z77" s="561">
        <f t="shared" si="11"/>
        <v>0</v>
      </c>
    </row>
    <row r="78" spans="1:26" s="27" customFormat="1" x14ac:dyDescent="0.25">
      <c r="A78" s="1136"/>
      <c r="B78" s="71" t="s">
        <v>178</v>
      </c>
      <c r="C78" s="31" t="s">
        <v>179</v>
      </c>
      <c r="D78" s="561">
        <v>0</v>
      </c>
      <c r="E78" s="561">
        <v>0</v>
      </c>
      <c r="F78" s="561">
        <v>0</v>
      </c>
      <c r="G78" s="561">
        <f t="shared" si="8"/>
        <v>0</v>
      </c>
      <c r="H78" s="561">
        <v>0</v>
      </c>
      <c r="I78" s="561">
        <v>0</v>
      </c>
      <c r="J78" s="561">
        <v>0</v>
      </c>
      <c r="K78" s="561">
        <f t="shared" si="9"/>
        <v>0</v>
      </c>
      <c r="L78" s="561">
        <v>0</v>
      </c>
      <c r="M78" s="561">
        <v>0</v>
      </c>
      <c r="N78" s="561">
        <v>0</v>
      </c>
      <c r="O78" s="561">
        <v>0</v>
      </c>
      <c r="P78" s="561">
        <v>0</v>
      </c>
      <c r="Q78" s="561">
        <f t="shared" si="10"/>
        <v>0</v>
      </c>
      <c r="R78" s="561"/>
      <c r="S78" s="561"/>
      <c r="T78" s="561"/>
      <c r="U78" s="561"/>
      <c r="V78" s="561"/>
      <c r="W78" s="561"/>
      <c r="X78" s="561"/>
      <c r="Y78" s="561"/>
      <c r="Z78" s="561">
        <f t="shared" si="11"/>
        <v>0</v>
      </c>
    </row>
    <row r="79" spans="1:26" s="27" customFormat="1" x14ac:dyDescent="0.25">
      <c r="A79" s="1137"/>
      <c r="B79" s="71" t="s">
        <v>180</v>
      </c>
      <c r="C79" s="31" t="s">
        <v>181</v>
      </c>
      <c r="D79" s="561">
        <v>0</v>
      </c>
      <c r="E79" s="561">
        <v>0</v>
      </c>
      <c r="F79" s="561"/>
      <c r="G79" s="561"/>
      <c r="H79" s="561"/>
      <c r="I79" s="561"/>
      <c r="J79" s="561"/>
      <c r="K79" s="561">
        <f t="shared" si="9"/>
        <v>0</v>
      </c>
      <c r="L79" s="561"/>
      <c r="M79" s="561"/>
      <c r="N79" s="561"/>
      <c r="O79" s="561"/>
      <c r="P79" s="561"/>
      <c r="Q79" s="561"/>
      <c r="R79" s="561"/>
      <c r="S79" s="561"/>
      <c r="T79" s="561"/>
      <c r="U79" s="561"/>
      <c r="V79" s="561"/>
      <c r="W79" s="561"/>
      <c r="X79" s="561"/>
      <c r="Y79" s="561"/>
      <c r="Z79" s="561"/>
    </row>
    <row r="80" spans="1:26" s="27" customFormat="1" x14ac:dyDescent="0.25">
      <c r="A80" s="593">
        <v>64</v>
      </c>
      <c r="B80" s="611" t="s">
        <v>182</v>
      </c>
      <c r="C80" s="31" t="s">
        <v>183</v>
      </c>
      <c r="D80" s="561">
        <v>1890</v>
      </c>
      <c r="E80" s="561">
        <v>52</v>
      </c>
      <c r="F80" s="561">
        <v>275</v>
      </c>
      <c r="G80" s="561">
        <f t="shared" si="8"/>
        <v>0</v>
      </c>
      <c r="H80" s="561">
        <v>0</v>
      </c>
      <c r="I80" s="561">
        <v>0</v>
      </c>
      <c r="J80" s="561">
        <v>0</v>
      </c>
      <c r="K80" s="561">
        <f t="shared" si="9"/>
        <v>2217</v>
      </c>
      <c r="L80" s="561">
        <v>0</v>
      </c>
      <c r="M80" s="561">
        <v>0</v>
      </c>
      <c r="N80" s="561">
        <v>0</v>
      </c>
      <c r="O80" s="561">
        <v>0</v>
      </c>
      <c r="P80" s="561">
        <v>0</v>
      </c>
      <c r="Q80" s="561">
        <f t="shared" si="10"/>
        <v>0</v>
      </c>
      <c r="R80" s="561"/>
      <c r="S80" s="561"/>
      <c r="T80" s="561"/>
      <c r="U80" s="561"/>
      <c r="V80" s="561"/>
      <c r="W80" s="561"/>
      <c r="X80" s="561"/>
      <c r="Y80" s="561"/>
      <c r="Z80" s="561">
        <f t="shared" si="11"/>
        <v>0</v>
      </c>
    </row>
    <row r="81" spans="1:26" s="27" customFormat="1" x14ac:dyDescent="0.25">
      <c r="A81" s="593">
        <v>65</v>
      </c>
      <c r="B81" s="71" t="s">
        <v>184</v>
      </c>
      <c r="C81" s="31" t="s">
        <v>185</v>
      </c>
      <c r="D81" s="561">
        <v>4557</v>
      </c>
      <c r="E81" s="561">
        <v>178</v>
      </c>
      <c r="F81" s="561">
        <v>664</v>
      </c>
      <c r="G81" s="561">
        <f t="shared" si="8"/>
        <v>0</v>
      </c>
      <c r="H81" s="561">
        <v>0</v>
      </c>
      <c r="I81" s="561">
        <v>0</v>
      </c>
      <c r="J81" s="561">
        <v>0</v>
      </c>
      <c r="K81" s="561">
        <f t="shared" si="9"/>
        <v>5399</v>
      </c>
      <c r="L81" s="561">
        <v>0</v>
      </c>
      <c r="M81" s="561">
        <v>0</v>
      </c>
      <c r="N81" s="561">
        <v>0</v>
      </c>
      <c r="O81" s="561">
        <v>0</v>
      </c>
      <c r="P81" s="561">
        <v>0</v>
      </c>
      <c r="Q81" s="561">
        <f t="shared" si="10"/>
        <v>0</v>
      </c>
      <c r="R81" s="561"/>
      <c r="S81" s="561"/>
      <c r="T81" s="561"/>
      <c r="U81" s="561"/>
      <c r="V81" s="561"/>
      <c r="W81" s="561"/>
      <c r="X81" s="561"/>
      <c r="Y81" s="561"/>
      <c r="Z81" s="561">
        <f t="shared" si="11"/>
        <v>0</v>
      </c>
    </row>
    <row r="82" spans="1:26" s="27" customFormat="1" x14ac:dyDescent="0.25">
      <c r="A82" s="593">
        <v>66</v>
      </c>
      <c r="B82" s="611" t="s">
        <v>186</v>
      </c>
      <c r="C82" s="31" t="s">
        <v>187</v>
      </c>
      <c r="D82" s="561">
        <v>2479</v>
      </c>
      <c r="E82" s="561">
        <v>68</v>
      </c>
      <c r="F82" s="561">
        <v>361</v>
      </c>
      <c r="G82" s="561">
        <f t="shared" si="8"/>
        <v>366</v>
      </c>
      <c r="H82" s="561">
        <v>336</v>
      </c>
      <c r="I82" s="561">
        <v>0</v>
      </c>
      <c r="J82" s="561">
        <v>30</v>
      </c>
      <c r="K82" s="561">
        <f t="shared" si="9"/>
        <v>3274</v>
      </c>
      <c r="L82" s="561">
        <v>0</v>
      </c>
      <c r="M82" s="561">
        <v>0</v>
      </c>
      <c r="N82" s="561">
        <v>0</v>
      </c>
      <c r="O82" s="561">
        <v>0</v>
      </c>
      <c r="P82" s="561">
        <v>0</v>
      </c>
      <c r="Q82" s="561">
        <f t="shared" si="10"/>
        <v>0</v>
      </c>
      <c r="R82" s="561"/>
      <c r="S82" s="561"/>
      <c r="T82" s="561"/>
      <c r="U82" s="561"/>
      <c r="V82" s="561"/>
      <c r="W82" s="561"/>
      <c r="X82" s="561"/>
      <c r="Y82" s="561"/>
      <c r="Z82" s="561">
        <f t="shared" si="11"/>
        <v>0</v>
      </c>
    </row>
    <row r="83" spans="1:26" s="27" customFormat="1" ht="24" x14ac:dyDescent="0.25">
      <c r="A83" s="1135">
        <v>67</v>
      </c>
      <c r="B83" s="71" t="s">
        <v>188</v>
      </c>
      <c r="C83" s="145" t="s">
        <v>795</v>
      </c>
      <c r="D83" s="561">
        <v>1923</v>
      </c>
      <c r="E83" s="561">
        <v>0</v>
      </c>
      <c r="F83" s="561">
        <v>321</v>
      </c>
      <c r="G83" s="561">
        <f t="shared" si="8"/>
        <v>0</v>
      </c>
      <c r="H83" s="561">
        <v>0</v>
      </c>
      <c r="I83" s="561">
        <v>0</v>
      </c>
      <c r="J83" s="561">
        <v>0</v>
      </c>
      <c r="K83" s="561">
        <f t="shared" si="9"/>
        <v>2244</v>
      </c>
      <c r="L83" s="561">
        <v>0</v>
      </c>
      <c r="M83" s="561">
        <v>0</v>
      </c>
      <c r="N83" s="561">
        <v>0</v>
      </c>
      <c r="O83" s="561">
        <v>0</v>
      </c>
      <c r="P83" s="561">
        <v>0</v>
      </c>
      <c r="Q83" s="561">
        <f t="shared" si="10"/>
        <v>0</v>
      </c>
      <c r="R83" s="561"/>
      <c r="S83" s="561"/>
      <c r="T83" s="561"/>
      <c r="U83" s="561"/>
      <c r="V83" s="561"/>
      <c r="W83" s="561"/>
      <c r="X83" s="561"/>
      <c r="Y83" s="561"/>
      <c r="Z83" s="561">
        <f t="shared" si="11"/>
        <v>0</v>
      </c>
    </row>
    <row r="84" spans="1:26" s="27" customFormat="1" x14ac:dyDescent="0.25">
      <c r="A84" s="1137"/>
      <c r="B84" s="611" t="s">
        <v>156</v>
      </c>
      <c r="C84" s="31" t="s">
        <v>157</v>
      </c>
      <c r="D84" s="561">
        <v>80</v>
      </c>
      <c r="E84" s="561">
        <v>0</v>
      </c>
      <c r="F84" s="561"/>
      <c r="G84" s="561"/>
      <c r="H84" s="561"/>
      <c r="I84" s="561"/>
      <c r="J84" s="561"/>
      <c r="K84" s="561">
        <f t="shared" si="9"/>
        <v>80</v>
      </c>
      <c r="L84" s="561"/>
      <c r="M84" s="561"/>
      <c r="N84" s="561"/>
      <c r="O84" s="561"/>
      <c r="P84" s="561"/>
      <c r="Q84" s="561"/>
      <c r="R84" s="561"/>
      <c r="S84" s="561"/>
      <c r="T84" s="561"/>
      <c r="U84" s="561"/>
      <c r="V84" s="561"/>
      <c r="W84" s="561"/>
      <c r="X84" s="561"/>
      <c r="Y84" s="561"/>
      <c r="Z84" s="561"/>
    </row>
    <row r="85" spans="1:26" s="27" customFormat="1" x14ac:dyDescent="0.25">
      <c r="A85" s="593">
        <v>68</v>
      </c>
      <c r="B85" s="71" t="s">
        <v>190</v>
      </c>
      <c r="C85" s="31" t="s">
        <v>191</v>
      </c>
      <c r="D85" s="561">
        <v>4198</v>
      </c>
      <c r="E85" s="561">
        <v>150</v>
      </c>
      <c r="F85" s="561">
        <v>859</v>
      </c>
      <c r="G85" s="561">
        <f t="shared" si="8"/>
        <v>624</v>
      </c>
      <c r="H85" s="561">
        <v>432</v>
      </c>
      <c r="I85" s="561">
        <v>62</v>
      </c>
      <c r="J85" s="561">
        <v>130</v>
      </c>
      <c r="K85" s="561">
        <f t="shared" si="9"/>
        <v>5831</v>
      </c>
      <c r="L85" s="561">
        <v>328</v>
      </c>
      <c r="M85" s="561">
        <v>2774</v>
      </c>
      <c r="N85" s="561">
        <v>8161</v>
      </c>
      <c r="O85" s="561">
        <v>5210</v>
      </c>
      <c r="P85" s="561">
        <v>762</v>
      </c>
      <c r="Q85" s="561">
        <f t="shared" si="10"/>
        <v>17235</v>
      </c>
      <c r="R85" s="561"/>
      <c r="S85" s="561"/>
      <c r="T85" s="561"/>
      <c r="U85" s="561"/>
      <c r="V85" s="561"/>
      <c r="W85" s="561"/>
      <c r="X85" s="561"/>
      <c r="Y85" s="561"/>
      <c r="Z85" s="561">
        <f t="shared" si="11"/>
        <v>0</v>
      </c>
    </row>
    <row r="86" spans="1:26" s="27" customFormat="1" ht="24" x14ac:dyDescent="0.25">
      <c r="A86" s="1135">
        <v>69</v>
      </c>
      <c r="B86" s="71" t="s">
        <v>192</v>
      </c>
      <c r="C86" s="145" t="s">
        <v>794</v>
      </c>
      <c r="D86" s="561">
        <v>660</v>
      </c>
      <c r="E86" s="561">
        <v>0</v>
      </c>
      <c r="F86" s="561">
        <v>0</v>
      </c>
      <c r="G86" s="561">
        <f t="shared" si="8"/>
        <v>0</v>
      </c>
      <c r="H86" s="561">
        <v>0</v>
      </c>
      <c r="I86" s="561">
        <v>0</v>
      </c>
      <c r="J86" s="561">
        <v>0</v>
      </c>
      <c r="K86" s="561">
        <f t="shared" si="9"/>
        <v>660</v>
      </c>
      <c r="L86" s="561">
        <v>0</v>
      </c>
      <c r="M86" s="561">
        <v>0</v>
      </c>
      <c r="N86" s="561">
        <v>0</v>
      </c>
      <c r="O86" s="561">
        <v>0</v>
      </c>
      <c r="P86" s="561">
        <v>0</v>
      </c>
      <c r="Q86" s="561">
        <f t="shared" si="10"/>
        <v>0</v>
      </c>
      <c r="R86" s="561"/>
      <c r="S86" s="561"/>
      <c r="T86" s="561"/>
      <c r="U86" s="561"/>
      <c r="V86" s="561"/>
      <c r="W86" s="561"/>
      <c r="X86" s="561"/>
      <c r="Y86" s="561"/>
      <c r="Z86" s="561">
        <f t="shared" si="11"/>
        <v>0</v>
      </c>
    </row>
    <row r="87" spans="1:26" s="27" customFormat="1" x14ac:dyDescent="0.25">
      <c r="A87" s="1137"/>
      <c r="B87" s="71" t="s">
        <v>152</v>
      </c>
      <c r="C87" s="31" t="s">
        <v>549</v>
      </c>
      <c r="D87" s="561">
        <v>0</v>
      </c>
      <c r="E87" s="561">
        <v>0</v>
      </c>
      <c r="F87" s="561"/>
      <c r="G87" s="561"/>
      <c r="H87" s="561"/>
      <c r="I87" s="561"/>
      <c r="J87" s="561"/>
      <c r="K87" s="561">
        <f t="shared" si="9"/>
        <v>0</v>
      </c>
      <c r="L87" s="561"/>
      <c r="M87" s="561"/>
      <c r="N87" s="561"/>
      <c r="O87" s="561"/>
      <c r="P87" s="561"/>
      <c r="Q87" s="561"/>
      <c r="R87" s="561"/>
      <c r="S87" s="561"/>
      <c r="T87" s="561"/>
      <c r="U87" s="561"/>
      <c r="V87" s="561"/>
      <c r="W87" s="561"/>
      <c r="X87" s="561"/>
      <c r="Y87" s="561"/>
      <c r="Z87" s="561"/>
    </row>
    <row r="88" spans="1:26" s="27" customFormat="1" x14ac:dyDescent="0.25">
      <c r="A88" s="593">
        <v>70</v>
      </c>
      <c r="B88" s="71" t="s">
        <v>194</v>
      </c>
      <c r="C88" s="31" t="s">
        <v>195</v>
      </c>
      <c r="D88" s="561">
        <v>3378</v>
      </c>
      <c r="E88" s="561">
        <v>0</v>
      </c>
      <c r="F88" s="561">
        <v>492</v>
      </c>
      <c r="G88" s="561">
        <f t="shared" si="8"/>
        <v>894</v>
      </c>
      <c r="H88" s="561">
        <v>729</v>
      </c>
      <c r="I88" s="561">
        <v>0</v>
      </c>
      <c r="J88" s="561">
        <v>165</v>
      </c>
      <c r="K88" s="561">
        <f t="shared" si="9"/>
        <v>4764</v>
      </c>
      <c r="L88" s="561">
        <v>0</v>
      </c>
      <c r="M88" s="561">
        <v>0</v>
      </c>
      <c r="N88" s="561">
        <v>0</v>
      </c>
      <c r="O88" s="561">
        <v>0</v>
      </c>
      <c r="P88" s="561">
        <v>0</v>
      </c>
      <c r="Q88" s="561">
        <f t="shared" si="10"/>
        <v>0</v>
      </c>
      <c r="R88" s="561"/>
      <c r="S88" s="561"/>
      <c r="T88" s="561"/>
      <c r="U88" s="561"/>
      <c r="V88" s="561"/>
      <c r="W88" s="561"/>
      <c r="X88" s="561"/>
      <c r="Y88" s="561"/>
      <c r="Z88" s="561">
        <f t="shared" si="11"/>
        <v>0</v>
      </c>
    </row>
    <row r="89" spans="1:26" s="27" customFormat="1" x14ac:dyDescent="0.25">
      <c r="A89" s="593">
        <v>71</v>
      </c>
      <c r="B89" s="71" t="s">
        <v>196</v>
      </c>
      <c r="C89" s="31" t="s">
        <v>197</v>
      </c>
      <c r="D89" s="561">
        <v>0</v>
      </c>
      <c r="E89" s="561">
        <v>0</v>
      </c>
      <c r="F89" s="561">
        <v>0</v>
      </c>
      <c r="G89" s="561">
        <f t="shared" si="8"/>
        <v>0</v>
      </c>
      <c r="H89" s="561">
        <v>0</v>
      </c>
      <c r="I89" s="561">
        <v>0</v>
      </c>
      <c r="J89" s="561">
        <v>0</v>
      </c>
      <c r="K89" s="561">
        <f t="shared" si="9"/>
        <v>0</v>
      </c>
      <c r="L89" s="561">
        <v>0</v>
      </c>
      <c r="M89" s="561">
        <v>0</v>
      </c>
      <c r="N89" s="561">
        <v>0</v>
      </c>
      <c r="O89" s="561">
        <v>0</v>
      </c>
      <c r="P89" s="561">
        <v>0</v>
      </c>
      <c r="Q89" s="561">
        <f t="shared" si="10"/>
        <v>0</v>
      </c>
      <c r="R89" s="561"/>
      <c r="S89" s="561"/>
      <c r="T89" s="561"/>
      <c r="U89" s="561"/>
      <c r="V89" s="561"/>
      <c r="W89" s="561"/>
      <c r="X89" s="561"/>
      <c r="Y89" s="561"/>
      <c r="Z89" s="561">
        <f t="shared" si="11"/>
        <v>0</v>
      </c>
    </row>
    <row r="90" spans="1:26" s="27" customFormat="1" x14ac:dyDescent="0.25">
      <c r="A90" s="593">
        <v>72</v>
      </c>
      <c r="B90" s="72" t="s">
        <v>30</v>
      </c>
      <c r="C90" s="31" t="s">
        <v>198</v>
      </c>
      <c r="D90" s="561">
        <v>0</v>
      </c>
      <c r="E90" s="561">
        <v>0</v>
      </c>
      <c r="F90" s="561">
        <v>0</v>
      </c>
      <c r="G90" s="561">
        <f t="shared" si="8"/>
        <v>0</v>
      </c>
      <c r="H90" s="561">
        <v>0</v>
      </c>
      <c r="I90" s="561">
        <v>0</v>
      </c>
      <c r="J90" s="561">
        <v>0</v>
      </c>
      <c r="K90" s="561">
        <f t="shared" si="9"/>
        <v>0</v>
      </c>
      <c r="L90" s="561">
        <v>0</v>
      </c>
      <c r="M90" s="561">
        <v>0</v>
      </c>
      <c r="N90" s="561">
        <v>0</v>
      </c>
      <c r="O90" s="561">
        <v>0</v>
      </c>
      <c r="P90" s="561">
        <v>0</v>
      </c>
      <c r="Q90" s="561">
        <f t="shared" si="10"/>
        <v>0</v>
      </c>
      <c r="R90" s="561"/>
      <c r="S90" s="561"/>
      <c r="T90" s="561"/>
      <c r="U90" s="561"/>
      <c r="V90" s="561"/>
      <c r="W90" s="561"/>
      <c r="X90" s="561"/>
      <c r="Y90" s="561"/>
      <c r="Z90" s="561">
        <f t="shared" si="11"/>
        <v>0</v>
      </c>
    </row>
    <row r="91" spans="1:26" s="27" customFormat="1" ht="24" x14ac:dyDescent="0.25">
      <c r="A91" s="1135">
        <v>73</v>
      </c>
      <c r="B91" s="1138" t="s">
        <v>199</v>
      </c>
      <c r="C91" s="145" t="s">
        <v>798</v>
      </c>
      <c r="D91" s="561">
        <v>183</v>
      </c>
      <c r="E91" s="561">
        <v>5</v>
      </c>
      <c r="F91" s="561">
        <v>27</v>
      </c>
      <c r="G91" s="561">
        <f t="shared" si="8"/>
        <v>0</v>
      </c>
      <c r="H91" s="561">
        <v>0</v>
      </c>
      <c r="I91" s="561">
        <v>0</v>
      </c>
      <c r="J91" s="561">
        <v>0</v>
      </c>
      <c r="K91" s="561">
        <f t="shared" si="9"/>
        <v>215</v>
      </c>
      <c r="L91" s="561">
        <v>0</v>
      </c>
      <c r="M91" s="561">
        <v>0</v>
      </c>
      <c r="N91" s="561">
        <v>0</v>
      </c>
      <c r="O91" s="561">
        <v>0</v>
      </c>
      <c r="P91" s="561">
        <v>0</v>
      </c>
      <c r="Q91" s="561">
        <f t="shared" si="10"/>
        <v>0</v>
      </c>
      <c r="R91" s="561"/>
      <c r="S91" s="561"/>
      <c r="T91" s="561"/>
      <c r="U91" s="561"/>
      <c r="V91" s="561"/>
      <c r="W91" s="561"/>
      <c r="X91" s="561"/>
      <c r="Y91" s="561"/>
      <c r="Z91" s="561">
        <f t="shared" si="11"/>
        <v>0</v>
      </c>
    </row>
    <row r="92" spans="1:26" s="27" customFormat="1" ht="36" x14ac:dyDescent="0.25">
      <c r="A92" s="1136"/>
      <c r="B92" s="1139"/>
      <c r="C92" s="31" t="s">
        <v>201</v>
      </c>
      <c r="D92" s="561">
        <v>183</v>
      </c>
      <c r="E92" s="561">
        <v>5</v>
      </c>
      <c r="F92" s="561">
        <v>27</v>
      </c>
      <c r="G92" s="561">
        <f t="shared" si="8"/>
        <v>0</v>
      </c>
      <c r="H92" s="561">
        <v>0</v>
      </c>
      <c r="I92" s="561">
        <v>0</v>
      </c>
      <c r="J92" s="561">
        <v>0</v>
      </c>
      <c r="K92" s="561">
        <f t="shared" si="9"/>
        <v>215</v>
      </c>
      <c r="L92" s="561">
        <v>0</v>
      </c>
      <c r="M92" s="561">
        <v>0</v>
      </c>
      <c r="N92" s="561">
        <v>0</v>
      </c>
      <c r="O92" s="561">
        <v>0</v>
      </c>
      <c r="P92" s="561">
        <v>0</v>
      </c>
      <c r="Q92" s="561">
        <f t="shared" si="10"/>
        <v>0</v>
      </c>
      <c r="R92" s="561"/>
      <c r="S92" s="561"/>
      <c r="T92" s="561"/>
      <c r="U92" s="561"/>
      <c r="V92" s="561"/>
      <c r="W92" s="561"/>
      <c r="X92" s="561"/>
      <c r="Y92" s="561"/>
      <c r="Z92" s="561">
        <f t="shared" si="11"/>
        <v>0</v>
      </c>
    </row>
    <row r="93" spans="1:26" s="27" customFormat="1" x14ac:dyDescent="0.25">
      <c r="A93" s="1136"/>
      <c r="B93" s="1139"/>
      <c r="C93" s="31" t="s">
        <v>202</v>
      </c>
      <c r="D93" s="561">
        <v>0</v>
      </c>
      <c r="E93" s="561">
        <v>0</v>
      </c>
      <c r="F93" s="561">
        <v>0</v>
      </c>
      <c r="G93" s="561">
        <f t="shared" si="8"/>
        <v>0</v>
      </c>
      <c r="H93" s="561">
        <v>0</v>
      </c>
      <c r="I93" s="561">
        <v>0</v>
      </c>
      <c r="J93" s="561">
        <v>0</v>
      </c>
      <c r="K93" s="561">
        <f t="shared" si="9"/>
        <v>0</v>
      </c>
      <c r="L93" s="561">
        <v>0</v>
      </c>
      <c r="M93" s="561">
        <v>0</v>
      </c>
      <c r="N93" s="561">
        <v>0</v>
      </c>
      <c r="O93" s="561">
        <v>0</v>
      </c>
      <c r="P93" s="561">
        <v>0</v>
      </c>
      <c r="Q93" s="561">
        <f t="shared" si="10"/>
        <v>0</v>
      </c>
      <c r="R93" s="561"/>
      <c r="S93" s="561"/>
      <c r="T93" s="561"/>
      <c r="U93" s="561"/>
      <c r="V93" s="561"/>
      <c r="W93" s="561"/>
      <c r="X93" s="561"/>
      <c r="Y93" s="561"/>
      <c r="Z93" s="561">
        <f t="shared" si="11"/>
        <v>0</v>
      </c>
    </row>
    <row r="94" spans="1:26" s="27" customFormat="1" ht="24" x14ac:dyDescent="0.25">
      <c r="A94" s="1137"/>
      <c r="B94" s="1140"/>
      <c r="C94" s="119" t="s">
        <v>203</v>
      </c>
      <c r="D94" s="561">
        <v>0</v>
      </c>
      <c r="E94" s="561">
        <v>0</v>
      </c>
      <c r="F94" s="561">
        <v>0</v>
      </c>
      <c r="G94" s="561">
        <f t="shared" si="8"/>
        <v>0</v>
      </c>
      <c r="H94" s="561">
        <v>0</v>
      </c>
      <c r="I94" s="561">
        <v>0</v>
      </c>
      <c r="J94" s="561">
        <v>0</v>
      </c>
      <c r="K94" s="561">
        <f t="shared" si="9"/>
        <v>0</v>
      </c>
      <c r="L94" s="561">
        <v>0</v>
      </c>
      <c r="M94" s="561">
        <v>0</v>
      </c>
      <c r="N94" s="561">
        <v>0</v>
      </c>
      <c r="O94" s="561">
        <v>0</v>
      </c>
      <c r="P94" s="561">
        <v>0</v>
      </c>
      <c r="Q94" s="561">
        <f t="shared" si="10"/>
        <v>0</v>
      </c>
      <c r="R94" s="561"/>
      <c r="S94" s="561"/>
      <c r="T94" s="561"/>
      <c r="U94" s="561"/>
      <c r="V94" s="561"/>
      <c r="W94" s="561"/>
      <c r="X94" s="561"/>
      <c r="Y94" s="561"/>
      <c r="Z94" s="561">
        <f t="shared" si="11"/>
        <v>0</v>
      </c>
    </row>
    <row r="95" spans="1:26" s="27" customFormat="1" ht="15" customHeight="1" x14ac:dyDescent="0.25">
      <c r="A95" s="593">
        <v>74</v>
      </c>
      <c r="B95" s="72" t="s">
        <v>204</v>
      </c>
      <c r="C95" s="31" t="s">
        <v>205</v>
      </c>
      <c r="D95" s="561">
        <v>0</v>
      </c>
      <c r="E95" s="561">
        <v>0</v>
      </c>
      <c r="F95" s="561">
        <v>0</v>
      </c>
      <c r="G95" s="561">
        <f t="shared" si="8"/>
        <v>0</v>
      </c>
      <c r="H95" s="561">
        <v>0</v>
      </c>
      <c r="I95" s="561">
        <v>0</v>
      </c>
      <c r="J95" s="561">
        <v>0</v>
      </c>
      <c r="K95" s="561">
        <f t="shared" si="9"/>
        <v>0</v>
      </c>
      <c r="L95" s="561">
        <v>0</v>
      </c>
      <c r="M95" s="561">
        <v>0</v>
      </c>
      <c r="N95" s="561">
        <v>0</v>
      </c>
      <c r="O95" s="561">
        <v>0</v>
      </c>
      <c r="P95" s="561">
        <v>0</v>
      </c>
      <c r="Q95" s="561">
        <f t="shared" si="10"/>
        <v>0</v>
      </c>
      <c r="R95" s="561"/>
      <c r="S95" s="561"/>
      <c r="T95" s="561"/>
      <c r="U95" s="561"/>
      <c r="V95" s="561"/>
      <c r="W95" s="561"/>
      <c r="X95" s="561"/>
      <c r="Y95" s="561"/>
      <c r="Z95" s="561">
        <f t="shared" si="11"/>
        <v>0</v>
      </c>
    </row>
    <row r="96" spans="1:26" s="27" customFormat="1" x14ac:dyDescent="0.25">
      <c r="A96" s="593">
        <v>75</v>
      </c>
      <c r="B96" s="72" t="s">
        <v>206</v>
      </c>
      <c r="C96" s="31" t="s">
        <v>207</v>
      </c>
      <c r="D96" s="561">
        <v>145</v>
      </c>
      <c r="E96" s="561">
        <v>0</v>
      </c>
      <c r="F96" s="561">
        <v>0</v>
      </c>
      <c r="G96" s="561">
        <f t="shared" si="8"/>
        <v>0</v>
      </c>
      <c r="H96" s="561">
        <v>0</v>
      </c>
      <c r="I96" s="561">
        <v>0</v>
      </c>
      <c r="J96" s="561">
        <v>0</v>
      </c>
      <c r="K96" s="561">
        <f t="shared" si="9"/>
        <v>145</v>
      </c>
      <c r="L96" s="561">
        <v>0</v>
      </c>
      <c r="M96" s="561">
        <v>0</v>
      </c>
      <c r="N96" s="561">
        <v>0</v>
      </c>
      <c r="O96" s="561">
        <v>0</v>
      </c>
      <c r="P96" s="561">
        <v>0</v>
      </c>
      <c r="Q96" s="561">
        <f t="shared" si="10"/>
        <v>0</v>
      </c>
      <c r="R96" s="561"/>
      <c r="S96" s="561"/>
      <c r="T96" s="561"/>
      <c r="U96" s="561"/>
      <c r="V96" s="561"/>
      <c r="W96" s="561"/>
      <c r="X96" s="561"/>
      <c r="Y96" s="561"/>
      <c r="Z96" s="561">
        <f t="shared" si="11"/>
        <v>0</v>
      </c>
    </row>
    <row r="97" spans="1:26" s="27" customFormat="1" x14ac:dyDescent="0.25">
      <c r="A97" s="593">
        <v>76</v>
      </c>
      <c r="B97" s="611" t="s">
        <v>208</v>
      </c>
      <c r="C97" s="31" t="s">
        <v>209</v>
      </c>
      <c r="D97" s="561">
        <v>902</v>
      </c>
      <c r="E97" s="561">
        <v>23</v>
      </c>
      <c r="F97" s="561">
        <v>152</v>
      </c>
      <c r="G97" s="561">
        <f t="shared" si="8"/>
        <v>372</v>
      </c>
      <c r="H97" s="561">
        <v>272</v>
      </c>
      <c r="I97" s="561">
        <v>34</v>
      </c>
      <c r="J97" s="561">
        <v>66</v>
      </c>
      <c r="K97" s="561">
        <f t="shared" si="9"/>
        <v>1449</v>
      </c>
      <c r="L97" s="561">
        <v>0</v>
      </c>
      <c r="M97" s="561">
        <v>0</v>
      </c>
      <c r="N97" s="561">
        <v>0</v>
      </c>
      <c r="O97" s="561">
        <v>0</v>
      </c>
      <c r="P97" s="561">
        <v>0</v>
      </c>
      <c r="Q97" s="561">
        <f t="shared" si="10"/>
        <v>0</v>
      </c>
      <c r="R97" s="561"/>
      <c r="S97" s="561"/>
      <c r="T97" s="561"/>
      <c r="U97" s="561"/>
      <c r="V97" s="561"/>
      <c r="W97" s="561"/>
      <c r="X97" s="561"/>
      <c r="Y97" s="561"/>
      <c r="Z97" s="561">
        <f t="shared" si="11"/>
        <v>0</v>
      </c>
    </row>
    <row r="98" spans="1:26" s="27" customFormat="1" x14ac:dyDescent="0.25">
      <c r="A98" s="593">
        <v>77</v>
      </c>
      <c r="B98" s="72" t="s">
        <v>210</v>
      </c>
      <c r="C98" s="31" t="s">
        <v>211</v>
      </c>
      <c r="D98" s="561">
        <v>352</v>
      </c>
      <c r="E98" s="561">
        <v>10</v>
      </c>
      <c r="F98" s="561">
        <v>0</v>
      </c>
      <c r="G98" s="561">
        <f t="shared" si="8"/>
        <v>0</v>
      </c>
      <c r="H98" s="561">
        <v>0</v>
      </c>
      <c r="I98" s="561">
        <v>0</v>
      </c>
      <c r="J98" s="561">
        <v>0</v>
      </c>
      <c r="K98" s="561">
        <f t="shared" si="9"/>
        <v>362</v>
      </c>
      <c r="L98" s="561">
        <v>0</v>
      </c>
      <c r="M98" s="561">
        <v>0</v>
      </c>
      <c r="N98" s="561">
        <v>0</v>
      </c>
      <c r="O98" s="561">
        <v>0</v>
      </c>
      <c r="P98" s="561">
        <v>0</v>
      </c>
      <c r="Q98" s="561">
        <f t="shared" si="10"/>
        <v>0</v>
      </c>
      <c r="R98" s="561"/>
      <c r="S98" s="561"/>
      <c r="T98" s="561"/>
      <c r="U98" s="561"/>
      <c r="V98" s="561"/>
      <c r="W98" s="561"/>
      <c r="X98" s="561"/>
      <c r="Y98" s="561"/>
      <c r="Z98" s="561">
        <f t="shared" si="11"/>
        <v>0</v>
      </c>
    </row>
    <row r="99" spans="1:26" s="27" customFormat="1" x14ac:dyDescent="0.25">
      <c r="A99" s="593">
        <v>78</v>
      </c>
      <c r="B99" s="611" t="s">
        <v>212</v>
      </c>
      <c r="C99" s="31" t="s">
        <v>213</v>
      </c>
      <c r="D99" s="561">
        <v>368</v>
      </c>
      <c r="E99" s="561">
        <v>0</v>
      </c>
      <c r="F99" s="561">
        <v>54</v>
      </c>
      <c r="G99" s="561">
        <f t="shared" si="8"/>
        <v>0</v>
      </c>
      <c r="H99" s="561">
        <v>0</v>
      </c>
      <c r="I99" s="561">
        <v>0</v>
      </c>
      <c r="J99" s="561">
        <v>0</v>
      </c>
      <c r="K99" s="561">
        <f t="shared" si="9"/>
        <v>422</v>
      </c>
      <c r="L99" s="561">
        <v>0</v>
      </c>
      <c r="M99" s="561">
        <v>0</v>
      </c>
      <c r="N99" s="561">
        <v>0</v>
      </c>
      <c r="O99" s="561">
        <v>0</v>
      </c>
      <c r="P99" s="561">
        <v>0</v>
      </c>
      <c r="Q99" s="561">
        <f t="shared" si="10"/>
        <v>0</v>
      </c>
      <c r="R99" s="561"/>
      <c r="S99" s="561"/>
      <c r="T99" s="561"/>
      <c r="U99" s="561"/>
      <c r="V99" s="561"/>
      <c r="W99" s="561"/>
      <c r="X99" s="561"/>
      <c r="Y99" s="561"/>
      <c r="Z99" s="561">
        <f t="shared" si="11"/>
        <v>0</v>
      </c>
    </row>
    <row r="100" spans="1:26" s="27" customFormat="1" x14ac:dyDescent="0.25">
      <c r="A100" s="593">
        <v>79</v>
      </c>
      <c r="B100" s="611" t="s">
        <v>214</v>
      </c>
      <c r="C100" s="31" t="s">
        <v>215</v>
      </c>
      <c r="D100" s="561">
        <v>1032</v>
      </c>
      <c r="E100" s="561">
        <v>28</v>
      </c>
      <c r="F100" s="561">
        <v>150</v>
      </c>
      <c r="G100" s="561">
        <f t="shared" si="8"/>
        <v>0</v>
      </c>
      <c r="H100" s="561">
        <v>0</v>
      </c>
      <c r="I100" s="561">
        <v>0</v>
      </c>
      <c r="J100" s="561">
        <v>0</v>
      </c>
      <c r="K100" s="561">
        <f t="shared" si="9"/>
        <v>1210</v>
      </c>
      <c r="L100" s="561">
        <v>0</v>
      </c>
      <c r="M100" s="561">
        <v>0</v>
      </c>
      <c r="N100" s="561">
        <v>0</v>
      </c>
      <c r="O100" s="561">
        <v>0</v>
      </c>
      <c r="P100" s="561">
        <v>0</v>
      </c>
      <c r="Q100" s="561">
        <f t="shared" si="10"/>
        <v>0</v>
      </c>
      <c r="R100" s="561"/>
      <c r="S100" s="561"/>
      <c r="T100" s="561"/>
      <c r="U100" s="561"/>
      <c r="V100" s="561"/>
      <c r="W100" s="561"/>
      <c r="X100" s="561"/>
      <c r="Y100" s="561"/>
      <c r="Z100" s="561">
        <f t="shared" si="11"/>
        <v>0</v>
      </c>
    </row>
    <row r="101" spans="1:26" s="27" customFormat="1" x14ac:dyDescent="0.25">
      <c r="A101" s="593">
        <v>80</v>
      </c>
      <c r="B101" s="72" t="s">
        <v>216</v>
      </c>
      <c r="C101" s="31" t="s">
        <v>217</v>
      </c>
      <c r="D101" s="561">
        <v>435</v>
      </c>
      <c r="E101" s="561">
        <v>12</v>
      </c>
      <c r="F101" s="561">
        <v>63</v>
      </c>
      <c r="G101" s="561">
        <f t="shared" si="8"/>
        <v>58</v>
      </c>
      <c r="H101" s="561">
        <v>44</v>
      </c>
      <c r="I101" s="561">
        <v>6</v>
      </c>
      <c r="J101" s="561">
        <v>8</v>
      </c>
      <c r="K101" s="561">
        <f t="shared" si="9"/>
        <v>568</v>
      </c>
      <c r="L101" s="561">
        <v>0</v>
      </c>
      <c r="M101" s="561">
        <v>0</v>
      </c>
      <c r="N101" s="561">
        <v>0</v>
      </c>
      <c r="O101" s="561">
        <v>0</v>
      </c>
      <c r="P101" s="561">
        <v>0</v>
      </c>
      <c r="Q101" s="561">
        <f t="shared" si="10"/>
        <v>0</v>
      </c>
      <c r="R101" s="561"/>
      <c r="S101" s="561"/>
      <c r="T101" s="561"/>
      <c r="U101" s="561"/>
      <c r="V101" s="561"/>
      <c r="W101" s="561"/>
      <c r="X101" s="561"/>
      <c r="Y101" s="561"/>
      <c r="Z101" s="561">
        <f t="shared" si="11"/>
        <v>0</v>
      </c>
    </row>
    <row r="102" spans="1:26" s="27" customFormat="1" x14ac:dyDescent="0.25">
      <c r="A102" s="593">
        <v>81</v>
      </c>
      <c r="B102" s="71" t="s">
        <v>218</v>
      </c>
      <c r="C102" s="31" t="s">
        <v>219</v>
      </c>
      <c r="D102" s="561">
        <v>1264</v>
      </c>
      <c r="E102" s="561">
        <v>0</v>
      </c>
      <c r="F102" s="561">
        <v>0</v>
      </c>
      <c r="G102" s="561">
        <f t="shared" si="8"/>
        <v>0</v>
      </c>
      <c r="H102" s="561">
        <v>0</v>
      </c>
      <c r="I102" s="561">
        <v>0</v>
      </c>
      <c r="J102" s="561">
        <v>0</v>
      </c>
      <c r="K102" s="561">
        <f t="shared" si="9"/>
        <v>1264</v>
      </c>
      <c r="L102" s="561">
        <v>0</v>
      </c>
      <c r="M102" s="561">
        <v>0</v>
      </c>
      <c r="N102" s="561">
        <v>0</v>
      </c>
      <c r="O102" s="561">
        <v>0</v>
      </c>
      <c r="P102" s="561">
        <v>0</v>
      </c>
      <c r="Q102" s="561">
        <f t="shared" si="10"/>
        <v>0</v>
      </c>
      <c r="R102" s="561"/>
      <c r="S102" s="561"/>
      <c r="T102" s="561"/>
      <c r="U102" s="561"/>
      <c r="V102" s="561"/>
      <c r="W102" s="561"/>
      <c r="X102" s="561"/>
      <c r="Y102" s="561"/>
      <c r="Z102" s="561">
        <f t="shared" si="11"/>
        <v>0</v>
      </c>
    </row>
    <row r="103" spans="1:26" s="27" customFormat="1" x14ac:dyDescent="0.25">
      <c r="A103" s="593">
        <v>82</v>
      </c>
      <c r="B103" s="71" t="s">
        <v>220</v>
      </c>
      <c r="C103" s="31" t="s">
        <v>221</v>
      </c>
      <c r="D103" s="561">
        <v>974</v>
      </c>
      <c r="E103" s="561">
        <v>0</v>
      </c>
      <c r="F103" s="561">
        <v>142</v>
      </c>
      <c r="G103" s="561">
        <f t="shared" si="8"/>
        <v>0</v>
      </c>
      <c r="H103" s="561">
        <v>0</v>
      </c>
      <c r="I103" s="561">
        <v>0</v>
      </c>
      <c r="J103" s="561">
        <v>0</v>
      </c>
      <c r="K103" s="561">
        <f t="shared" si="9"/>
        <v>1116</v>
      </c>
      <c r="L103" s="561">
        <v>0</v>
      </c>
      <c r="M103" s="561">
        <v>0</v>
      </c>
      <c r="N103" s="561">
        <v>0</v>
      </c>
      <c r="O103" s="561">
        <v>0</v>
      </c>
      <c r="P103" s="561">
        <v>0</v>
      </c>
      <c r="Q103" s="561">
        <f t="shared" si="10"/>
        <v>0</v>
      </c>
      <c r="R103" s="561"/>
      <c r="S103" s="561"/>
      <c r="T103" s="561"/>
      <c r="U103" s="561"/>
      <c r="V103" s="561"/>
      <c r="W103" s="561"/>
      <c r="X103" s="561"/>
      <c r="Y103" s="561"/>
      <c r="Z103" s="561">
        <f t="shared" si="11"/>
        <v>0</v>
      </c>
    </row>
    <row r="104" spans="1:26" s="27" customFormat="1" x14ac:dyDescent="0.25">
      <c r="A104" s="593">
        <v>83</v>
      </c>
      <c r="B104" s="611" t="s">
        <v>222</v>
      </c>
      <c r="C104" s="31" t="s">
        <v>223</v>
      </c>
      <c r="D104" s="561">
        <v>333</v>
      </c>
      <c r="E104" s="561">
        <v>9</v>
      </c>
      <c r="F104" s="561">
        <v>106</v>
      </c>
      <c r="G104" s="561">
        <f t="shared" si="8"/>
        <v>201</v>
      </c>
      <c r="H104" s="561">
        <v>152</v>
      </c>
      <c r="I104" s="561">
        <v>21</v>
      </c>
      <c r="J104" s="561">
        <v>28</v>
      </c>
      <c r="K104" s="561">
        <f t="shared" si="9"/>
        <v>649</v>
      </c>
      <c r="L104" s="561">
        <v>0</v>
      </c>
      <c r="M104" s="561">
        <v>0</v>
      </c>
      <c r="N104" s="561">
        <v>0</v>
      </c>
      <c r="O104" s="561">
        <v>0</v>
      </c>
      <c r="P104" s="561">
        <v>0</v>
      </c>
      <c r="Q104" s="561">
        <f t="shared" si="10"/>
        <v>0</v>
      </c>
      <c r="R104" s="561"/>
      <c r="S104" s="561"/>
      <c r="T104" s="561"/>
      <c r="U104" s="561"/>
      <c r="V104" s="561"/>
      <c r="W104" s="561"/>
      <c r="X104" s="561"/>
      <c r="Y104" s="561"/>
      <c r="Z104" s="561">
        <f t="shared" si="11"/>
        <v>0</v>
      </c>
    </row>
    <row r="105" spans="1:26" s="27" customFormat="1" x14ac:dyDescent="0.25">
      <c r="A105" s="593">
        <v>84</v>
      </c>
      <c r="B105" s="71" t="s">
        <v>224</v>
      </c>
      <c r="C105" s="31" t="s">
        <v>225</v>
      </c>
      <c r="D105" s="561">
        <v>523</v>
      </c>
      <c r="E105" s="561">
        <v>0</v>
      </c>
      <c r="F105" s="561">
        <v>0</v>
      </c>
      <c r="G105" s="561">
        <f t="shared" si="8"/>
        <v>0</v>
      </c>
      <c r="H105" s="561">
        <v>0</v>
      </c>
      <c r="I105" s="561">
        <v>0</v>
      </c>
      <c r="J105" s="561">
        <v>0</v>
      </c>
      <c r="K105" s="561">
        <f t="shared" si="9"/>
        <v>523</v>
      </c>
      <c r="L105" s="561">
        <v>0</v>
      </c>
      <c r="M105" s="561">
        <v>0</v>
      </c>
      <c r="N105" s="561">
        <v>0</v>
      </c>
      <c r="O105" s="561">
        <v>0</v>
      </c>
      <c r="P105" s="561">
        <v>0</v>
      </c>
      <c r="Q105" s="561">
        <f t="shared" si="10"/>
        <v>0</v>
      </c>
      <c r="R105" s="561"/>
      <c r="S105" s="561"/>
      <c r="T105" s="561"/>
      <c r="U105" s="561"/>
      <c r="V105" s="561"/>
      <c r="W105" s="561"/>
      <c r="X105" s="561"/>
      <c r="Y105" s="561"/>
      <c r="Z105" s="561">
        <f t="shared" si="11"/>
        <v>0</v>
      </c>
    </row>
    <row r="106" spans="1:26" s="27" customFormat="1" x14ac:dyDescent="0.25">
      <c r="A106" s="593">
        <v>85</v>
      </c>
      <c r="B106" s="71" t="s">
        <v>226</v>
      </c>
      <c r="C106" s="31" t="s">
        <v>227</v>
      </c>
      <c r="D106" s="561">
        <v>494</v>
      </c>
      <c r="E106" s="561">
        <v>14</v>
      </c>
      <c r="F106" s="561">
        <v>72</v>
      </c>
      <c r="G106" s="561">
        <f t="shared" si="8"/>
        <v>0</v>
      </c>
      <c r="H106" s="561">
        <v>0</v>
      </c>
      <c r="I106" s="561">
        <v>0</v>
      </c>
      <c r="J106" s="561">
        <v>0</v>
      </c>
      <c r="K106" s="561">
        <f t="shared" si="9"/>
        <v>580</v>
      </c>
      <c r="L106" s="561">
        <v>0</v>
      </c>
      <c r="M106" s="561">
        <v>0</v>
      </c>
      <c r="N106" s="561">
        <v>0</v>
      </c>
      <c r="O106" s="561">
        <v>0</v>
      </c>
      <c r="P106" s="561">
        <v>0</v>
      </c>
      <c r="Q106" s="561">
        <f t="shared" si="10"/>
        <v>0</v>
      </c>
      <c r="R106" s="561"/>
      <c r="S106" s="561"/>
      <c r="T106" s="561"/>
      <c r="U106" s="561"/>
      <c r="V106" s="561"/>
      <c r="W106" s="561"/>
      <c r="X106" s="561"/>
      <c r="Y106" s="561"/>
      <c r="Z106" s="561">
        <f t="shared" si="11"/>
        <v>0</v>
      </c>
    </row>
    <row r="107" spans="1:26" s="27" customFormat="1" x14ac:dyDescent="0.25">
      <c r="A107" s="593">
        <v>86</v>
      </c>
      <c r="B107" s="72" t="s">
        <v>32</v>
      </c>
      <c r="C107" s="31" t="s">
        <v>33</v>
      </c>
      <c r="D107" s="561">
        <v>704</v>
      </c>
      <c r="E107" s="561">
        <v>26</v>
      </c>
      <c r="F107" s="561">
        <v>30</v>
      </c>
      <c r="G107" s="561">
        <f t="shared" si="8"/>
        <v>58</v>
      </c>
      <c r="H107" s="561">
        <v>52</v>
      </c>
      <c r="I107" s="561">
        <v>1</v>
      </c>
      <c r="J107" s="561">
        <v>5</v>
      </c>
      <c r="K107" s="561">
        <f t="shared" si="9"/>
        <v>818</v>
      </c>
      <c r="L107" s="561">
        <v>0</v>
      </c>
      <c r="M107" s="561">
        <v>0</v>
      </c>
      <c r="N107" s="561">
        <v>0</v>
      </c>
      <c r="O107" s="561">
        <v>0</v>
      </c>
      <c r="P107" s="561">
        <v>0</v>
      </c>
      <c r="Q107" s="561">
        <f t="shared" si="10"/>
        <v>0</v>
      </c>
      <c r="R107" s="561"/>
      <c r="S107" s="561"/>
      <c r="T107" s="561"/>
      <c r="U107" s="561"/>
      <c r="V107" s="561"/>
      <c r="W107" s="561"/>
      <c r="X107" s="561"/>
      <c r="Y107" s="561"/>
      <c r="Z107" s="561">
        <f t="shared" si="11"/>
        <v>0</v>
      </c>
    </row>
    <row r="108" spans="1:26" s="149" customFormat="1" x14ac:dyDescent="0.25">
      <c r="A108" s="593">
        <v>87</v>
      </c>
      <c r="B108" s="611" t="s">
        <v>228</v>
      </c>
      <c r="C108" s="31" t="s">
        <v>229</v>
      </c>
      <c r="D108" s="561">
        <v>383</v>
      </c>
      <c r="E108" s="561">
        <v>0</v>
      </c>
      <c r="F108" s="561">
        <v>0</v>
      </c>
      <c r="G108" s="561">
        <f t="shared" si="8"/>
        <v>0</v>
      </c>
      <c r="H108" s="561">
        <v>0</v>
      </c>
      <c r="I108" s="561">
        <v>0</v>
      </c>
      <c r="J108" s="561">
        <v>0</v>
      </c>
      <c r="K108" s="561">
        <f t="shared" si="9"/>
        <v>383</v>
      </c>
      <c r="L108" s="561">
        <v>0</v>
      </c>
      <c r="M108" s="561">
        <v>0</v>
      </c>
      <c r="N108" s="561">
        <v>0</v>
      </c>
      <c r="O108" s="561">
        <v>0</v>
      </c>
      <c r="P108" s="561">
        <v>0</v>
      </c>
      <c r="Q108" s="561">
        <f t="shared" si="10"/>
        <v>0</v>
      </c>
      <c r="R108" s="561"/>
      <c r="S108" s="561"/>
      <c r="T108" s="561"/>
      <c r="U108" s="561"/>
      <c r="V108" s="561"/>
      <c r="W108" s="561"/>
      <c r="X108" s="561"/>
      <c r="Y108" s="561"/>
      <c r="Z108" s="561">
        <f t="shared" si="11"/>
        <v>0</v>
      </c>
    </row>
    <row r="109" spans="1:26" s="27" customFormat="1" x14ac:dyDescent="0.25">
      <c r="A109" s="593">
        <v>88</v>
      </c>
      <c r="B109" s="71" t="s">
        <v>230</v>
      </c>
      <c r="C109" s="31" t="s">
        <v>231</v>
      </c>
      <c r="D109" s="561">
        <v>1013</v>
      </c>
      <c r="E109" s="561">
        <v>28</v>
      </c>
      <c r="F109" s="561">
        <v>147</v>
      </c>
      <c r="G109" s="561">
        <f t="shared" si="8"/>
        <v>0</v>
      </c>
      <c r="H109" s="561">
        <v>0</v>
      </c>
      <c r="I109" s="561">
        <v>0</v>
      </c>
      <c r="J109" s="561">
        <v>0</v>
      </c>
      <c r="K109" s="561">
        <f t="shared" si="9"/>
        <v>1188</v>
      </c>
      <c r="L109" s="561">
        <v>0</v>
      </c>
      <c r="M109" s="561">
        <v>0</v>
      </c>
      <c r="N109" s="561">
        <v>0</v>
      </c>
      <c r="O109" s="561">
        <v>0</v>
      </c>
      <c r="P109" s="561">
        <v>0</v>
      </c>
      <c r="Q109" s="561">
        <f t="shared" si="10"/>
        <v>0</v>
      </c>
      <c r="R109" s="561"/>
      <c r="S109" s="561"/>
      <c r="T109" s="561"/>
      <c r="U109" s="561"/>
      <c r="V109" s="561"/>
      <c r="W109" s="561"/>
      <c r="X109" s="561"/>
      <c r="Y109" s="561"/>
      <c r="Z109" s="561">
        <f t="shared" si="11"/>
        <v>0</v>
      </c>
    </row>
    <row r="110" spans="1:26" s="27" customFormat="1" x14ac:dyDescent="0.25">
      <c r="A110" s="593">
        <v>89</v>
      </c>
      <c r="B110" s="71" t="s">
        <v>232</v>
      </c>
      <c r="C110" s="31" t="s">
        <v>233</v>
      </c>
      <c r="D110" s="561">
        <v>0</v>
      </c>
      <c r="E110" s="561">
        <v>0</v>
      </c>
      <c r="F110" s="561">
        <v>0</v>
      </c>
      <c r="G110" s="561">
        <f t="shared" si="8"/>
        <v>0</v>
      </c>
      <c r="H110" s="561">
        <v>0</v>
      </c>
      <c r="I110" s="561">
        <v>0</v>
      </c>
      <c r="J110" s="561">
        <v>0</v>
      </c>
      <c r="K110" s="561">
        <f t="shared" si="9"/>
        <v>0</v>
      </c>
      <c r="L110" s="561">
        <v>0</v>
      </c>
      <c r="M110" s="561">
        <v>0</v>
      </c>
      <c r="N110" s="561">
        <v>0</v>
      </c>
      <c r="O110" s="561">
        <v>0</v>
      </c>
      <c r="P110" s="561">
        <v>0</v>
      </c>
      <c r="Q110" s="561">
        <f t="shared" si="10"/>
        <v>0</v>
      </c>
      <c r="R110" s="561"/>
      <c r="S110" s="561"/>
      <c r="T110" s="561"/>
      <c r="U110" s="561"/>
      <c r="V110" s="561"/>
      <c r="W110" s="561"/>
      <c r="X110" s="561"/>
      <c r="Y110" s="561"/>
      <c r="Z110" s="561">
        <f t="shared" si="11"/>
        <v>0</v>
      </c>
    </row>
    <row r="111" spans="1:26" s="27" customFormat="1" x14ac:dyDescent="0.25">
      <c r="A111" s="593">
        <v>90</v>
      </c>
      <c r="B111" s="71" t="s">
        <v>234</v>
      </c>
      <c r="C111" s="31" t="s">
        <v>235</v>
      </c>
      <c r="D111" s="561">
        <v>0</v>
      </c>
      <c r="E111" s="561">
        <v>0</v>
      </c>
      <c r="F111" s="561">
        <v>0</v>
      </c>
      <c r="G111" s="561">
        <f t="shared" si="8"/>
        <v>0</v>
      </c>
      <c r="H111" s="561">
        <v>0</v>
      </c>
      <c r="I111" s="561">
        <v>0</v>
      </c>
      <c r="J111" s="561">
        <v>0</v>
      </c>
      <c r="K111" s="561">
        <f t="shared" si="9"/>
        <v>0</v>
      </c>
      <c r="L111" s="561">
        <v>0</v>
      </c>
      <c r="M111" s="561">
        <v>0</v>
      </c>
      <c r="N111" s="561">
        <v>0</v>
      </c>
      <c r="O111" s="561">
        <v>0</v>
      </c>
      <c r="P111" s="561">
        <v>0</v>
      </c>
      <c r="Q111" s="561">
        <f t="shared" si="10"/>
        <v>0</v>
      </c>
      <c r="R111" s="561"/>
      <c r="S111" s="561"/>
      <c r="T111" s="561"/>
      <c r="U111" s="561"/>
      <c r="V111" s="561"/>
      <c r="W111" s="561"/>
      <c r="X111" s="561"/>
      <c r="Y111" s="561"/>
      <c r="Z111" s="561">
        <f t="shared" si="11"/>
        <v>0</v>
      </c>
    </row>
    <row r="112" spans="1:26" s="27" customFormat="1" x14ac:dyDescent="0.25">
      <c r="A112" s="593">
        <v>91</v>
      </c>
      <c r="B112" s="611" t="s">
        <v>236</v>
      </c>
      <c r="C112" s="31" t="s">
        <v>237</v>
      </c>
      <c r="D112" s="561">
        <v>0</v>
      </c>
      <c r="E112" s="561">
        <v>0</v>
      </c>
      <c r="F112" s="561">
        <v>0</v>
      </c>
      <c r="G112" s="561">
        <f t="shared" si="8"/>
        <v>0</v>
      </c>
      <c r="H112" s="561">
        <v>0</v>
      </c>
      <c r="I112" s="561">
        <v>0</v>
      </c>
      <c r="J112" s="561">
        <v>0</v>
      </c>
      <c r="K112" s="561">
        <f t="shared" si="9"/>
        <v>0</v>
      </c>
      <c r="L112" s="561">
        <v>0</v>
      </c>
      <c r="M112" s="561">
        <v>0</v>
      </c>
      <c r="N112" s="561">
        <v>0</v>
      </c>
      <c r="O112" s="561">
        <v>0</v>
      </c>
      <c r="P112" s="561">
        <v>0</v>
      </c>
      <c r="Q112" s="561">
        <f t="shared" si="10"/>
        <v>0</v>
      </c>
      <c r="R112" s="561"/>
      <c r="S112" s="561"/>
      <c r="T112" s="561"/>
      <c r="U112" s="561"/>
      <c r="V112" s="561"/>
      <c r="W112" s="561"/>
      <c r="X112" s="561"/>
      <c r="Y112" s="561"/>
      <c r="Z112" s="561">
        <f t="shared" si="11"/>
        <v>0</v>
      </c>
    </row>
    <row r="113" spans="1:26" s="27" customFormat="1" x14ac:dyDescent="0.25">
      <c r="A113" s="593">
        <v>92</v>
      </c>
      <c r="B113" s="611" t="s">
        <v>238</v>
      </c>
      <c r="C113" s="31" t="s">
        <v>239</v>
      </c>
      <c r="D113" s="561">
        <v>0</v>
      </c>
      <c r="E113" s="561">
        <v>0</v>
      </c>
      <c r="F113" s="561">
        <v>0</v>
      </c>
      <c r="G113" s="561">
        <f t="shared" si="8"/>
        <v>0</v>
      </c>
      <c r="H113" s="561">
        <v>0</v>
      </c>
      <c r="I113" s="561">
        <v>0</v>
      </c>
      <c r="J113" s="561">
        <v>0</v>
      </c>
      <c r="K113" s="561">
        <f t="shared" si="9"/>
        <v>0</v>
      </c>
      <c r="L113" s="561">
        <v>0</v>
      </c>
      <c r="M113" s="561">
        <v>0</v>
      </c>
      <c r="N113" s="561">
        <v>0</v>
      </c>
      <c r="O113" s="561">
        <v>0</v>
      </c>
      <c r="P113" s="561">
        <v>0</v>
      </c>
      <c r="Q113" s="561">
        <f t="shared" si="10"/>
        <v>0</v>
      </c>
      <c r="R113" s="561"/>
      <c r="S113" s="561"/>
      <c r="T113" s="561"/>
      <c r="U113" s="561"/>
      <c r="V113" s="561"/>
      <c r="W113" s="561"/>
      <c r="X113" s="561"/>
      <c r="Y113" s="561"/>
      <c r="Z113" s="561">
        <f t="shared" si="11"/>
        <v>0</v>
      </c>
    </row>
    <row r="114" spans="1:26" s="27" customFormat="1" x14ac:dyDescent="0.25">
      <c r="A114" s="593">
        <v>93</v>
      </c>
      <c r="B114" s="611" t="s">
        <v>240</v>
      </c>
      <c r="C114" s="31" t="s">
        <v>241</v>
      </c>
      <c r="D114" s="561">
        <v>0</v>
      </c>
      <c r="E114" s="561">
        <v>0</v>
      </c>
      <c r="F114" s="561">
        <v>0</v>
      </c>
      <c r="G114" s="561">
        <f t="shared" si="8"/>
        <v>0</v>
      </c>
      <c r="H114" s="561">
        <v>0</v>
      </c>
      <c r="I114" s="561">
        <v>0</v>
      </c>
      <c r="J114" s="561">
        <v>0</v>
      </c>
      <c r="K114" s="561">
        <f t="shared" si="9"/>
        <v>0</v>
      </c>
      <c r="L114" s="561">
        <v>0</v>
      </c>
      <c r="M114" s="561">
        <v>0</v>
      </c>
      <c r="N114" s="561">
        <v>0</v>
      </c>
      <c r="O114" s="561">
        <v>0</v>
      </c>
      <c r="P114" s="561">
        <v>0</v>
      </c>
      <c r="Q114" s="561">
        <f t="shared" si="10"/>
        <v>0</v>
      </c>
      <c r="R114" s="561"/>
      <c r="S114" s="561"/>
      <c r="T114" s="561"/>
      <c r="U114" s="561"/>
      <c r="V114" s="561"/>
      <c r="W114" s="561"/>
      <c r="X114" s="561"/>
      <c r="Y114" s="561"/>
      <c r="Z114" s="561">
        <f t="shared" si="11"/>
        <v>0</v>
      </c>
    </row>
    <row r="115" spans="1:26" s="27" customFormat="1" x14ac:dyDescent="0.25">
      <c r="A115" s="593">
        <v>94</v>
      </c>
      <c r="B115" s="611" t="s">
        <v>242</v>
      </c>
      <c r="C115" s="31" t="s">
        <v>243</v>
      </c>
      <c r="D115" s="561">
        <v>0</v>
      </c>
      <c r="E115" s="561">
        <v>0</v>
      </c>
      <c r="F115" s="561">
        <v>0</v>
      </c>
      <c r="G115" s="561">
        <f t="shared" si="8"/>
        <v>0</v>
      </c>
      <c r="H115" s="561">
        <v>0</v>
      </c>
      <c r="I115" s="561">
        <v>0</v>
      </c>
      <c r="J115" s="561">
        <v>0</v>
      </c>
      <c r="K115" s="561">
        <f t="shared" si="9"/>
        <v>0</v>
      </c>
      <c r="L115" s="561">
        <v>0</v>
      </c>
      <c r="M115" s="561">
        <v>0</v>
      </c>
      <c r="N115" s="561">
        <v>0</v>
      </c>
      <c r="O115" s="561">
        <v>0</v>
      </c>
      <c r="P115" s="561">
        <v>0</v>
      </c>
      <c r="Q115" s="561">
        <f t="shared" si="10"/>
        <v>0</v>
      </c>
      <c r="R115" s="561"/>
      <c r="S115" s="561"/>
      <c r="T115" s="561"/>
      <c r="U115" s="561"/>
      <c r="V115" s="561"/>
      <c r="W115" s="561"/>
      <c r="X115" s="561"/>
      <c r="Y115" s="561"/>
      <c r="Z115" s="561">
        <f t="shared" si="11"/>
        <v>0</v>
      </c>
    </row>
    <row r="116" spans="1:26" s="27" customFormat="1" x14ac:dyDescent="0.25">
      <c r="A116" s="593">
        <v>95</v>
      </c>
      <c r="B116" s="611" t="s">
        <v>244</v>
      </c>
      <c r="C116" s="31" t="s">
        <v>245</v>
      </c>
      <c r="D116" s="561">
        <v>0</v>
      </c>
      <c r="E116" s="561">
        <v>0</v>
      </c>
      <c r="F116" s="561">
        <v>0</v>
      </c>
      <c r="G116" s="561">
        <f t="shared" si="8"/>
        <v>0</v>
      </c>
      <c r="H116" s="561">
        <v>0</v>
      </c>
      <c r="I116" s="561">
        <v>0</v>
      </c>
      <c r="J116" s="561">
        <v>0</v>
      </c>
      <c r="K116" s="561">
        <f t="shared" si="9"/>
        <v>0</v>
      </c>
      <c r="L116" s="561">
        <v>0</v>
      </c>
      <c r="M116" s="561">
        <v>0</v>
      </c>
      <c r="N116" s="561">
        <v>0</v>
      </c>
      <c r="O116" s="561">
        <v>0</v>
      </c>
      <c r="P116" s="561">
        <v>0</v>
      </c>
      <c r="Q116" s="561">
        <f t="shared" si="10"/>
        <v>0</v>
      </c>
      <c r="R116" s="561"/>
      <c r="S116" s="561"/>
      <c r="T116" s="561"/>
      <c r="U116" s="561"/>
      <c r="V116" s="561"/>
      <c r="W116" s="561"/>
      <c r="X116" s="561"/>
      <c r="Y116" s="561"/>
      <c r="Z116" s="561">
        <f t="shared" si="11"/>
        <v>0</v>
      </c>
    </row>
    <row r="117" spans="1:26" s="27" customFormat="1" x14ac:dyDescent="0.25">
      <c r="A117" s="593">
        <v>96</v>
      </c>
      <c r="B117" s="596" t="s">
        <v>246</v>
      </c>
      <c r="C117" s="595" t="s">
        <v>247</v>
      </c>
      <c r="D117" s="561">
        <v>0</v>
      </c>
      <c r="E117" s="561">
        <v>0</v>
      </c>
      <c r="F117" s="561">
        <v>0</v>
      </c>
      <c r="G117" s="561">
        <f t="shared" si="8"/>
        <v>0</v>
      </c>
      <c r="H117" s="561">
        <v>0</v>
      </c>
      <c r="I117" s="561">
        <v>0</v>
      </c>
      <c r="J117" s="561">
        <v>0</v>
      </c>
      <c r="K117" s="561">
        <f t="shared" si="9"/>
        <v>0</v>
      </c>
      <c r="L117" s="561">
        <v>0</v>
      </c>
      <c r="M117" s="561">
        <v>0</v>
      </c>
      <c r="N117" s="561">
        <v>0</v>
      </c>
      <c r="O117" s="561">
        <v>0</v>
      </c>
      <c r="P117" s="561">
        <v>0</v>
      </c>
      <c r="Q117" s="561">
        <f t="shared" si="10"/>
        <v>0</v>
      </c>
      <c r="R117" s="561"/>
      <c r="S117" s="561"/>
      <c r="T117" s="561"/>
      <c r="U117" s="561"/>
      <c r="V117" s="561"/>
      <c r="W117" s="561"/>
      <c r="X117" s="561"/>
      <c r="Y117" s="561"/>
      <c r="Z117" s="561">
        <f t="shared" si="11"/>
        <v>0</v>
      </c>
    </row>
    <row r="118" spans="1:26" s="27" customFormat="1" x14ac:dyDescent="0.25">
      <c r="A118" s="593">
        <v>97</v>
      </c>
      <c r="B118" s="72" t="s">
        <v>248</v>
      </c>
      <c r="C118" s="31" t="s">
        <v>249</v>
      </c>
      <c r="D118" s="561">
        <v>0</v>
      </c>
      <c r="E118" s="561">
        <v>0</v>
      </c>
      <c r="F118" s="561">
        <v>0</v>
      </c>
      <c r="G118" s="561">
        <f t="shared" si="8"/>
        <v>0</v>
      </c>
      <c r="H118" s="561">
        <v>0</v>
      </c>
      <c r="I118" s="561">
        <v>0</v>
      </c>
      <c r="J118" s="561">
        <v>0</v>
      </c>
      <c r="K118" s="561">
        <f t="shared" si="9"/>
        <v>0</v>
      </c>
      <c r="L118" s="561">
        <v>0</v>
      </c>
      <c r="M118" s="561">
        <v>0</v>
      </c>
      <c r="N118" s="561">
        <v>0</v>
      </c>
      <c r="O118" s="561">
        <v>0</v>
      </c>
      <c r="P118" s="561">
        <v>0</v>
      </c>
      <c r="Q118" s="561">
        <f t="shared" si="10"/>
        <v>0</v>
      </c>
      <c r="R118" s="561"/>
      <c r="S118" s="561"/>
      <c r="T118" s="561"/>
      <c r="U118" s="561"/>
      <c r="V118" s="561"/>
      <c r="W118" s="561"/>
      <c r="X118" s="561"/>
      <c r="Y118" s="561"/>
      <c r="Z118" s="561">
        <f t="shared" si="11"/>
        <v>0</v>
      </c>
    </row>
    <row r="119" spans="1:26" s="27" customFormat="1" x14ac:dyDescent="0.25">
      <c r="A119" s="593">
        <v>98</v>
      </c>
      <c r="B119" s="611" t="s">
        <v>250</v>
      </c>
      <c r="C119" s="31" t="s">
        <v>251</v>
      </c>
      <c r="D119" s="561">
        <v>0</v>
      </c>
      <c r="E119" s="561">
        <v>0</v>
      </c>
      <c r="F119" s="561">
        <v>0</v>
      </c>
      <c r="G119" s="561">
        <f t="shared" si="8"/>
        <v>0</v>
      </c>
      <c r="H119" s="561">
        <v>0</v>
      </c>
      <c r="I119" s="561">
        <v>0</v>
      </c>
      <c r="J119" s="561">
        <v>0</v>
      </c>
      <c r="K119" s="561">
        <f t="shared" si="9"/>
        <v>0</v>
      </c>
      <c r="L119" s="561">
        <v>0</v>
      </c>
      <c r="M119" s="561">
        <v>0</v>
      </c>
      <c r="N119" s="561">
        <v>0</v>
      </c>
      <c r="O119" s="561">
        <v>0</v>
      </c>
      <c r="P119" s="561">
        <v>0</v>
      </c>
      <c r="Q119" s="561">
        <f t="shared" si="10"/>
        <v>0</v>
      </c>
      <c r="R119" s="561"/>
      <c r="S119" s="561"/>
      <c r="T119" s="561"/>
      <c r="U119" s="561"/>
      <c r="V119" s="561"/>
      <c r="W119" s="561"/>
      <c r="X119" s="561"/>
      <c r="Y119" s="561"/>
      <c r="Z119" s="561">
        <f t="shared" si="11"/>
        <v>0</v>
      </c>
    </row>
    <row r="120" spans="1:26" s="27" customFormat="1" x14ac:dyDescent="0.25">
      <c r="A120" s="593">
        <v>99</v>
      </c>
      <c r="B120" s="71" t="s">
        <v>252</v>
      </c>
      <c r="C120" s="120" t="s">
        <v>253</v>
      </c>
      <c r="D120" s="561">
        <v>0</v>
      </c>
      <c r="E120" s="561">
        <v>0</v>
      </c>
      <c r="F120" s="561">
        <v>0</v>
      </c>
      <c r="G120" s="561">
        <f t="shared" si="8"/>
        <v>0</v>
      </c>
      <c r="H120" s="561">
        <v>0</v>
      </c>
      <c r="I120" s="561">
        <v>0</v>
      </c>
      <c r="J120" s="561">
        <v>0</v>
      </c>
      <c r="K120" s="561">
        <f t="shared" si="9"/>
        <v>0</v>
      </c>
      <c r="L120" s="561">
        <v>0</v>
      </c>
      <c r="M120" s="561">
        <v>0</v>
      </c>
      <c r="N120" s="561">
        <v>0</v>
      </c>
      <c r="O120" s="561">
        <v>0</v>
      </c>
      <c r="P120" s="561">
        <v>0</v>
      </c>
      <c r="Q120" s="561">
        <f t="shared" si="10"/>
        <v>0</v>
      </c>
      <c r="R120" s="561"/>
      <c r="S120" s="561"/>
      <c r="T120" s="561"/>
      <c r="U120" s="561"/>
      <c r="V120" s="561"/>
      <c r="W120" s="561"/>
      <c r="X120" s="561"/>
      <c r="Y120" s="561"/>
      <c r="Z120" s="561">
        <f t="shared" si="11"/>
        <v>0</v>
      </c>
    </row>
    <row r="121" spans="1:26" s="27" customFormat="1" x14ac:dyDescent="0.25">
      <c r="A121" s="593">
        <v>100</v>
      </c>
      <c r="B121" s="611" t="s">
        <v>254</v>
      </c>
      <c r="C121" s="31" t="s">
        <v>255</v>
      </c>
      <c r="D121" s="561">
        <v>0</v>
      </c>
      <c r="E121" s="561">
        <v>0</v>
      </c>
      <c r="F121" s="561">
        <v>0</v>
      </c>
      <c r="G121" s="561">
        <f t="shared" si="8"/>
        <v>0</v>
      </c>
      <c r="H121" s="561">
        <v>0</v>
      </c>
      <c r="I121" s="561">
        <v>0</v>
      </c>
      <c r="J121" s="561">
        <v>0</v>
      </c>
      <c r="K121" s="561">
        <f t="shared" si="9"/>
        <v>0</v>
      </c>
      <c r="L121" s="561">
        <v>0</v>
      </c>
      <c r="M121" s="561">
        <v>0</v>
      </c>
      <c r="N121" s="561">
        <v>0</v>
      </c>
      <c r="O121" s="561">
        <v>0</v>
      </c>
      <c r="P121" s="561">
        <v>0</v>
      </c>
      <c r="Q121" s="561">
        <f t="shared" si="10"/>
        <v>0</v>
      </c>
      <c r="R121" s="561"/>
      <c r="S121" s="561"/>
      <c r="T121" s="561"/>
      <c r="U121" s="561"/>
      <c r="V121" s="561"/>
      <c r="W121" s="561"/>
      <c r="X121" s="561"/>
      <c r="Y121" s="561"/>
      <c r="Z121" s="561">
        <f t="shared" si="11"/>
        <v>0</v>
      </c>
    </row>
    <row r="122" spans="1:26" s="27" customFormat="1" x14ac:dyDescent="0.25">
      <c r="A122" s="593">
        <v>101</v>
      </c>
      <c r="B122" s="72" t="s">
        <v>256</v>
      </c>
      <c r="C122" s="31" t="s">
        <v>257</v>
      </c>
      <c r="D122" s="561">
        <v>0</v>
      </c>
      <c r="E122" s="561">
        <v>0</v>
      </c>
      <c r="F122" s="561">
        <v>0</v>
      </c>
      <c r="G122" s="561">
        <f t="shared" si="8"/>
        <v>0</v>
      </c>
      <c r="H122" s="561">
        <v>0</v>
      </c>
      <c r="I122" s="561">
        <v>0</v>
      </c>
      <c r="J122" s="561">
        <v>0</v>
      </c>
      <c r="K122" s="561">
        <f t="shared" si="9"/>
        <v>0</v>
      </c>
      <c r="L122" s="561">
        <v>0</v>
      </c>
      <c r="M122" s="561">
        <v>0</v>
      </c>
      <c r="N122" s="561">
        <v>0</v>
      </c>
      <c r="O122" s="561">
        <v>0</v>
      </c>
      <c r="P122" s="561">
        <v>0</v>
      </c>
      <c r="Q122" s="561">
        <f t="shared" si="10"/>
        <v>0</v>
      </c>
      <c r="R122" s="561"/>
      <c r="S122" s="561"/>
      <c r="T122" s="561"/>
      <c r="U122" s="561"/>
      <c r="V122" s="561"/>
      <c r="W122" s="561"/>
      <c r="X122" s="561"/>
      <c r="Y122" s="561"/>
      <c r="Z122" s="561">
        <f t="shared" si="11"/>
        <v>0</v>
      </c>
    </row>
    <row r="123" spans="1:26" s="27" customFormat="1" x14ac:dyDescent="0.25">
      <c r="A123" s="593">
        <v>102</v>
      </c>
      <c r="B123" s="71" t="s">
        <v>258</v>
      </c>
      <c r="C123" s="31" t="s">
        <v>259</v>
      </c>
      <c r="D123" s="561">
        <v>0</v>
      </c>
      <c r="E123" s="561">
        <v>0</v>
      </c>
      <c r="F123" s="561">
        <v>0</v>
      </c>
      <c r="G123" s="561">
        <f t="shared" si="8"/>
        <v>0</v>
      </c>
      <c r="H123" s="561">
        <v>0</v>
      </c>
      <c r="I123" s="561">
        <v>0</v>
      </c>
      <c r="J123" s="561">
        <v>0</v>
      </c>
      <c r="K123" s="561">
        <f t="shared" si="9"/>
        <v>0</v>
      </c>
      <c r="L123" s="561">
        <v>0</v>
      </c>
      <c r="M123" s="561">
        <v>0</v>
      </c>
      <c r="N123" s="561">
        <v>0</v>
      </c>
      <c r="O123" s="561">
        <v>0</v>
      </c>
      <c r="P123" s="561">
        <v>0</v>
      </c>
      <c r="Q123" s="561">
        <f t="shared" si="10"/>
        <v>0</v>
      </c>
      <c r="R123" s="561"/>
      <c r="S123" s="561"/>
      <c r="T123" s="561"/>
      <c r="U123" s="561"/>
      <c r="V123" s="561"/>
      <c r="W123" s="561"/>
      <c r="X123" s="561"/>
      <c r="Y123" s="561"/>
      <c r="Z123" s="561">
        <f t="shared" si="11"/>
        <v>0</v>
      </c>
    </row>
    <row r="124" spans="1:26" s="27" customFormat="1" x14ac:dyDescent="0.25">
      <c r="A124" s="593">
        <v>103</v>
      </c>
      <c r="B124" s="597" t="s">
        <v>543</v>
      </c>
      <c r="C124" s="595" t="s">
        <v>544</v>
      </c>
      <c r="D124" s="561">
        <v>0</v>
      </c>
      <c r="E124" s="561">
        <v>0</v>
      </c>
      <c r="F124" s="561">
        <v>0</v>
      </c>
      <c r="G124" s="561">
        <f t="shared" si="8"/>
        <v>0</v>
      </c>
      <c r="H124" s="561">
        <v>0</v>
      </c>
      <c r="I124" s="561">
        <v>0</v>
      </c>
      <c r="J124" s="561">
        <v>0</v>
      </c>
      <c r="K124" s="561">
        <f t="shared" si="9"/>
        <v>0</v>
      </c>
      <c r="L124" s="561">
        <v>0</v>
      </c>
      <c r="M124" s="561">
        <v>0</v>
      </c>
      <c r="N124" s="561">
        <v>0</v>
      </c>
      <c r="O124" s="561">
        <v>0</v>
      </c>
      <c r="P124" s="561">
        <v>0</v>
      </c>
      <c r="Q124" s="561">
        <f t="shared" si="10"/>
        <v>0</v>
      </c>
      <c r="R124" s="561"/>
      <c r="S124" s="561"/>
      <c r="T124" s="561"/>
      <c r="U124" s="561"/>
      <c r="V124" s="561"/>
      <c r="W124" s="561"/>
      <c r="X124" s="561"/>
      <c r="Y124" s="561"/>
      <c r="Z124" s="561">
        <f t="shared" si="11"/>
        <v>0</v>
      </c>
    </row>
    <row r="125" spans="1:26" s="27" customFormat="1" x14ac:dyDescent="0.25">
      <c r="A125" s="593">
        <v>104</v>
      </c>
      <c r="B125" s="72" t="s">
        <v>260</v>
      </c>
      <c r="C125" s="31" t="s">
        <v>261</v>
      </c>
      <c r="D125" s="561">
        <v>0</v>
      </c>
      <c r="E125" s="561">
        <v>0</v>
      </c>
      <c r="F125" s="561">
        <v>0</v>
      </c>
      <c r="G125" s="561">
        <f t="shared" si="8"/>
        <v>0</v>
      </c>
      <c r="H125" s="561">
        <v>0</v>
      </c>
      <c r="I125" s="561">
        <v>0</v>
      </c>
      <c r="J125" s="561">
        <v>0</v>
      </c>
      <c r="K125" s="561">
        <f t="shared" si="9"/>
        <v>0</v>
      </c>
      <c r="L125" s="561">
        <v>0</v>
      </c>
      <c r="M125" s="561">
        <v>0</v>
      </c>
      <c r="N125" s="561">
        <v>0</v>
      </c>
      <c r="O125" s="561">
        <v>0</v>
      </c>
      <c r="P125" s="561">
        <v>0</v>
      </c>
      <c r="Q125" s="561">
        <f t="shared" si="10"/>
        <v>0</v>
      </c>
      <c r="R125" s="561"/>
      <c r="S125" s="561"/>
      <c r="T125" s="561"/>
      <c r="U125" s="561"/>
      <c r="V125" s="561"/>
      <c r="W125" s="561"/>
      <c r="X125" s="561"/>
      <c r="Y125" s="561"/>
      <c r="Z125" s="561">
        <f t="shared" si="11"/>
        <v>0</v>
      </c>
    </row>
    <row r="126" spans="1:26" s="27" customFormat="1" x14ac:dyDescent="0.25">
      <c r="A126" s="593">
        <v>105</v>
      </c>
      <c r="B126" s="611" t="s">
        <v>262</v>
      </c>
      <c r="C126" s="31" t="s">
        <v>263</v>
      </c>
      <c r="D126" s="561">
        <v>0</v>
      </c>
      <c r="E126" s="561">
        <v>0</v>
      </c>
      <c r="F126" s="561">
        <v>0</v>
      </c>
      <c r="G126" s="561">
        <f t="shared" si="8"/>
        <v>0</v>
      </c>
      <c r="H126" s="561">
        <v>0</v>
      </c>
      <c r="I126" s="561">
        <v>0</v>
      </c>
      <c r="J126" s="561">
        <v>0</v>
      </c>
      <c r="K126" s="561">
        <f t="shared" si="9"/>
        <v>0</v>
      </c>
      <c r="L126" s="561">
        <v>0</v>
      </c>
      <c r="M126" s="561">
        <v>0</v>
      </c>
      <c r="N126" s="561">
        <v>0</v>
      </c>
      <c r="O126" s="561">
        <v>0</v>
      </c>
      <c r="P126" s="561">
        <v>0</v>
      </c>
      <c r="Q126" s="561">
        <f t="shared" si="10"/>
        <v>0</v>
      </c>
      <c r="R126" s="561"/>
      <c r="S126" s="561"/>
      <c r="T126" s="561"/>
      <c r="U126" s="561"/>
      <c r="V126" s="561"/>
      <c r="W126" s="561"/>
      <c r="X126" s="561"/>
      <c r="Y126" s="561"/>
      <c r="Z126" s="561">
        <f t="shared" si="11"/>
        <v>0</v>
      </c>
    </row>
    <row r="127" spans="1:26" s="27" customFormat="1" x14ac:dyDescent="0.25">
      <c r="A127" s="593">
        <v>106</v>
      </c>
      <c r="B127" s="611" t="s">
        <v>264</v>
      </c>
      <c r="C127" s="121" t="s">
        <v>265</v>
      </c>
      <c r="D127" s="561">
        <v>0</v>
      </c>
      <c r="E127" s="561">
        <v>0</v>
      </c>
      <c r="F127" s="561">
        <v>0</v>
      </c>
      <c r="G127" s="561">
        <f t="shared" si="8"/>
        <v>0</v>
      </c>
      <c r="H127" s="561">
        <v>0</v>
      </c>
      <c r="I127" s="561">
        <v>0</v>
      </c>
      <c r="J127" s="561">
        <v>0</v>
      </c>
      <c r="K127" s="561">
        <f t="shared" si="9"/>
        <v>0</v>
      </c>
      <c r="L127" s="561">
        <v>0</v>
      </c>
      <c r="M127" s="561">
        <v>0</v>
      </c>
      <c r="N127" s="561">
        <v>0</v>
      </c>
      <c r="O127" s="561">
        <v>0</v>
      </c>
      <c r="P127" s="561">
        <v>0</v>
      </c>
      <c r="Q127" s="561">
        <f t="shared" si="10"/>
        <v>0</v>
      </c>
      <c r="R127" s="561"/>
      <c r="S127" s="561"/>
      <c r="T127" s="561"/>
      <c r="U127" s="561"/>
      <c r="V127" s="561"/>
      <c r="W127" s="561"/>
      <c r="X127" s="561"/>
      <c r="Y127" s="561"/>
      <c r="Z127" s="561">
        <f t="shared" si="11"/>
        <v>0</v>
      </c>
    </row>
    <row r="128" spans="1:26" s="27" customFormat="1" x14ac:dyDescent="0.25">
      <c r="A128" s="593">
        <v>107</v>
      </c>
      <c r="B128" s="611" t="s">
        <v>266</v>
      </c>
      <c r="C128" s="31" t="s">
        <v>267</v>
      </c>
      <c r="D128" s="561">
        <v>2300</v>
      </c>
      <c r="E128" s="561">
        <v>299</v>
      </c>
      <c r="F128" s="561">
        <v>576</v>
      </c>
      <c r="G128" s="561">
        <f t="shared" si="8"/>
        <v>540</v>
      </c>
      <c r="H128" s="561">
        <v>431</v>
      </c>
      <c r="I128" s="561">
        <v>53</v>
      </c>
      <c r="J128" s="561">
        <v>56</v>
      </c>
      <c r="K128" s="561">
        <f t="shared" si="9"/>
        <v>3715</v>
      </c>
      <c r="L128" s="561">
        <v>579</v>
      </c>
      <c r="M128" s="561">
        <v>2358</v>
      </c>
      <c r="N128" s="561">
        <v>8265</v>
      </c>
      <c r="O128" s="561">
        <v>5274</v>
      </c>
      <c r="P128" s="561">
        <v>381</v>
      </c>
      <c r="Q128" s="561">
        <f t="shared" si="10"/>
        <v>16857</v>
      </c>
      <c r="R128" s="561"/>
      <c r="S128" s="561"/>
      <c r="T128" s="561"/>
      <c r="U128" s="561"/>
      <c r="V128" s="561"/>
      <c r="W128" s="561"/>
      <c r="X128" s="561"/>
      <c r="Y128" s="561"/>
      <c r="Z128" s="561">
        <f t="shared" si="11"/>
        <v>0</v>
      </c>
    </row>
    <row r="129" spans="1:26" s="27" customFormat="1" x14ac:dyDescent="0.25">
      <c r="A129" s="593">
        <v>108</v>
      </c>
      <c r="B129" s="611" t="s">
        <v>268</v>
      </c>
      <c r="C129" s="31" t="s">
        <v>269</v>
      </c>
      <c r="D129" s="561">
        <v>3600</v>
      </c>
      <c r="E129" s="561">
        <v>3000</v>
      </c>
      <c r="F129" s="561">
        <v>2250</v>
      </c>
      <c r="G129" s="561">
        <f t="shared" si="8"/>
        <v>1545</v>
      </c>
      <c r="H129" s="561">
        <v>821</v>
      </c>
      <c r="I129" s="561">
        <v>94</v>
      </c>
      <c r="J129" s="561">
        <v>630</v>
      </c>
      <c r="K129" s="561">
        <f t="shared" si="9"/>
        <v>10395</v>
      </c>
      <c r="L129" s="561">
        <v>344</v>
      </c>
      <c r="M129" s="561">
        <v>876</v>
      </c>
      <c r="N129" s="561">
        <v>8621</v>
      </c>
      <c r="O129" s="561">
        <v>7701</v>
      </c>
      <c r="P129" s="561">
        <v>4952</v>
      </c>
      <c r="Q129" s="561">
        <f t="shared" si="10"/>
        <v>22494</v>
      </c>
      <c r="R129" s="561"/>
      <c r="S129" s="561"/>
      <c r="T129" s="561"/>
      <c r="U129" s="561"/>
      <c r="V129" s="561"/>
      <c r="W129" s="561"/>
      <c r="X129" s="561"/>
      <c r="Y129" s="561"/>
      <c r="Z129" s="561">
        <f t="shared" si="11"/>
        <v>0</v>
      </c>
    </row>
    <row r="130" spans="1:26" s="27" customFormat="1" x14ac:dyDescent="0.25">
      <c r="A130" s="593">
        <v>109</v>
      </c>
      <c r="B130" s="611" t="s">
        <v>270</v>
      </c>
      <c r="C130" s="31" t="s">
        <v>271</v>
      </c>
      <c r="D130" s="561">
        <v>0</v>
      </c>
      <c r="E130" s="561">
        <v>0</v>
      </c>
      <c r="F130" s="561">
        <v>0</v>
      </c>
      <c r="G130" s="561">
        <f t="shared" si="8"/>
        <v>0</v>
      </c>
      <c r="H130" s="561">
        <v>0</v>
      </c>
      <c r="I130" s="561">
        <v>0</v>
      </c>
      <c r="J130" s="561">
        <v>0</v>
      </c>
      <c r="K130" s="561">
        <f t="shared" si="9"/>
        <v>0</v>
      </c>
      <c r="L130" s="561">
        <v>0</v>
      </c>
      <c r="M130" s="561">
        <v>0</v>
      </c>
      <c r="N130" s="561">
        <v>0</v>
      </c>
      <c r="O130" s="561">
        <v>0</v>
      </c>
      <c r="P130" s="561">
        <v>0</v>
      </c>
      <c r="Q130" s="561">
        <f t="shared" si="10"/>
        <v>0</v>
      </c>
      <c r="R130" s="561"/>
      <c r="S130" s="561"/>
      <c r="T130" s="561"/>
      <c r="U130" s="561"/>
      <c r="V130" s="561"/>
      <c r="W130" s="561"/>
      <c r="X130" s="561"/>
      <c r="Y130" s="561"/>
      <c r="Z130" s="561">
        <f t="shared" si="11"/>
        <v>0</v>
      </c>
    </row>
    <row r="131" spans="1:26" s="27" customFormat="1" x14ac:dyDescent="0.25">
      <c r="A131" s="593">
        <v>110</v>
      </c>
      <c r="B131" s="71" t="s">
        <v>272</v>
      </c>
      <c r="C131" s="31" t="s">
        <v>273</v>
      </c>
      <c r="D131" s="561">
        <v>2882</v>
      </c>
      <c r="E131" s="561">
        <v>0</v>
      </c>
      <c r="F131" s="561">
        <v>0</v>
      </c>
      <c r="G131" s="561">
        <f t="shared" si="8"/>
        <v>0</v>
      </c>
      <c r="H131" s="561">
        <v>0</v>
      </c>
      <c r="I131" s="561">
        <v>0</v>
      </c>
      <c r="J131" s="561">
        <v>0</v>
      </c>
      <c r="K131" s="561">
        <f t="shared" si="9"/>
        <v>2882</v>
      </c>
      <c r="L131" s="561">
        <v>67</v>
      </c>
      <c r="M131" s="561">
        <v>185</v>
      </c>
      <c r="N131" s="561">
        <v>267</v>
      </c>
      <c r="O131" s="561">
        <v>0</v>
      </c>
      <c r="P131" s="561">
        <v>133</v>
      </c>
      <c r="Q131" s="561">
        <f t="shared" si="10"/>
        <v>652</v>
      </c>
      <c r="R131" s="561"/>
      <c r="S131" s="561"/>
      <c r="T131" s="561"/>
      <c r="U131" s="561"/>
      <c r="V131" s="561"/>
      <c r="W131" s="561"/>
      <c r="X131" s="561"/>
      <c r="Y131" s="561"/>
      <c r="Z131" s="561">
        <f t="shared" si="11"/>
        <v>0</v>
      </c>
    </row>
    <row r="132" spans="1:26" x14ac:dyDescent="0.25">
      <c r="A132" s="593">
        <v>111</v>
      </c>
      <c r="B132" s="71" t="s">
        <v>274</v>
      </c>
      <c r="C132" s="31" t="s">
        <v>275</v>
      </c>
      <c r="D132" s="561">
        <v>0</v>
      </c>
      <c r="E132" s="561">
        <v>0</v>
      </c>
      <c r="F132" s="561">
        <v>0</v>
      </c>
      <c r="G132" s="561">
        <f t="shared" si="8"/>
        <v>0</v>
      </c>
      <c r="H132" s="561">
        <v>0</v>
      </c>
      <c r="I132" s="561">
        <v>0</v>
      </c>
      <c r="J132" s="561">
        <v>0</v>
      </c>
      <c r="K132" s="561">
        <f t="shared" si="9"/>
        <v>0</v>
      </c>
      <c r="L132" s="561">
        <v>0</v>
      </c>
      <c r="M132" s="561">
        <v>0</v>
      </c>
      <c r="N132" s="561">
        <v>0</v>
      </c>
      <c r="O132" s="561">
        <v>0</v>
      </c>
      <c r="P132" s="561">
        <v>0</v>
      </c>
      <c r="Q132" s="561">
        <f t="shared" si="10"/>
        <v>0</v>
      </c>
      <c r="R132" s="561"/>
      <c r="S132" s="561"/>
      <c r="T132" s="561"/>
      <c r="U132" s="561"/>
      <c r="V132" s="561"/>
      <c r="W132" s="561"/>
      <c r="X132" s="561"/>
      <c r="Y132" s="561"/>
      <c r="Z132" s="561">
        <f t="shared" si="11"/>
        <v>0</v>
      </c>
    </row>
    <row r="133" spans="1:26" s="27" customFormat="1" x14ac:dyDescent="0.25">
      <c r="A133" s="593">
        <v>112</v>
      </c>
      <c r="B133" s="71" t="s">
        <v>276</v>
      </c>
      <c r="C133" s="31" t="s">
        <v>277</v>
      </c>
      <c r="D133" s="561">
        <v>0</v>
      </c>
      <c r="E133" s="561">
        <v>0</v>
      </c>
      <c r="F133" s="561">
        <v>0</v>
      </c>
      <c r="G133" s="561">
        <f t="shared" si="8"/>
        <v>0</v>
      </c>
      <c r="H133" s="561">
        <v>0</v>
      </c>
      <c r="I133" s="561">
        <v>0</v>
      </c>
      <c r="J133" s="561">
        <v>0</v>
      </c>
      <c r="K133" s="561">
        <f t="shared" si="9"/>
        <v>0</v>
      </c>
      <c r="L133" s="561">
        <v>0</v>
      </c>
      <c r="M133" s="561">
        <v>0</v>
      </c>
      <c r="N133" s="561">
        <v>0</v>
      </c>
      <c r="O133" s="561">
        <v>0</v>
      </c>
      <c r="P133" s="561">
        <v>0</v>
      </c>
      <c r="Q133" s="561">
        <f t="shared" si="10"/>
        <v>0</v>
      </c>
      <c r="R133" s="561"/>
      <c r="S133" s="561"/>
      <c r="T133" s="561"/>
      <c r="U133" s="561"/>
      <c r="V133" s="561"/>
      <c r="W133" s="561"/>
      <c r="X133" s="561"/>
      <c r="Y133" s="561"/>
      <c r="Z133" s="561">
        <f t="shared" si="11"/>
        <v>0</v>
      </c>
    </row>
    <row r="134" spans="1:26" s="27" customFormat="1" x14ac:dyDescent="0.25">
      <c r="A134" s="593">
        <v>113</v>
      </c>
      <c r="B134" s="611" t="s">
        <v>278</v>
      </c>
      <c r="C134" s="31" t="s">
        <v>279</v>
      </c>
      <c r="D134" s="561">
        <v>0</v>
      </c>
      <c r="E134" s="561">
        <v>0</v>
      </c>
      <c r="F134" s="561">
        <v>0</v>
      </c>
      <c r="G134" s="561">
        <f t="shared" si="8"/>
        <v>0</v>
      </c>
      <c r="H134" s="561">
        <v>0</v>
      </c>
      <c r="I134" s="561">
        <v>0</v>
      </c>
      <c r="J134" s="561">
        <v>0</v>
      </c>
      <c r="K134" s="561">
        <f t="shared" si="9"/>
        <v>0</v>
      </c>
      <c r="L134" s="561">
        <v>0</v>
      </c>
      <c r="M134" s="561">
        <v>0</v>
      </c>
      <c r="N134" s="561">
        <v>0</v>
      </c>
      <c r="O134" s="561">
        <v>0</v>
      </c>
      <c r="P134" s="561">
        <v>0</v>
      </c>
      <c r="Q134" s="561">
        <f t="shared" si="10"/>
        <v>0</v>
      </c>
      <c r="R134" s="561">
        <v>344</v>
      </c>
      <c r="S134" s="561">
        <v>815</v>
      </c>
      <c r="T134" s="561">
        <v>665</v>
      </c>
      <c r="U134" s="561">
        <v>435</v>
      </c>
      <c r="V134" s="561">
        <v>510</v>
      </c>
      <c r="W134" s="561">
        <v>800</v>
      </c>
      <c r="X134" s="561">
        <v>2106</v>
      </c>
      <c r="Y134" s="561">
        <v>48</v>
      </c>
      <c r="Z134" s="561">
        <f t="shared" si="11"/>
        <v>5723</v>
      </c>
    </row>
    <row r="135" spans="1:26" s="27" customFormat="1" x14ac:dyDescent="0.25">
      <c r="A135" s="593">
        <v>114</v>
      </c>
      <c r="B135" s="611" t="s">
        <v>280</v>
      </c>
      <c r="C135" s="31" t="s">
        <v>281</v>
      </c>
      <c r="D135" s="561">
        <v>0</v>
      </c>
      <c r="E135" s="561">
        <v>0</v>
      </c>
      <c r="F135" s="561">
        <v>0</v>
      </c>
      <c r="G135" s="561">
        <f t="shared" si="8"/>
        <v>0</v>
      </c>
      <c r="H135" s="561">
        <v>0</v>
      </c>
      <c r="I135" s="561">
        <v>0</v>
      </c>
      <c r="J135" s="561">
        <v>0</v>
      </c>
      <c r="K135" s="561">
        <f t="shared" si="9"/>
        <v>0</v>
      </c>
      <c r="L135" s="561">
        <v>0</v>
      </c>
      <c r="M135" s="561">
        <v>0</v>
      </c>
      <c r="N135" s="561">
        <v>0</v>
      </c>
      <c r="O135" s="561">
        <v>0</v>
      </c>
      <c r="P135" s="561">
        <v>0</v>
      </c>
      <c r="Q135" s="561">
        <f t="shared" si="10"/>
        <v>0</v>
      </c>
      <c r="R135" s="561"/>
      <c r="S135" s="561"/>
      <c r="T135" s="561"/>
      <c r="U135" s="561"/>
      <c r="V135" s="561"/>
      <c r="W135" s="561"/>
      <c r="X135" s="561"/>
      <c r="Y135" s="561"/>
      <c r="Z135" s="561">
        <f t="shared" si="11"/>
        <v>0</v>
      </c>
    </row>
    <row r="136" spans="1:26" s="27" customFormat="1" x14ac:dyDescent="0.25">
      <c r="A136" s="593">
        <v>115</v>
      </c>
      <c r="B136" s="611" t="s">
        <v>282</v>
      </c>
      <c r="C136" s="31" t="s">
        <v>772</v>
      </c>
      <c r="D136" s="561">
        <v>2240</v>
      </c>
      <c r="E136" s="561">
        <v>0</v>
      </c>
      <c r="F136" s="561">
        <v>0</v>
      </c>
      <c r="G136" s="561">
        <f t="shared" si="8"/>
        <v>0</v>
      </c>
      <c r="H136" s="561">
        <v>0</v>
      </c>
      <c r="I136" s="561">
        <v>0</v>
      </c>
      <c r="J136" s="561">
        <v>0</v>
      </c>
      <c r="K136" s="561">
        <f t="shared" si="9"/>
        <v>2240</v>
      </c>
      <c r="L136" s="561">
        <v>0</v>
      </c>
      <c r="M136" s="561">
        <v>0</v>
      </c>
      <c r="N136" s="561">
        <v>0</v>
      </c>
      <c r="O136" s="561">
        <v>0</v>
      </c>
      <c r="P136" s="561">
        <v>0</v>
      </c>
      <c r="Q136" s="561">
        <f t="shared" si="10"/>
        <v>0</v>
      </c>
      <c r="R136" s="561"/>
      <c r="S136" s="561"/>
      <c r="T136" s="561"/>
      <c r="U136" s="561"/>
      <c r="V136" s="561"/>
      <c r="W136" s="561"/>
      <c r="X136" s="561"/>
      <c r="Y136" s="561"/>
      <c r="Z136" s="561">
        <f t="shared" si="11"/>
        <v>0</v>
      </c>
    </row>
    <row r="137" spans="1:26" s="27" customFormat="1" x14ac:dyDescent="0.25">
      <c r="A137" s="593">
        <v>116</v>
      </c>
      <c r="B137" s="71" t="s">
        <v>283</v>
      </c>
      <c r="C137" s="31" t="s">
        <v>284</v>
      </c>
      <c r="D137" s="561">
        <v>1744</v>
      </c>
      <c r="E137" s="561">
        <v>20</v>
      </c>
      <c r="F137" s="561">
        <v>526</v>
      </c>
      <c r="G137" s="561">
        <f t="shared" si="8"/>
        <v>0</v>
      </c>
      <c r="H137" s="561">
        <v>0</v>
      </c>
      <c r="I137" s="561">
        <v>0</v>
      </c>
      <c r="J137" s="561">
        <v>0</v>
      </c>
      <c r="K137" s="561">
        <f t="shared" si="9"/>
        <v>2290</v>
      </c>
      <c r="L137" s="561">
        <v>0</v>
      </c>
      <c r="M137" s="561">
        <v>0</v>
      </c>
      <c r="N137" s="561">
        <v>0</v>
      </c>
      <c r="O137" s="561">
        <v>0</v>
      </c>
      <c r="P137" s="561">
        <v>0</v>
      </c>
      <c r="Q137" s="561">
        <f t="shared" si="10"/>
        <v>0</v>
      </c>
      <c r="R137" s="561"/>
      <c r="S137" s="561"/>
      <c r="T137" s="561"/>
      <c r="U137" s="561"/>
      <c r="V137" s="561"/>
      <c r="W137" s="561"/>
      <c r="X137" s="561"/>
      <c r="Y137" s="561"/>
      <c r="Z137" s="561">
        <f t="shared" si="11"/>
        <v>0</v>
      </c>
    </row>
    <row r="138" spans="1:26" s="27" customFormat="1" x14ac:dyDescent="0.25">
      <c r="A138" s="593">
        <v>117</v>
      </c>
      <c r="B138" s="72" t="s">
        <v>285</v>
      </c>
      <c r="C138" s="31" t="s">
        <v>728</v>
      </c>
      <c r="D138" s="561">
        <v>2215</v>
      </c>
      <c r="E138" s="561">
        <v>217</v>
      </c>
      <c r="F138" s="561">
        <v>322</v>
      </c>
      <c r="G138" s="561">
        <f t="shared" si="8"/>
        <v>547</v>
      </c>
      <c r="H138" s="561">
        <v>375</v>
      </c>
      <c r="I138" s="561">
        <v>50</v>
      </c>
      <c r="J138" s="561">
        <v>122</v>
      </c>
      <c r="K138" s="561">
        <f t="shared" si="9"/>
        <v>3301</v>
      </c>
      <c r="L138" s="561">
        <v>291</v>
      </c>
      <c r="M138" s="561">
        <v>2401</v>
      </c>
      <c r="N138" s="561">
        <v>6433</v>
      </c>
      <c r="O138" s="561">
        <v>891</v>
      </c>
      <c r="P138" s="561">
        <v>0</v>
      </c>
      <c r="Q138" s="561">
        <f t="shared" si="10"/>
        <v>10016</v>
      </c>
      <c r="R138" s="561"/>
      <c r="S138" s="561"/>
      <c r="T138" s="561"/>
      <c r="U138" s="561"/>
      <c r="V138" s="561"/>
      <c r="W138" s="561"/>
      <c r="X138" s="561"/>
      <c r="Y138" s="561"/>
      <c r="Z138" s="561">
        <f t="shared" si="11"/>
        <v>0</v>
      </c>
    </row>
    <row r="139" spans="1:26" s="27" customFormat="1" x14ac:dyDescent="0.25">
      <c r="A139" s="593">
        <v>118</v>
      </c>
      <c r="B139" s="611" t="s">
        <v>286</v>
      </c>
      <c r="C139" s="31" t="s">
        <v>287</v>
      </c>
      <c r="D139" s="561">
        <v>0</v>
      </c>
      <c r="E139" s="561">
        <v>0</v>
      </c>
      <c r="F139" s="561">
        <v>0</v>
      </c>
      <c r="G139" s="561">
        <f t="shared" si="8"/>
        <v>0</v>
      </c>
      <c r="H139" s="561">
        <v>0</v>
      </c>
      <c r="I139" s="561">
        <v>0</v>
      </c>
      <c r="J139" s="561">
        <v>0</v>
      </c>
      <c r="K139" s="561">
        <f t="shared" si="9"/>
        <v>0</v>
      </c>
      <c r="L139" s="561">
        <v>0</v>
      </c>
      <c r="M139" s="561">
        <v>0</v>
      </c>
      <c r="N139" s="561">
        <v>0</v>
      </c>
      <c r="O139" s="561">
        <v>0</v>
      </c>
      <c r="P139" s="561">
        <v>0</v>
      </c>
      <c r="Q139" s="561">
        <f t="shared" si="10"/>
        <v>0</v>
      </c>
      <c r="R139" s="561"/>
      <c r="S139" s="561"/>
      <c r="T139" s="561"/>
      <c r="U139" s="561"/>
      <c r="V139" s="561"/>
      <c r="W139" s="561"/>
      <c r="X139" s="561"/>
      <c r="Y139" s="561"/>
      <c r="Z139" s="561">
        <f t="shared" si="11"/>
        <v>0</v>
      </c>
    </row>
    <row r="140" spans="1:26" s="27" customFormat="1" x14ac:dyDescent="0.25">
      <c r="A140" s="593">
        <v>119</v>
      </c>
      <c r="B140" s="71" t="s">
        <v>288</v>
      </c>
      <c r="C140" s="31" t="s">
        <v>289</v>
      </c>
      <c r="D140" s="561">
        <v>0</v>
      </c>
      <c r="E140" s="561">
        <v>0</v>
      </c>
      <c r="F140" s="561">
        <v>0</v>
      </c>
      <c r="G140" s="561">
        <f t="shared" ref="G140:G148" si="12">H140+I140+J140</f>
        <v>0</v>
      </c>
      <c r="H140" s="561">
        <v>0</v>
      </c>
      <c r="I140" s="561">
        <v>0</v>
      </c>
      <c r="J140" s="561">
        <v>0</v>
      </c>
      <c r="K140" s="561">
        <f t="shared" ref="K140:K148" si="13">D140+E140+F140+G140</f>
        <v>0</v>
      </c>
      <c r="L140" s="561">
        <v>0</v>
      </c>
      <c r="M140" s="561">
        <v>0</v>
      </c>
      <c r="N140" s="561">
        <v>0</v>
      </c>
      <c r="O140" s="561">
        <v>0</v>
      </c>
      <c r="P140" s="561">
        <v>0</v>
      </c>
      <c r="Q140" s="561">
        <f t="shared" ref="Q140:Q145" si="14">L140+M140+N140+O140+P140</f>
        <v>0</v>
      </c>
      <c r="R140" s="561"/>
      <c r="S140" s="561"/>
      <c r="T140" s="561"/>
      <c r="U140" s="561"/>
      <c r="V140" s="561"/>
      <c r="W140" s="561"/>
      <c r="X140" s="561"/>
      <c r="Y140" s="561"/>
      <c r="Z140" s="561">
        <f t="shared" ref="Z140:Z145" si="15">R140+S140+T140+U140+V140+W140+X140+Y140</f>
        <v>0</v>
      </c>
    </row>
    <row r="141" spans="1:26" s="27" customFormat="1" x14ac:dyDescent="0.25">
      <c r="A141" s="593">
        <v>120</v>
      </c>
      <c r="B141" s="611" t="s">
        <v>290</v>
      </c>
      <c r="C141" s="31" t="s">
        <v>291</v>
      </c>
      <c r="D141" s="561">
        <v>0</v>
      </c>
      <c r="E141" s="561">
        <v>0</v>
      </c>
      <c r="F141" s="561">
        <v>0</v>
      </c>
      <c r="G141" s="561">
        <f t="shared" si="12"/>
        <v>0</v>
      </c>
      <c r="H141" s="561">
        <v>0</v>
      </c>
      <c r="I141" s="561">
        <v>0</v>
      </c>
      <c r="J141" s="561">
        <v>0</v>
      </c>
      <c r="K141" s="561">
        <f t="shared" si="13"/>
        <v>0</v>
      </c>
      <c r="L141" s="561">
        <v>0</v>
      </c>
      <c r="M141" s="561">
        <v>0</v>
      </c>
      <c r="N141" s="561">
        <v>0</v>
      </c>
      <c r="O141" s="561">
        <v>0</v>
      </c>
      <c r="P141" s="561">
        <v>0</v>
      </c>
      <c r="Q141" s="561">
        <f t="shared" si="14"/>
        <v>0</v>
      </c>
      <c r="R141" s="561"/>
      <c r="S141" s="561"/>
      <c r="T141" s="561"/>
      <c r="U141" s="561"/>
      <c r="V141" s="561"/>
      <c r="W141" s="561"/>
      <c r="X141" s="561"/>
      <c r="Y141" s="561"/>
      <c r="Z141" s="561">
        <f t="shared" si="15"/>
        <v>0</v>
      </c>
    </row>
    <row r="142" spans="1:26" x14ac:dyDescent="0.25">
      <c r="A142" s="593">
        <v>121</v>
      </c>
      <c r="B142" s="139" t="s">
        <v>292</v>
      </c>
      <c r="C142" s="598" t="s">
        <v>293</v>
      </c>
      <c r="D142" s="561">
        <v>0</v>
      </c>
      <c r="E142" s="561">
        <v>0</v>
      </c>
      <c r="F142" s="561">
        <v>0</v>
      </c>
      <c r="G142" s="561">
        <f t="shared" si="12"/>
        <v>0</v>
      </c>
      <c r="H142" s="561">
        <v>0</v>
      </c>
      <c r="I142" s="561">
        <v>0</v>
      </c>
      <c r="J142" s="561">
        <v>0</v>
      </c>
      <c r="K142" s="561">
        <f t="shared" si="13"/>
        <v>0</v>
      </c>
      <c r="L142" s="561">
        <v>0</v>
      </c>
      <c r="M142" s="561">
        <v>0</v>
      </c>
      <c r="N142" s="561">
        <v>0</v>
      </c>
      <c r="O142" s="561">
        <v>0</v>
      </c>
      <c r="P142" s="561">
        <v>0</v>
      </c>
      <c r="Q142" s="561">
        <f t="shared" si="14"/>
        <v>0</v>
      </c>
      <c r="R142" s="561"/>
      <c r="S142" s="561"/>
      <c r="T142" s="561"/>
      <c r="U142" s="561"/>
      <c r="V142" s="561"/>
      <c r="W142" s="561"/>
      <c r="X142" s="561"/>
      <c r="Y142" s="561"/>
      <c r="Z142" s="561">
        <f t="shared" si="15"/>
        <v>0</v>
      </c>
    </row>
    <row r="143" spans="1:26" x14ac:dyDescent="0.25">
      <c r="A143" s="593">
        <v>122</v>
      </c>
      <c r="B143" s="141" t="s">
        <v>294</v>
      </c>
      <c r="C143" s="599" t="s">
        <v>295</v>
      </c>
      <c r="D143" s="561">
        <v>0</v>
      </c>
      <c r="E143" s="561">
        <v>0</v>
      </c>
      <c r="F143" s="561">
        <v>0</v>
      </c>
      <c r="G143" s="561">
        <f t="shared" si="12"/>
        <v>0</v>
      </c>
      <c r="H143" s="561">
        <v>0</v>
      </c>
      <c r="I143" s="561">
        <v>0</v>
      </c>
      <c r="J143" s="561">
        <v>0</v>
      </c>
      <c r="K143" s="561">
        <f t="shared" si="13"/>
        <v>0</v>
      </c>
      <c r="L143" s="561">
        <v>0</v>
      </c>
      <c r="M143" s="561">
        <v>0</v>
      </c>
      <c r="N143" s="561">
        <v>0</v>
      </c>
      <c r="O143" s="561">
        <v>0</v>
      </c>
      <c r="P143" s="561">
        <v>0</v>
      </c>
      <c r="Q143" s="561">
        <f t="shared" si="14"/>
        <v>0</v>
      </c>
      <c r="R143" s="561"/>
      <c r="S143" s="561"/>
      <c r="T143" s="561"/>
      <c r="U143" s="561"/>
      <c r="V143" s="561"/>
      <c r="W143" s="561"/>
      <c r="X143" s="561"/>
      <c r="Y143" s="561"/>
      <c r="Z143" s="561">
        <f t="shared" si="15"/>
        <v>0</v>
      </c>
    </row>
    <row r="144" spans="1:26" x14ac:dyDescent="0.2">
      <c r="A144" s="593">
        <v>123</v>
      </c>
      <c r="B144" s="600" t="s">
        <v>296</v>
      </c>
      <c r="C144" s="601" t="s">
        <v>461</v>
      </c>
      <c r="D144" s="561">
        <v>0</v>
      </c>
      <c r="E144" s="561">
        <v>0</v>
      </c>
      <c r="F144" s="561">
        <v>0</v>
      </c>
      <c r="G144" s="561">
        <f t="shared" si="12"/>
        <v>0</v>
      </c>
      <c r="H144" s="561">
        <v>0</v>
      </c>
      <c r="I144" s="561">
        <v>0</v>
      </c>
      <c r="J144" s="561">
        <v>0</v>
      </c>
      <c r="K144" s="561">
        <f t="shared" si="13"/>
        <v>0</v>
      </c>
      <c r="L144" s="561">
        <v>0</v>
      </c>
      <c r="M144" s="561">
        <v>0</v>
      </c>
      <c r="N144" s="561">
        <v>0</v>
      </c>
      <c r="O144" s="561">
        <v>0</v>
      </c>
      <c r="P144" s="561">
        <v>0</v>
      </c>
      <c r="Q144" s="561">
        <f t="shared" si="14"/>
        <v>0</v>
      </c>
      <c r="R144" s="561"/>
      <c r="S144" s="561"/>
      <c r="T144" s="561"/>
      <c r="U144" s="561"/>
      <c r="V144" s="561"/>
      <c r="W144" s="561"/>
      <c r="X144" s="561"/>
      <c r="Y144" s="561"/>
      <c r="Z144" s="561">
        <f t="shared" si="15"/>
        <v>0</v>
      </c>
    </row>
    <row r="145" spans="1:26" x14ac:dyDescent="0.25">
      <c r="A145" s="593">
        <v>124</v>
      </c>
      <c r="B145" s="593" t="s">
        <v>298</v>
      </c>
      <c r="C145" s="602" t="s">
        <v>299</v>
      </c>
      <c r="D145" s="561">
        <v>0</v>
      </c>
      <c r="E145" s="561">
        <v>0</v>
      </c>
      <c r="F145" s="561">
        <v>0</v>
      </c>
      <c r="G145" s="561">
        <f t="shared" si="12"/>
        <v>0</v>
      </c>
      <c r="H145" s="561">
        <v>0</v>
      </c>
      <c r="I145" s="561">
        <v>0</v>
      </c>
      <c r="J145" s="561">
        <v>0</v>
      </c>
      <c r="K145" s="561">
        <f t="shared" si="13"/>
        <v>0</v>
      </c>
      <c r="L145" s="561">
        <v>0</v>
      </c>
      <c r="M145" s="561">
        <v>0</v>
      </c>
      <c r="N145" s="561">
        <v>0</v>
      </c>
      <c r="O145" s="561">
        <v>0</v>
      </c>
      <c r="P145" s="561">
        <v>0</v>
      </c>
      <c r="Q145" s="561">
        <f t="shared" si="14"/>
        <v>0</v>
      </c>
      <c r="R145" s="561"/>
      <c r="S145" s="561"/>
      <c r="T145" s="561"/>
      <c r="U145" s="561"/>
      <c r="V145" s="561"/>
      <c r="W145" s="561"/>
      <c r="X145" s="561"/>
      <c r="Y145" s="561"/>
      <c r="Z145" s="561">
        <f t="shared" si="15"/>
        <v>0</v>
      </c>
    </row>
    <row r="146" spans="1:26" x14ac:dyDescent="0.25">
      <c r="A146" s="593">
        <v>125</v>
      </c>
      <c r="B146" s="597" t="s">
        <v>300</v>
      </c>
      <c r="C146" s="602" t="s">
        <v>301</v>
      </c>
      <c r="D146" s="561">
        <v>0</v>
      </c>
      <c r="E146" s="561">
        <v>0</v>
      </c>
      <c r="F146" s="561">
        <v>0</v>
      </c>
      <c r="G146" s="561">
        <f t="shared" si="12"/>
        <v>0</v>
      </c>
      <c r="H146" s="561">
        <v>0</v>
      </c>
      <c r="I146" s="561">
        <v>0</v>
      </c>
      <c r="J146" s="561">
        <v>0</v>
      </c>
      <c r="K146" s="561">
        <f t="shared" si="13"/>
        <v>0</v>
      </c>
      <c r="L146" s="561">
        <v>0</v>
      </c>
      <c r="M146" s="561">
        <v>0</v>
      </c>
      <c r="N146" s="561">
        <v>0</v>
      </c>
      <c r="O146" s="561">
        <v>0</v>
      </c>
      <c r="P146" s="561">
        <v>0</v>
      </c>
      <c r="Q146" s="561">
        <f t="shared" ref="Q146:Q148" si="16">O146+P146</f>
        <v>0</v>
      </c>
      <c r="R146" s="561"/>
      <c r="S146" s="561"/>
      <c r="T146" s="561"/>
      <c r="U146" s="561"/>
      <c r="V146" s="561"/>
      <c r="W146" s="561"/>
      <c r="X146" s="561"/>
      <c r="Y146" s="561"/>
      <c r="Z146" s="561">
        <f t="shared" ref="Z146:Z148" si="17">X146+Y146</f>
        <v>0</v>
      </c>
    </row>
    <row r="147" spans="1:26" x14ac:dyDescent="0.25">
      <c r="A147" s="593">
        <v>126</v>
      </c>
      <c r="B147" s="597" t="s">
        <v>302</v>
      </c>
      <c r="C147" s="602" t="s">
        <v>303</v>
      </c>
      <c r="D147" s="561">
        <v>0</v>
      </c>
      <c r="E147" s="561">
        <v>0</v>
      </c>
      <c r="F147" s="561">
        <v>0</v>
      </c>
      <c r="G147" s="561">
        <f t="shared" si="12"/>
        <v>0</v>
      </c>
      <c r="H147" s="561">
        <v>0</v>
      </c>
      <c r="I147" s="561">
        <v>0</v>
      </c>
      <c r="J147" s="561">
        <v>0</v>
      </c>
      <c r="K147" s="561">
        <f t="shared" si="13"/>
        <v>0</v>
      </c>
      <c r="L147" s="561">
        <v>0</v>
      </c>
      <c r="M147" s="561">
        <v>0</v>
      </c>
      <c r="N147" s="561">
        <v>0</v>
      </c>
      <c r="O147" s="561">
        <v>0</v>
      </c>
      <c r="P147" s="561">
        <v>0</v>
      </c>
      <c r="Q147" s="561">
        <f t="shared" si="16"/>
        <v>0</v>
      </c>
      <c r="R147" s="561"/>
      <c r="S147" s="561"/>
      <c r="T147" s="561"/>
      <c r="U147" s="561"/>
      <c r="V147" s="561"/>
      <c r="W147" s="561"/>
      <c r="X147" s="561"/>
      <c r="Y147" s="561"/>
      <c r="Z147" s="561">
        <f t="shared" si="17"/>
        <v>0</v>
      </c>
    </row>
    <row r="148" spans="1:26" x14ac:dyDescent="0.25">
      <c r="A148" s="593">
        <v>127</v>
      </c>
      <c r="B148" s="597" t="s">
        <v>304</v>
      </c>
      <c r="C148" s="595" t="s">
        <v>305</v>
      </c>
      <c r="D148" s="561">
        <v>0</v>
      </c>
      <c r="E148" s="561">
        <v>0</v>
      </c>
      <c r="F148" s="561">
        <v>0</v>
      </c>
      <c r="G148" s="561">
        <f t="shared" si="12"/>
        <v>0</v>
      </c>
      <c r="H148" s="561">
        <v>0</v>
      </c>
      <c r="I148" s="561">
        <v>0</v>
      </c>
      <c r="J148" s="561">
        <v>0</v>
      </c>
      <c r="K148" s="561">
        <f t="shared" si="13"/>
        <v>0</v>
      </c>
      <c r="L148" s="561">
        <v>0</v>
      </c>
      <c r="M148" s="561">
        <v>0</v>
      </c>
      <c r="N148" s="561">
        <v>0</v>
      </c>
      <c r="O148" s="561">
        <v>0</v>
      </c>
      <c r="P148" s="561">
        <v>0</v>
      </c>
      <c r="Q148" s="561">
        <f t="shared" si="16"/>
        <v>0</v>
      </c>
      <c r="R148" s="561"/>
      <c r="S148" s="561"/>
      <c r="T148" s="561"/>
      <c r="U148" s="561"/>
      <c r="V148" s="561"/>
      <c r="W148" s="561"/>
      <c r="X148" s="561"/>
      <c r="Y148" s="561"/>
      <c r="Z148" s="561">
        <f t="shared" si="17"/>
        <v>0</v>
      </c>
    </row>
    <row r="149" spans="1:26" x14ac:dyDescent="0.25">
      <c r="M149" s="32"/>
      <c r="N149" s="32"/>
    </row>
    <row r="151" spans="1:2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26" s="32" customFormat="1" x14ac:dyDescent="0.25">
      <c r="A152" s="1"/>
      <c r="B152" s="1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</sheetData>
  <mergeCells count="36">
    <mergeCell ref="X5:X6"/>
    <mergeCell ref="Y5:Y6"/>
    <mergeCell ref="Z5:Z6"/>
    <mergeCell ref="A2:Z2"/>
    <mergeCell ref="R5:R6"/>
    <mergeCell ref="S5:S6"/>
    <mergeCell ref="T5:T6"/>
    <mergeCell ref="U5:U6"/>
    <mergeCell ref="V5:V6"/>
    <mergeCell ref="W5:W6"/>
    <mergeCell ref="R4:Z4"/>
    <mergeCell ref="D5:D6"/>
    <mergeCell ref="E5:E6"/>
    <mergeCell ref="H5:J5"/>
    <mergeCell ref="K5:K6"/>
    <mergeCell ref="L5:L6"/>
    <mergeCell ref="A91:A94"/>
    <mergeCell ref="B91:B94"/>
    <mergeCell ref="D4:K4"/>
    <mergeCell ref="L4:Q4"/>
    <mergeCell ref="Q5:Q6"/>
    <mergeCell ref="M5:M6"/>
    <mergeCell ref="N5:N6"/>
    <mergeCell ref="O5:O6"/>
    <mergeCell ref="P5:P6"/>
    <mergeCell ref="A7:C7"/>
    <mergeCell ref="A35:A36"/>
    <mergeCell ref="A73:A75"/>
    <mergeCell ref="A76:A79"/>
    <mergeCell ref="A83:A84"/>
    <mergeCell ref="A86:A87"/>
    <mergeCell ref="M3:O3"/>
    <mergeCell ref="A4:A6"/>
    <mergeCell ref="B4:B6"/>
    <mergeCell ref="C4:C6"/>
    <mergeCell ref="A10:C10"/>
  </mergeCells>
  <pageMargins left="0" right="0" top="0" bottom="0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51"/>
  <sheetViews>
    <sheetView zoomScale="110" zoomScaleNormal="110" workbookViewId="0">
      <pane xSplit="3" ySplit="9" topLeftCell="D131" activePane="bottomRight" state="frozen"/>
      <selection pane="topRight" activeCell="D1" sqref="D1"/>
      <selection pane="bottomLeft" activeCell="A9" sqref="A9"/>
      <selection pane="bottomRight" activeCell="K137" sqref="K13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4" style="2" customWidth="1"/>
    <col min="4" max="4" width="17.85546875" style="5" customWidth="1"/>
    <col min="5" max="5" width="15.7109375" style="5" customWidth="1"/>
    <col min="6" max="6" width="8" style="5" customWidth="1"/>
    <col min="7" max="7" width="18.140625" style="5" customWidth="1"/>
    <col min="8" max="8" width="23.140625" style="5" customWidth="1"/>
    <col min="9" max="16384" width="9.140625" style="5"/>
  </cols>
  <sheetData>
    <row r="1" spans="1:8" ht="15" customHeight="1" x14ac:dyDescent="0.25">
      <c r="A1" s="1143" t="s">
        <v>548</v>
      </c>
      <c r="B1" s="1143"/>
      <c r="C1" s="1143"/>
      <c r="D1" s="1143"/>
      <c r="E1" s="1143"/>
      <c r="F1" s="1143"/>
      <c r="G1" s="1143"/>
      <c r="H1" s="1143"/>
    </row>
    <row r="2" spans="1:8" ht="15.75" customHeight="1" x14ac:dyDescent="0.25">
      <c r="A2" s="1143"/>
      <c r="B2" s="1143"/>
      <c r="C2" s="1143"/>
      <c r="D2" s="1143"/>
      <c r="E2" s="1143"/>
      <c r="F2" s="1143"/>
      <c r="G2" s="1143"/>
      <c r="H2" s="1143"/>
    </row>
    <row r="3" spans="1:8" x14ac:dyDescent="0.25">
      <c r="C3" s="6"/>
      <c r="E3" s="32"/>
      <c r="F3" s="32"/>
      <c r="G3" s="32"/>
    </row>
    <row r="4" spans="1:8" ht="36.75" customHeight="1" x14ac:dyDescent="0.25">
      <c r="A4" s="886" t="s">
        <v>0</v>
      </c>
      <c r="B4" s="886" t="s">
        <v>1</v>
      </c>
      <c r="C4" s="887" t="s">
        <v>2</v>
      </c>
      <c r="D4" s="887" t="s">
        <v>536</v>
      </c>
      <c r="E4" s="887" t="s">
        <v>537</v>
      </c>
      <c r="F4" s="887" t="s">
        <v>538</v>
      </c>
      <c r="G4" s="887"/>
      <c r="H4" s="887"/>
    </row>
    <row r="5" spans="1:8" s="10" customFormat="1" ht="36" x14ac:dyDescent="0.25">
      <c r="A5" s="886"/>
      <c r="B5" s="886"/>
      <c r="C5" s="887"/>
      <c r="D5" s="887"/>
      <c r="E5" s="887"/>
      <c r="F5" s="604" t="s">
        <v>413</v>
      </c>
      <c r="G5" s="604" t="s">
        <v>769</v>
      </c>
      <c r="H5" s="604" t="s">
        <v>770</v>
      </c>
    </row>
    <row r="6" spans="1:8" x14ac:dyDescent="0.25">
      <c r="A6" s="1134" t="s">
        <v>13</v>
      </c>
      <c r="B6" s="1134"/>
      <c r="C6" s="1134"/>
      <c r="D6" s="171">
        <f>D7+D9+D8</f>
        <v>2482</v>
      </c>
      <c r="E6" s="171">
        <f t="shared" ref="E6:H6" si="0">E7+E9+E8</f>
        <v>4761</v>
      </c>
      <c r="F6" s="171">
        <f t="shared" si="0"/>
        <v>2386</v>
      </c>
      <c r="G6" s="171">
        <f t="shared" si="0"/>
        <v>750</v>
      </c>
      <c r="H6" s="171">
        <f t="shared" si="0"/>
        <v>1636</v>
      </c>
    </row>
    <row r="7" spans="1:8" x14ac:dyDescent="0.25">
      <c r="A7" s="16"/>
      <c r="B7" s="16"/>
      <c r="C7" s="17" t="s">
        <v>14</v>
      </c>
      <c r="D7" s="147">
        <v>0</v>
      </c>
      <c r="E7" s="147">
        <v>0</v>
      </c>
      <c r="F7" s="147">
        <f>G7+H7</f>
        <v>0</v>
      </c>
      <c r="G7" s="147">
        <v>0</v>
      </c>
      <c r="H7" s="147">
        <v>0</v>
      </c>
    </row>
    <row r="8" spans="1:8" x14ac:dyDescent="0.25">
      <c r="A8" s="16"/>
      <c r="B8" s="16"/>
      <c r="C8" s="17" t="s">
        <v>546</v>
      </c>
      <c r="D8" s="147">
        <f>4761-4761</f>
        <v>0</v>
      </c>
      <c r="E8" s="147">
        <f>4761-4761</f>
        <v>0</v>
      </c>
      <c r="F8" s="147">
        <f>G8+H8</f>
        <v>0</v>
      </c>
      <c r="G8" s="147">
        <v>0</v>
      </c>
      <c r="H8" s="147">
        <f>2386-2386</f>
        <v>0</v>
      </c>
    </row>
    <row r="9" spans="1:8" s="10" customFormat="1" x14ac:dyDescent="0.25">
      <c r="A9" s="1134" t="s">
        <v>15</v>
      </c>
      <c r="B9" s="1134"/>
      <c r="C9" s="1134"/>
      <c r="D9" s="171">
        <f>SUM(D10:D147)-D35-D73-D74-D76-D77-D78-D83-D86-D90</f>
        <v>2482</v>
      </c>
      <c r="E9" s="171">
        <f t="shared" ref="E9:H9" si="1">SUM(E10:E147)-E35-E73-E74-E76-E77-E78-E83-E86-E90</f>
        <v>4761</v>
      </c>
      <c r="F9" s="171">
        <f t="shared" si="1"/>
        <v>2386</v>
      </c>
      <c r="G9" s="171">
        <f t="shared" si="1"/>
        <v>750</v>
      </c>
      <c r="H9" s="171">
        <f t="shared" si="1"/>
        <v>1636</v>
      </c>
    </row>
    <row r="10" spans="1:8" s="20" customFormat="1" x14ac:dyDescent="0.25">
      <c r="A10" s="146">
        <v>1</v>
      </c>
      <c r="B10" s="49" t="s">
        <v>54</v>
      </c>
      <c r="C10" s="50" t="s">
        <v>55</v>
      </c>
      <c r="D10" s="147">
        <v>0</v>
      </c>
      <c r="E10" s="147">
        <v>0</v>
      </c>
      <c r="F10" s="147">
        <f>G10+H10</f>
        <v>0</v>
      </c>
      <c r="G10" s="147">
        <v>0</v>
      </c>
      <c r="H10" s="147">
        <v>0</v>
      </c>
    </row>
    <row r="11" spans="1:8" s="20" customFormat="1" x14ac:dyDescent="0.25">
      <c r="A11" s="146">
        <v>2</v>
      </c>
      <c r="B11" s="52" t="s">
        <v>56</v>
      </c>
      <c r="C11" s="50" t="s">
        <v>57</v>
      </c>
      <c r="D11" s="147">
        <v>0</v>
      </c>
      <c r="E11" s="147">
        <v>0</v>
      </c>
      <c r="F11" s="147">
        <f t="shared" ref="F11:F71" si="2">G11+H11</f>
        <v>0</v>
      </c>
      <c r="G11" s="147">
        <v>0</v>
      </c>
      <c r="H11" s="147">
        <v>0</v>
      </c>
    </row>
    <row r="12" spans="1:8" s="10" customFormat="1" x14ac:dyDescent="0.25">
      <c r="A12" s="146">
        <v>3</v>
      </c>
      <c r="B12" s="167" t="s">
        <v>16</v>
      </c>
      <c r="C12" s="50" t="s">
        <v>17</v>
      </c>
      <c r="D12" s="147">
        <v>0</v>
      </c>
      <c r="E12" s="147">
        <v>0</v>
      </c>
      <c r="F12" s="147">
        <f t="shared" si="2"/>
        <v>0</v>
      </c>
      <c r="G12" s="147">
        <v>0</v>
      </c>
      <c r="H12" s="147">
        <v>0</v>
      </c>
    </row>
    <row r="13" spans="1:8" s="27" customFormat="1" x14ac:dyDescent="0.25">
      <c r="A13" s="146">
        <v>4</v>
      </c>
      <c r="B13" s="49" t="s">
        <v>58</v>
      </c>
      <c r="C13" s="50" t="s">
        <v>59</v>
      </c>
      <c r="D13" s="147">
        <v>0</v>
      </c>
      <c r="E13" s="147">
        <v>0</v>
      </c>
      <c r="F13" s="147">
        <f t="shared" si="2"/>
        <v>0</v>
      </c>
      <c r="G13" s="147">
        <v>0</v>
      </c>
      <c r="H13" s="147">
        <v>0</v>
      </c>
    </row>
    <row r="14" spans="1:8" s="27" customFormat="1" x14ac:dyDescent="0.25">
      <c r="A14" s="146">
        <v>5</v>
      </c>
      <c r="B14" s="49" t="s">
        <v>60</v>
      </c>
      <c r="C14" s="50" t="s">
        <v>61</v>
      </c>
      <c r="D14" s="147">
        <v>0</v>
      </c>
      <c r="E14" s="147">
        <v>0</v>
      </c>
      <c r="F14" s="147">
        <f t="shared" si="2"/>
        <v>0</v>
      </c>
      <c r="G14" s="147">
        <v>0</v>
      </c>
      <c r="H14" s="147">
        <v>0</v>
      </c>
    </row>
    <row r="15" spans="1:8" s="149" customFormat="1" x14ac:dyDescent="0.25">
      <c r="A15" s="146">
        <v>6</v>
      </c>
      <c r="B15" s="167" t="s">
        <v>18</v>
      </c>
      <c r="C15" s="50" t="s">
        <v>19</v>
      </c>
      <c r="D15" s="147">
        <v>0</v>
      </c>
      <c r="E15" s="147">
        <v>200</v>
      </c>
      <c r="F15" s="147">
        <f t="shared" si="2"/>
        <v>106</v>
      </c>
      <c r="G15" s="147">
        <v>0</v>
      </c>
      <c r="H15" s="147">
        <v>106</v>
      </c>
    </row>
    <row r="16" spans="1:8" s="27" customFormat="1" x14ac:dyDescent="0.25">
      <c r="A16" s="146">
        <v>7</v>
      </c>
      <c r="B16" s="49" t="s">
        <v>62</v>
      </c>
      <c r="C16" s="50" t="s">
        <v>63</v>
      </c>
      <c r="D16" s="147">
        <v>0</v>
      </c>
      <c r="E16" s="147">
        <v>200</v>
      </c>
      <c r="F16" s="147">
        <f t="shared" si="2"/>
        <v>0</v>
      </c>
      <c r="G16" s="147">
        <v>0</v>
      </c>
      <c r="H16" s="147">
        <v>0</v>
      </c>
    </row>
    <row r="17" spans="1:8" s="27" customFormat="1" x14ac:dyDescent="0.25">
      <c r="A17" s="146">
        <v>8</v>
      </c>
      <c r="B17" s="167" t="s">
        <v>64</v>
      </c>
      <c r="C17" s="50" t="s">
        <v>65</v>
      </c>
      <c r="D17" s="147">
        <v>0</v>
      </c>
      <c r="E17" s="147">
        <v>0</v>
      </c>
      <c r="F17" s="147">
        <f t="shared" si="2"/>
        <v>0</v>
      </c>
      <c r="G17" s="147">
        <v>0</v>
      </c>
      <c r="H17" s="147">
        <v>0</v>
      </c>
    </row>
    <row r="18" spans="1:8" s="149" customFormat="1" x14ac:dyDescent="0.25">
      <c r="A18" s="146">
        <v>9</v>
      </c>
      <c r="B18" s="167" t="s">
        <v>66</v>
      </c>
      <c r="C18" s="50" t="s">
        <v>67</v>
      </c>
      <c r="D18" s="147">
        <v>0</v>
      </c>
      <c r="E18" s="147">
        <v>0</v>
      </c>
      <c r="F18" s="147">
        <f t="shared" si="2"/>
        <v>0</v>
      </c>
      <c r="G18" s="147">
        <v>0</v>
      </c>
      <c r="H18" s="147">
        <v>0</v>
      </c>
    </row>
    <row r="19" spans="1:8" s="27" customFormat="1" x14ac:dyDescent="0.25">
      <c r="A19" s="146">
        <v>10</v>
      </c>
      <c r="B19" s="167" t="s">
        <v>68</v>
      </c>
      <c r="C19" s="50" t="s">
        <v>69</v>
      </c>
      <c r="D19" s="147">
        <v>0</v>
      </c>
      <c r="E19" s="147">
        <v>0</v>
      </c>
      <c r="F19" s="147">
        <f t="shared" si="2"/>
        <v>0</v>
      </c>
      <c r="G19" s="147">
        <v>0</v>
      </c>
      <c r="H19" s="147">
        <v>0</v>
      </c>
    </row>
    <row r="20" spans="1:8" s="27" customFormat="1" x14ac:dyDescent="0.25">
      <c r="A20" s="146">
        <v>11</v>
      </c>
      <c r="B20" s="167" t="s">
        <v>70</v>
      </c>
      <c r="C20" s="50" t="s">
        <v>71</v>
      </c>
      <c r="D20" s="147">
        <v>0</v>
      </c>
      <c r="E20" s="147">
        <v>0</v>
      </c>
      <c r="F20" s="147">
        <f t="shared" si="2"/>
        <v>0</v>
      </c>
      <c r="G20" s="147">
        <v>0</v>
      </c>
      <c r="H20" s="147">
        <v>0</v>
      </c>
    </row>
    <row r="21" spans="1:8" s="27" customFormat="1" x14ac:dyDescent="0.25">
      <c r="A21" s="146">
        <v>12</v>
      </c>
      <c r="B21" s="167" t="s">
        <v>72</v>
      </c>
      <c r="C21" s="50" t="s">
        <v>73</v>
      </c>
      <c r="D21" s="147">
        <v>0</v>
      </c>
      <c r="E21" s="147">
        <v>0</v>
      </c>
      <c r="F21" s="147">
        <f t="shared" si="2"/>
        <v>0</v>
      </c>
      <c r="G21" s="147">
        <v>0</v>
      </c>
      <c r="H21" s="147">
        <v>0</v>
      </c>
    </row>
    <row r="22" spans="1:8" s="27" customFormat="1" x14ac:dyDescent="0.25">
      <c r="A22" s="593">
        <v>13</v>
      </c>
      <c r="B22" s="611" t="s">
        <v>74</v>
      </c>
      <c r="C22" s="31" t="s">
        <v>75</v>
      </c>
      <c r="D22" s="561">
        <v>0</v>
      </c>
      <c r="E22" s="561">
        <v>0</v>
      </c>
      <c r="F22" s="561">
        <f t="shared" si="2"/>
        <v>0</v>
      </c>
      <c r="G22" s="561">
        <v>0</v>
      </c>
      <c r="H22" s="561">
        <v>0</v>
      </c>
    </row>
    <row r="23" spans="1:8" s="27" customFormat="1" x14ac:dyDescent="0.25">
      <c r="A23" s="593">
        <v>14</v>
      </c>
      <c r="B23" s="611" t="s">
        <v>76</v>
      </c>
      <c r="C23" s="31" t="s">
        <v>77</v>
      </c>
      <c r="D23" s="561">
        <v>0</v>
      </c>
      <c r="E23" s="561">
        <v>0</v>
      </c>
      <c r="F23" s="561">
        <f t="shared" si="2"/>
        <v>0</v>
      </c>
      <c r="G23" s="561">
        <v>0</v>
      </c>
      <c r="H23" s="561">
        <v>0</v>
      </c>
    </row>
    <row r="24" spans="1:8" s="27" customFormat="1" x14ac:dyDescent="0.25">
      <c r="A24" s="593">
        <v>15</v>
      </c>
      <c r="B24" s="611" t="s">
        <v>78</v>
      </c>
      <c r="C24" s="31" t="s">
        <v>79</v>
      </c>
      <c r="D24" s="561">
        <v>0</v>
      </c>
      <c r="E24" s="561">
        <v>0</v>
      </c>
      <c r="F24" s="561">
        <f t="shared" si="2"/>
        <v>0</v>
      </c>
      <c r="G24" s="561">
        <v>0</v>
      </c>
      <c r="H24" s="561">
        <v>0</v>
      </c>
    </row>
    <row r="25" spans="1:8" s="27" customFormat="1" x14ac:dyDescent="0.25">
      <c r="A25" s="593">
        <v>16</v>
      </c>
      <c r="B25" s="611" t="s">
        <v>80</v>
      </c>
      <c r="C25" s="31" t="s">
        <v>81</v>
      </c>
      <c r="D25" s="561">
        <v>0</v>
      </c>
      <c r="E25" s="561">
        <v>0</v>
      </c>
      <c r="F25" s="561">
        <f t="shared" si="2"/>
        <v>0</v>
      </c>
      <c r="G25" s="561">
        <v>0</v>
      </c>
      <c r="H25" s="561">
        <v>0</v>
      </c>
    </row>
    <row r="26" spans="1:8" s="27" customFormat="1" x14ac:dyDescent="0.25">
      <c r="A26" s="593">
        <v>17</v>
      </c>
      <c r="B26" s="611" t="s">
        <v>20</v>
      </c>
      <c r="C26" s="31" t="s">
        <v>21</v>
      </c>
      <c r="D26" s="561">
        <v>0</v>
      </c>
      <c r="E26" s="561">
        <v>200</v>
      </c>
      <c r="F26" s="561">
        <f t="shared" si="2"/>
        <v>200</v>
      </c>
      <c r="G26" s="561">
        <v>0</v>
      </c>
      <c r="H26" s="561">
        <v>200</v>
      </c>
    </row>
    <row r="27" spans="1:8" s="27" customFormat="1" x14ac:dyDescent="0.25">
      <c r="A27" s="593">
        <v>18</v>
      </c>
      <c r="B27" s="71" t="s">
        <v>82</v>
      </c>
      <c r="C27" s="31" t="s">
        <v>83</v>
      </c>
      <c r="D27" s="561">
        <v>0</v>
      </c>
      <c r="E27" s="561">
        <v>0</v>
      </c>
      <c r="F27" s="561">
        <f t="shared" si="2"/>
        <v>0</v>
      </c>
      <c r="G27" s="561">
        <v>0</v>
      </c>
      <c r="H27" s="561">
        <v>0</v>
      </c>
    </row>
    <row r="28" spans="1:8" s="27" customFormat="1" x14ac:dyDescent="0.25">
      <c r="A28" s="593">
        <v>19</v>
      </c>
      <c r="B28" s="71" t="s">
        <v>84</v>
      </c>
      <c r="C28" s="31" t="s">
        <v>85</v>
      </c>
      <c r="D28" s="561">
        <v>0</v>
      </c>
      <c r="E28" s="561">
        <v>0</v>
      </c>
      <c r="F28" s="561">
        <f t="shared" si="2"/>
        <v>0</v>
      </c>
      <c r="G28" s="561">
        <v>0</v>
      </c>
      <c r="H28" s="561">
        <v>0</v>
      </c>
    </row>
    <row r="29" spans="1:8" s="149" customFormat="1" x14ac:dyDescent="0.25">
      <c r="A29" s="593">
        <v>20</v>
      </c>
      <c r="B29" s="71" t="s">
        <v>86</v>
      </c>
      <c r="C29" s="31" t="s">
        <v>87</v>
      </c>
      <c r="D29" s="561">
        <v>0</v>
      </c>
      <c r="E29" s="561">
        <v>0</v>
      </c>
      <c r="F29" s="561">
        <f t="shared" si="2"/>
        <v>0</v>
      </c>
      <c r="G29" s="561">
        <v>0</v>
      </c>
      <c r="H29" s="561">
        <v>0</v>
      </c>
    </row>
    <row r="30" spans="1:8" s="27" customFormat="1" x14ac:dyDescent="0.25">
      <c r="A30" s="593">
        <v>21</v>
      </c>
      <c r="B30" s="71" t="s">
        <v>22</v>
      </c>
      <c r="C30" s="31" t="s">
        <v>23</v>
      </c>
      <c r="D30" s="561">
        <v>0</v>
      </c>
      <c r="E30" s="561">
        <v>100</v>
      </c>
      <c r="F30" s="561">
        <f t="shared" si="2"/>
        <v>106</v>
      </c>
      <c r="G30" s="561">
        <v>0</v>
      </c>
      <c r="H30" s="561">
        <v>106</v>
      </c>
    </row>
    <row r="31" spans="1:8" s="27" customFormat="1" x14ac:dyDescent="0.25">
      <c r="A31" s="593">
        <v>22</v>
      </c>
      <c r="B31" s="611" t="s">
        <v>24</v>
      </c>
      <c r="C31" s="31" t="s">
        <v>25</v>
      </c>
      <c r="D31" s="561">
        <v>0</v>
      </c>
      <c r="E31" s="561">
        <v>0</v>
      </c>
      <c r="F31" s="561">
        <f t="shared" si="2"/>
        <v>0</v>
      </c>
      <c r="G31" s="561">
        <v>0</v>
      </c>
      <c r="H31" s="561">
        <v>0</v>
      </c>
    </row>
    <row r="32" spans="1:8" x14ac:dyDescent="0.25">
      <c r="A32" s="593">
        <v>23</v>
      </c>
      <c r="B32" s="611" t="s">
        <v>88</v>
      </c>
      <c r="C32" s="31" t="s">
        <v>89</v>
      </c>
      <c r="D32" s="561">
        <v>0</v>
      </c>
      <c r="E32" s="561">
        <v>0</v>
      </c>
      <c r="F32" s="561">
        <f t="shared" si="2"/>
        <v>0</v>
      </c>
      <c r="G32" s="561">
        <v>0</v>
      </c>
      <c r="H32" s="561">
        <v>0</v>
      </c>
    </row>
    <row r="33" spans="1:8" s="149" customFormat="1" ht="12.75" customHeight="1" x14ac:dyDescent="0.25">
      <c r="A33" s="593">
        <v>24</v>
      </c>
      <c r="B33" s="611" t="s">
        <v>90</v>
      </c>
      <c r="C33" s="31" t="s">
        <v>91</v>
      </c>
      <c r="D33" s="561">
        <v>0</v>
      </c>
      <c r="E33" s="561">
        <v>0</v>
      </c>
      <c r="F33" s="561">
        <f t="shared" si="2"/>
        <v>0</v>
      </c>
      <c r="G33" s="561">
        <v>0</v>
      </c>
      <c r="H33" s="561">
        <v>0</v>
      </c>
    </row>
    <row r="34" spans="1:8" s="149" customFormat="1" ht="24" x14ac:dyDescent="0.25">
      <c r="A34" s="1135">
        <v>25</v>
      </c>
      <c r="B34" s="71" t="s">
        <v>92</v>
      </c>
      <c r="C34" s="145" t="s">
        <v>792</v>
      </c>
      <c r="D34" s="561">
        <v>0</v>
      </c>
      <c r="E34" s="561">
        <v>461</v>
      </c>
      <c r="F34" s="561">
        <f t="shared" si="2"/>
        <v>253</v>
      </c>
      <c r="G34" s="561">
        <v>0</v>
      </c>
      <c r="H34" s="561">
        <v>253</v>
      </c>
    </row>
    <row r="35" spans="1:8" s="27" customFormat="1" x14ac:dyDescent="0.25">
      <c r="A35" s="1137"/>
      <c r="B35" s="611" t="s">
        <v>94</v>
      </c>
      <c r="C35" s="31" t="s">
        <v>95</v>
      </c>
      <c r="D35" s="561">
        <v>0</v>
      </c>
      <c r="E35" s="561">
        <v>0</v>
      </c>
      <c r="F35" s="561">
        <f t="shared" si="2"/>
        <v>0</v>
      </c>
      <c r="G35" s="561">
        <v>0</v>
      </c>
      <c r="H35" s="561">
        <v>0</v>
      </c>
    </row>
    <row r="36" spans="1:8" s="27" customFormat="1" x14ac:dyDescent="0.25">
      <c r="A36" s="593">
        <v>26</v>
      </c>
      <c r="B36" s="72" t="s">
        <v>96</v>
      </c>
      <c r="C36" s="31" t="s">
        <v>97</v>
      </c>
      <c r="D36" s="561">
        <v>0</v>
      </c>
      <c r="E36" s="561">
        <v>0</v>
      </c>
      <c r="F36" s="561">
        <f t="shared" si="2"/>
        <v>0</v>
      </c>
      <c r="G36" s="561">
        <v>0</v>
      </c>
      <c r="H36" s="561">
        <v>0</v>
      </c>
    </row>
    <row r="37" spans="1:8" s="27" customFormat="1" x14ac:dyDescent="0.25">
      <c r="A37" s="593">
        <v>27</v>
      </c>
      <c r="B37" s="72" t="s">
        <v>26</v>
      </c>
      <c r="C37" s="31" t="s">
        <v>27</v>
      </c>
      <c r="D37" s="561">
        <v>0</v>
      </c>
      <c r="E37" s="561">
        <v>100</v>
      </c>
      <c r="F37" s="561">
        <f t="shared" si="2"/>
        <v>106</v>
      </c>
      <c r="G37" s="561">
        <v>0</v>
      </c>
      <c r="H37" s="561">
        <v>106</v>
      </c>
    </row>
    <row r="38" spans="1:8" s="27" customFormat="1" x14ac:dyDescent="0.25">
      <c r="A38" s="593">
        <v>28</v>
      </c>
      <c r="B38" s="71" t="s">
        <v>98</v>
      </c>
      <c r="C38" s="31" t="s">
        <v>99</v>
      </c>
      <c r="D38" s="561">
        <v>0</v>
      </c>
      <c r="E38" s="561">
        <v>0</v>
      </c>
      <c r="F38" s="561">
        <f t="shared" si="2"/>
        <v>0</v>
      </c>
      <c r="G38" s="561">
        <v>0</v>
      </c>
      <c r="H38" s="561">
        <v>0</v>
      </c>
    </row>
    <row r="39" spans="1:8" s="27" customFormat="1" x14ac:dyDescent="0.25">
      <c r="A39" s="593">
        <v>29</v>
      </c>
      <c r="B39" s="72" t="s">
        <v>100</v>
      </c>
      <c r="C39" s="31" t="s">
        <v>101</v>
      </c>
      <c r="D39" s="561">
        <v>0</v>
      </c>
      <c r="E39" s="561">
        <v>0</v>
      </c>
      <c r="F39" s="561">
        <f t="shared" si="2"/>
        <v>0</v>
      </c>
      <c r="G39" s="561">
        <v>0</v>
      </c>
      <c r="H39" s="561">
        <v>0</v>
      </c>
    </row>
    <row r="40" spans="1:8" s="149" customFormat="1" x14ac:dyDescent="0.25">
      <c r="A40" s="593">
        <v>30</v>
      </c>
      <c r="B40" s="611" t="s">
        <v>102</v>
      </c>
      <c r="C40" s="31" t="s">
        <v>103</v>
      </c>
      <c r="D40" s="561">
        <v>0</v>
      </c>
      <c r="E40" s="561">
        <v>0</v>
      </c>
      <c r="F40" s="561">
        <f t="shared" si="2"/>
        <v>0</v>
      </c>
      <c r="G40" s="561">
        <v>0</v>
      </c>
      <c r="H40" s="561">
        <v>0</v>
      </c>
    </row>
    <row r="41" spans="1:8" x14ac:dyDescent="0.25">
      <c r="A41" s="593">
        <v>31</v>
      </c>
      <c r="B41" s="72" t="s">
        <v>104</v>
      </c>
      <c r="C41" s="31" t="s">
        <v>105</v>
      </c>
      <c r="D41" s="561">
        <v>0</v>
      </c>
      <c r="E41" s="561">
        <v>0</v>
      </c>
      <c r="F41" s="561">
        <f t="shared" si="2"/>
        <v>0</v>
      </c>
      <c r="G41" s="561">
        <v>0</v>
      </c>
      <c r="H41" s="561">
        <v>0</v>
      </c>
    </row>
    <row r="42" spans="1:8" s="27" customFormat="1" x14ac:dyDescent="0.25">
      <c r="A42" s="593">
        <v>32</v>
      </c>
      <c r="B42" s="71" t="s">
        <v>106</v>
      </c>
      <c r="C42" s="31" t="s">
        <v>107</v>
      </c>
      <c r="D42" s="561">
        <v>0</v>
      </c>
      <c r="E42" s="561">
        <v>0</v>
      </c>
      <c r="F42" s="561">
        <f t="shared" si="2"/>
        <v>0</v>
      </c>
      <c r="G42" s="561">
        <v>0</v>
      </c>
      <c r="H42" s="561">
        <v>0</v>
      </c>
    </row>
    <row r="43" spans="1:8" s="27" customFormat="1" x14ac:dyDescent="0.25">
      <c r="A43" s="593">
        <v>33</v>
      </c>
      <c r="B43" s="594" t="s">
        <v>108</v>
      </c>
      <c r="C43" s="595" t="s">
        <v>109</v>
      </c>
      <c r="D43" s="561">
        <v>0</v>
      </c>
      <c r="E43" s="561">
        <v>0</v>
      </c>
      <c r="F43" s="561">
        <f t="shared" si="2"/>
        <v>0</v>
      </c>
      <c r="G43" s="561">
        <v>0</v>
      </c>
      <c r="H43" s="561">
        <v>0</v>
      </c>
    </row>
    <row r="44" spans="1:8" s="27" customFormat="1" x14ac:dyDescent="0.25">
      <c r="A44" s="593">
        <v>34</v>
      </c>
      <c r="B44" s="71" t="s">
        <v>110</v>
      </c>
      <c r="C44" s="31" t="s">
        <v>111</v>
      </c>
      <c r="D44" s="561">
        <v>0</v>
      </c>
      <c r="E44" s="561">
        <v>0</v>
      </c>
      <c r="F44" s="561">
        <f t="shared" si="2"/>
        <v>0</v>
      </c>
      <c r="G44" s="561">
        <v>0</v>
      </c>
      <c r="H44" s="561">
        <v>0</v>
      </c>
    </row>
    <row r="45" spans="1:8" x14ac:dyDescent="0.25">
      <c r="A45" s="593">
        <v>35</v>
      </c>
      <c r="B45" s="71" t="s">
        <v>112</v>
      </c>
      <c r="C45" s="31" t="s">
        <v>113</v>
      </c>
      <c r="D45" s="561">
        <v>0</v>
      </c>
      <c r="E45" s="561">
        <v>0</v>
      </c>
      <c r="F45" s="561">
        <f t="shared" si="2"/>
        <v>0</v>
      </c>
      <c r="G45" s="561">
        <v>0</v>
      </c>
      <c r="H45" s="561">
        <v>0</v>
      </c>
    </row>
    <row r="46" spans="1:8" s="27" customFormat="1" x14ac:dyDescent="0.25">
      <c r="A46" s="593">
        <v>36</v>
      </c>
      <c r="B46" s="611" t="s">
        <v>114</v>
      </c>
      <c r="C46" s="31" t="s">
        <v>115</v>
      </c>
      <c r="D46" s="561">
        <v>0</v>
      </c>
      <c r="E46" s="561">
        <v>0</v>
      </c>
      <c r="F46" s="561">
        <f t="shared" si="2"/>
        <v>0</v>
      </c>
      <c r="G46" s="561">
        <v>0</v>
      </c>
      <c r="H46" s="561">
        <v>0</v>
      </c>
    </row>
    <row r="47" spans="1:8" s="27" customFormat="1" x14ac:dyDescent="0.25">
      <c r="A47" s="593">
        <v>37</v>
      </c>
      <c r="B47" s="72" t="s">
        <v>116</v>
      </c>
      <c r="C47" s="31" t="s">
        <v>117</v>
      </c>
      <c r="D47" s="561">
        <v>0</v>
      </c>
      <c r="E47" s="561">
        <v>0</v>
      </c>
      <c r="F47" s="561">
        <f t="shared" si="2"/>
        <v>0</v>
      </c>
      <c r="G47" s="561">
        <v>0</v>
      </c>
      <c r="H47" s="561">
        <v>0</v>
      </c>
    </row>
    <row r="48" spans="1:8" s="27" customFormat="1" x14ac:dyDescent="0.25">
      <c r="A48" s="593">
        <v>38</v>
      </c>
      <c r="B48" s="611" t="s">
        <v>28</v>
      </c>
      <c r="C48" s="31" t="s">
        <v>29</v>
      </c>
      <c r="D48" s="561">
        <v>0</v>
      </c>
      <c r="E48" s="561">
        <v>200</v>
      </c>
      <c r="F48" s="561">
        <f t="shared" si="2"/>
        <v>212</v>
      </c>
      <c r="G48" s="561">
        <v>0</v>
      </c>
      <c r="H48" s="561">
        <v>212</v>
      </c>
    </row>
    <row r="49" spans="1:8" s="27" customFormat="1" x14ac:dyDescent="0.25">
      <c r="A49" s="593">
        <v>39</v>
      </c>
      <c r="B49" s="71" t="s">
        <v>118</v>
      </c>
      <c r="C49" s="31" t="s">
        <v>119</v>
      </c>
      <c r="D49" s="561">
        <v>0</v>
      </c>
      <c r="E49" s="561">
        <v>0</v>
      </c>
      <c r="F49" s="561">
        <f t="shared" si="2"/>
        <v>0</v>
      </c>
      <c r="G49" s="561">
        <v>0</v>
      </c>
      <c r="H49" s="561">
        <v>0</v>
      </c>
    </row>
    <row r="50" spans="1:8" s="27" customFormat="1" x14ac:dyDescent="0.25">
      <c r="A50" s="593">
        <v>40</v>
      </c>
      <c r="B50" s="71" t="s">
        <v>120</v>
      </c>
      <c r="C50" s="31" t="s">
        <v>121</v>
      </c>
      <c r="D50" s="561">
        <v>0</v>
      </c>
      <c r="E50" s="561">
        <v>0</v>
      </c>
      <c r="F50" s="561">
        <f t="shared" si="2"/>
        <v>0</v>
      </c>
      <c r="G50" s="561">
        <v>0</v>
      </c>
      <c r="H50" s="561">
        <v>0</v>
      </c>
    </row>
    <row r="51" spans="1:8" s="149" customFormat="1" x14ac:dyDescent="0.25">
      <c r="A51" s="593">
        <v>41</v>
      </c>
      <c r="B51" s="611" t="s">
        <v>122</v>
      </c>
      <c r="C51" s="31" t="s">
        <v>123</v>
      </c>
      <c r="D51" s="561">
        <v>0</v>
      </c>
      <c r="E51" s="561">
        <v>0</v>
      </c>
      <c r="F51" s="561">
        <f t="shared" si="2"/>
        <v>0</v>
      </c>
      <c r="G51" s="561">
        <v>0</v>
      </c>
      <c r="H51" s="561">
        <v>0</v>
      </c>
    </row>
    <row r="52" spans="1:8" s="27" customFormat="1" x14ac:dyDescent="0.25">
      <c r="A52" s="593">
        <v>42</v>
      </c>
      <c r="B52" s="72" t="s">
        <v>124</v>
      </c>
      <c r="C52" s="31" t="s">
        <v>125</v>
      </c>
      <c r="D52" s="561">
        <v>0</v>
      </c>
      <c r="E52" s="561">
        <v>0</v>
      </c>
      <c r="F52" s="561">
        <f t="shared" si="2"/>
        <v>0</v>
      </c>
      <c r="G52" s="561">
        <v>0</v>
      </c>
      <c r="H52" s="561">
        <v>0</v>
      </c>
    </row>
    <row r="53" spans="1:8" s="27" customFormat="1" x14ac:dyDescent="0.25">
      <c r="A53" s="593">
        <v>43</v>
      </c>
      <c r="B53" s="611" t="s">
        <v>126</v>
      </c>
      <c r="C53" s="31" t="s">
        <v>127</v>
      </c>
      <c r="D53" s="561">
        <v>0</v>
      </c>
      <c r="E53" s="561">
        <v>0</v>
      </c>
      <c r="F53" s="561">
        <f t="shared" si="2"/>
        <v>0</v>
      </c>
      <c r="G53" s="561">
        <v>0</v>
      </c>
      <c r="H53" s="561">
        <v>0</v>
      </c>
    </row>
    <row r="54" spans="1:8" s="27" customFormat="1" x14ac:dyDescent="0.25">
      <c r="A54" s="593">
        <v>44</v>
      </c>
      <c r="B54" s="72" t="s">
        <v>128</v>
      </c>
      <c r="C54" s="31" t="s">
        <v>129</v>
      </c>
      <c r="D54" s="561">
        <v>0</v>
      </c>
      <c r="E54" s="561">
        <v>0</v>
      </c>
      <c r="F54" s="561">
        <f t="shared" si="2"/>
        <v>0</v>
      </c>
      <c r="G54" s="561">
        <v>0</v>
      </c>
      <c r="H54" s="561">
        <v>0</v>
      </c>
    </row>
    <row r="55" spans="1:8" s="27" customFormat="1" x14ac:dyDescent="0.25">
      <c r="A55" s="593">
        <v>45</v>
      </c>
      <c r="B55" s="611" t="s">
        <v>130</v>
      </c>
      <c r="C55" s="31" t="s">
        <v>131</v>
      </c>
      <c r="D55" s="561">
        <v>0</v>
      </c>
      <c r="E55" s="561">
        <v>0</v>
      </c>
      <c r="F55" s="561">
        <f t="shared" si="2"/>
        <v>0</v>
      </c>
      <c r="G55" s="561">
        <v>0</v>
      </c>
      <c r="H55" s="561">
        <v>0</v>
      </c>
    </row>
    <row r="56" spans="1:8" s="27" customFormat="1" x14ac:dyDescent="0.25">
      <c r="A56" s="593">
        <v>46</v>
      </c>
      <c r="B56" s="72" t="s">
        <v>132</v>
      </c>
      <c r="C56" s="31" t="s">
        <v>133</v>
      </c>
      <c r="D56" s="561">
        <v>0</v>
      </c>
      <c r="E56" s="561">
        <v>0</v>
      </c>
      <c r="F56" s="561">
        <f t="shared" si="2"/>
        <v>0</v>
      </c>
      <c r="G56" s="561">
        <v>0</v>
      </c>
      <c r="H56" s="561">
        <v>0</v>
      </c>
    </row>
    <row r="57" spans="1:8" s="27" customFormat="1" x14ac:dyDescent="0.25">
      <c r="A57" s="593">
        <v>47</v>
      </c>
      <c r="B57" s="611" t="s">
        <v>134</v>
      </c>
      <c r="C57" s="31" t="s">
        <v>135</v>
      </c>
      <c r="D57" s="561">
        <v>0</v>
      </c>
      <c r="E57" s="561">
        <v>0</v>
      </c>
      <c r="F57" s="561">
        <f t="shared" si="2"/>
        <v>0</v>
      </c>
      <c r="G57" s="561">
        <v>0</v>
      </c>
      <c r="H57" s="561">
        <v>0</v>
      </c>
    </row>
    <row r="58" spans="1:8" s="27" customFormat="1" x14ac:dyDescent="0.25">
      <c r="A58" s="593">
        <v>48</v>
      </c>
      <c r="B58" s="611" t="s">
        <v>136</v>
      </c>
      <c r="C58" s="31" t="s">
        <v>137</v>
      </c>
      <c r="D58" s="561">
        <v>0</v>
      </c>
      <c r="E58" s="561">
        <v>0</v>
      </c>
      <c r="F58" s="561">
        <f t="shared" si="2"/>
        <v>0</v>
      </c>
      <c r="G58" s="561">
        <v>0</v>
      </c>
      <c r="H58" s="561">
        <v>0</v>
      </c>
    </row>
    <row r="59" spans="1:8" s="27" customFormat="1" x14ac:dyDescent="0.25">
      <c r="A59" s="593">
        <v>49</v>
      </c>
      <c r="B59" s="611" t="s">
        <v>138</v>
      </c>
      <c r="C59" s="31" t="s">
        <v>139</v>
      </c>
      <c r="D59" s="561">
        <v>0</v>
      </c>
      <c r="E59" s="561">
        <v>0</v>
      </c>
      <c r="F59" s="561">
        <f t="shared" si="2"/>
        <v>0</v>
      </c>
      <c r="G59" s="561">
        <v>0</v>
      </c>
      <c r="H59" s="561">
        <v>0</v>
      </c>
    </row>
    <row r="60" spans="1:8" s="27" customFormat="1" x14ac:dyDescent="0.25">
      <c r="A60" s="593">
        <v>50</v>
      </c>
      <c r="B60" s="611" t="s">
        <v>140</v>
      </c>
      <c r="C60" s="31" t="s">
        <v>141</v>
      </c>
      <c r="D60" s="561">
        <v>0</v>
      </c>
      <c r="E60" s="561">
        <v>0</v>
      </c>
      <c r="F60" s="561">
        <f t="shared" si="2"/>
        <v>0</v>
      </c>
      <c r="G60" s="561">
        <v>0</v>
      </c>
      <c r="H60" s="561">
        <v>0</v>
      </c>
    </row>
    <row r="61" spans="1:8" s="27" customFormat="1" x14ac:dyDescent="0.25">
      <c r="A61" s="593">
        <v>51</v>
      </c>
      <c r="B61" s="72" t="s">
        <v>142</v>
      </c>
      <c r="C61" s="31" t="s">
        <v>143</v>
      </c>
      <c r="D61" s="561">
        <v>0</v>
      </c>
      <c r="E61" s="561">
        <v>0</v>
      </c>
      <c r="F61" s="561">
        <f t="shared" si="2"/>
        <v>0</v>
      </c>
      <c r="G61" s="561">
        <v>0</v>
      </c>
      <c r="H61" s="561">
        <v>0</v>
      </c>
    </row>
    <row r="62" spans="1:8" s="27" customFormat="1" x14ac:dyDescent="0.25">
      <c r="A62" s="593">
        <v>52</v>
      </c>
      <c r="B62" s="611" t="s">
        <v>144</v>
      </c>
      <c r="C62" s="31" t="s">
        <v>145</v>
      </c>
      <c r="D62" s="561">
        <v>0</v>
      </c>
      <c r="E62" s="561">
        <v>0</v>
      </c>
      <c r="F62" s="561">
        <f t="shared" si="2"/>
        <v>0</v>
      </c>
      <c r="G62" s="561">
        <v>0</v>
      </c>
      <c r="H62" s="561">
        <v>0</v>
      </c>
    </row>
    <row r="63" spans="1:8" s="27" customFormat="1" x14ac:dyDescent="0.25">
      <c r="A63" s="593">
        <v>53</v>
      </c>
      <c r="B63" s="611" t="s">
        <v>146</v>
      </c>
      <c r="C63" s="31" t="s">
        <v>147</v>
      </c>
      <c r="D63" s="561">
        <v>0</v>
      </c>
      <c r="E63" s="561">
        <v>0</v>
      </c>
      <c r="F63" s="561">
        <f t="shared" si="2"/>
        <v>0</v>
      </c>
      <c r="G63" s="561">
        <v>0</v>
      </c>
      <c r="H63" s="561">
        <v>0</v>
      </c>
    </row>
    <row r="64" spans="1:8" s="27" customFormat="1" x14ac:dyDescent="0.25">
      <c r="A64" s="593">
        <v>54</v>
      </c>
      <c r="B64" s="611" t="s">
        <v>148</v>
      </c>
      <c r="C64" s="31" t="s">
        <v>149</v>
      </c>
      <c r="D64" s="561">
        <v>0</v>
      </c>
      <c r="E64" s="561">
        <v>0</v>
      </c>
      <c r="F64" s="561">
        <f t="shared" si="2"/>
        <v>0</v>
      </c>
      <c r="G64" s="561">
        <v>0</v>
      </c>
      <c r="H64" s="561">
        <v>0</v>
      </c>
    </row>
    <row r="65" spans="1:8" s="27" customFormat="1" x14ac:dyDescent="0.25">
      <c r="A65" s="593">
        <v>55</v>
      </c>
      <c r="B65" s="72" t="s">
        <v>150</v>
      </c>
      <c r="C65" s="31" t="s">
        <v>151</v>
      </c>
      <c r="D65" s="561">
        <v>0</v>
      </c>
      <c r="E65" s="561">
        <v>0</v>
      </c>
      <c r="F65" s="561">
        <f t="shared" si="2"/>
        <v>0</v>
      </c>
      <c r="G65" s="561">
        <v>0</v>
      </c>
      <c r="H65" s="561">
        <v>0</v>
      </c>
    </row>
    <row r="66" spans="1:8" s="27" customFormat="1" x14ac:dyDescent="0.25">
      <c r="A66" s="593">
        <v>56</v>
      </c>
      <c r="B66" s="72" t="s">
        <v>154</v>
      </c>
      <c r="C66" s="31" t="s">
        <v>155</v>
      </c>
      <c r="D66" s="561">
        <v>0</v>
      </c>
      <c r="E66" s="561">
        <v>0</v>
      </c>
      <c r="F66" s="561">
        <f t="shared" si="2"/>
        <v>0</v>
      </c>
      <c r="G66" s="561">
        <v>0</v>
      </c>
      <c r="H66" s="561">
        <v>0</v>
      </c>
    </row>
    <row r="67" spans="1:8" s="27" customFormat="1" ht="24" x14ac:dyDescent="0.25">
      <c r="A67" s="593">
        <v>57</v>
      </c>
      <c r="B67" s="71" t="s">
        <v>158</v>
      </c>
      <c r="C67" s="31" t="s">
        <v>159</v>
      </c>
      <c r="D67" s="561">
        <v>0</v>
      </c>
      <c r="E67" s="561">
        <v>0</v>
      </c>
      <c r="F67" s="561">
        <f t="shared" si="2"/>
        <v>0</v>
      </c>
      <c r="G67" s="561">
        <v>0</v>
      </c>
      <c r="H67" s="561">
        <v>0</v>
      </c>
    </row>
    <row r="68" spans="1:8" s="27" customFormat="1" ht="24" x14ac:dyDescent="0.25">
      <c r="A68" s="593">
        <v>58</v>
      </c>
      <c r="B68" s="71" t="s">
        <v>160</v>
      </c>
      <c r="C68" s="31" t="s">
        <v>161</v>
      </c>
      <c r="D68" s="561">
        <v>0</v>
      </c>
      <c r="E68" s="561">
        <v>0</v>
      </c>
      <c r="F68" s="561">
        <f t="shared" si="2"/>
        <v>0</v>
      </c>
      <c r="G68" s="561">
        <v>0</v>
      </c>
      <c r="H68" s="561">
        <v>0</v>
      </c>
    </row>
    <row r="69" spans="1:8" s="27" customFormat="1" x14ac:dyDescent="0.25">
      <c r="A69" s="593">
        <v>59</v>
      </c>
      <c r="B69" s="72" t="s">
        <v>162</v>
      </c>
      <c r="C69" s="31" t="s">
        <v>163</v>
      </c>
      <c r="D69" s="561">
        <v>0</v>
      </c>
      <c r="E69" s="561">
        <v>0</v>
      </c>
      <c r="F69" s="561">
        <f t="shared" si="2"/>
        <v>0</v>
      </c>
      <c r="G69" s="561">
        <v>0</v>
      </c>
      <c r="H69" s="561">
        <v>0</v>
      </c>
    </row>
    <row r="70" spans="1:8" s="27" customFormat="1" x14ac:dyDescent="0.25">
      <c r="A70" s="593">
        <v>60</v>
      </c>
      <c r="B70" s="72" t="s">
        <v>164</v>
      </c>
      <c r="C70" s="31" t="s">
        <v>165</v>
      </c>
      <c r="D70" s="561">
        <v>0</v>
      </c>
      <c r="E70" s="561">
        <v>0</v>
      </c>
      <c r="F70" s="561">
        <f t="shared" si="2"/>
        <v>0</v>
      </c>
      <c r="G70" s="561">
        <v>0</v>
      </c>
      <c r="H70" s="561">
        <v>0</v>
      </c>
    </row>
    <row r="71" spans="1:8" s="27" customFormat="1" x14ac:dyDescent="0.25">
      <c r="A71" s="593">
        <v>61</v>
      </c>
      <c r="B71" s="72" t="s">
        <v>166</v>
      </c>
      <c r="C71" s="31" t="s">
        <v>167</v>
      </c>
      <c r="D71" s="561">
        <v>0</v>
      </c>
      <c r="E71" s="561">
        <v>0</v>
      </c>
      <c r="F71" s="561">
        <f t="shared" si="2"/>
        <v>0</v>
      </c>
      <c r="G71" s="561">
        <v>0</v>
      </c>
      <c r="H71" s="561">
        <v>0</v>
      </c>
    </row>
    <row r="72" spans="1:8" s="27" customFormat="1" ht="24" customHeight="1" x14ac:dyDescent="0.25">
      <c r="A72" s="1135">
        <v>62</v>
      </c>
      <c r="B72" s="71" t="s">
        <v>170</v>
      </c>
      <c r="C72" s="145" t="s">
        <v>793</v>
      </c>
      <c r="D72" s="561">
        <v>0</v>
      </c>
      <c r="E72" s="561">
        <v>0</v>
      </c>
      <c r="F72" s="561">
        <f t="shared" ref="F72:F138" si="3">G72+H72</f>
        <v>0</v>
      </c>
      <c r="G72" s="561">
        <v>0</v>
      </c>
      <c r="H72" s="561">
        <v>0</v>
      </c>
    </row>
    <row r="73" spans="1:8" s="27" customFormat="1" x14ac:dyDescent="0.25">
      <c r="A73" s="1136"/>
      <c r="B73" s="71" t="s">
        <v>168</v>
      </c>
      <c r="C73" s="31" t="s">
        <v>169</v>
      </c>
      <c r="D73" s="561"/>
      <c r="E73" s="561"/>
      <c r="F73" s="561"/>
      <c r="G73" s="561"/>
      <c r="H73" s="561"/>
    </row>
    <row r="74" spans="1:8" s="27" customFormat="1" x14ac:dyDescent="0.25">
      <c r="A74" s="1137"/>
      <c r="B74" s="71" t="s">
        <v>174</v>
      </c>
      <c r="C74" s="31" t="s">
        <v>175</v>
      </c>
      <c r="D74" s="561"/>
      <c r="E74" s="561"/>
      <c r="F74" s="561"/>
      <c r="G74" s="561"/>
      <c r="H74" s="561"/>
    </row>
    <row r="75" spans="1:8" s="27" customFormat="1" ht="23.25" customHeight="1" x14ac:dyDescent="0.25">
      <c r="A75" s="1135">
        <v>63</v>
      </c>
      <c r="B75" s="71" t="s">
        <v>176</v>
      </c>
      <c r="C75" s="145" t="s">
        <v>796</v>
      </c>
      <c r="D75" s="561">
        <v>0</v>
      </c>
      <c r="E75" s="561">
        <v>0</v>
      </c>
      <c r="F75" s="561">
        <f t="shared" si="3"/>
        <v>0</v>
      </c>
      <c r="G75" s="561">
        <v>0</v>
      </c>
      <c r="H75" s="561">
        <v>0</v>
      </c>
    </row>
    <row r="76" spans="1:8" s="27" customFormat="1" x14ac:dyDescent="0.25">
      <c r="A76" s="1136"/>
      <c r="B76" s="72" t="s">
        <v>172</v>
      </c>
      <c r="C76" s="31" t="s">
        <v>173</v>
      </c>
      <c r="D76" s="561"/>
      <c r="E76" s="561"/>
      <c r="F76" s="561"/>
      <c r="G76" s="561"/>
      <c r="H76" s="561"/>
    </row>
    <row r="77" spans="1:8" s="27" customFormat="1" x14ac:dyDescent="0.25">
      <c r="A77" s="1136"/>
      <c r="B77" s="71" t="s">
        <v>178</v>
      </c>
      <c r="C77" s="31" t="s">
        <v>179</v>
      </c>
      <c r="D77" s="561">
        <v>0</v>
      </c>
      <c r="E77" s="561">
        <v>0</v>
      </c>
      <c r="F77" s="561">
        <f t="shared" si="3"/>
        <v>0</v>
      </c>
      <c r="G77" s="561">
        <v>0</v>
      </c>
      <c r="H77" s="561">
        <v>0</v>
      </c>
    </row>
    <row r="78" spans="1:8" s="27" customFormat="1" x14ac:dyDescent="0.25">
      <c r="A78" s="1137"/>
      <c r="B78" s="71" t="s">
        <v>180</v>
      </c>
      <c r="C78" s="31" t="s">
        <v>181</v>
      </c>
      <c r="D78" s="561">
        <v>0</v>
      </c>
      <c r="E78" s="561">
        <v>0</v>
      </c>
      <c r="F78" s="561">
        <f t="shared" si="3"/>
        <v>0</v>
      </c>
      <c r="G78" s="561">
        <v>0</v>
      </c>
      <c r="H78" s="561">
        <v>0</v>
      </c>
    </row>
    <row r="79" spans="1:8" s="27" customFormat="1" x14ac:dyDescent="0.25">
      <c r="A79" s="593">
        <v>64</v>
      </c>
      <c r="B79" s="611" t="s">
        <v>182</v>
      </c>
      <c r="C79" s="31" t="s">
        <v>183</v>
      </c>
      <c r="D79" s="561">
        <v>0</v>
      </c>
      <c r="E79" s="561">
        <v>0</v>
      </c>
      <c r="F79" s="561">
        <f t="shared" si="3"/>
        <v>0</v>
      </c>
      <c r="G79" s="561">
        <v>0</v>
      </c>
      <c r="H79" s="561">
        <v>0</v>
      </c>
    </row>
    <row r="80" spans="1:8" s="27" customFormat="1" x14ac:dyDescent="0.25">
      <c r="A80" s="593">
        <v>65</v>
      </c>
      <c r="B80" s="71" t="s">
        <v>184</v>
      </c>
      <c r="C80" s="31" t="s">
        <v>185</v>
      </c>
      <c r="D80" s="561">
        <v>0</v>
      </c>
      <c r="E80" s="561">
        <v>0</v>
      </c>
      <c r="F80" s="561">
        <f t="shared" si="3"/>
        <v>0</v>
      </c>
      <c r="G80" s="561">
        <v>0</v>
      </c>
      <c r="H80" s="561">
        <v>0</v>
      </c>
    </row>
    <row r="81" spans="1:8" s="27" customFormat="1" x14ac:dyDescent="0.25">
      <c r="A81" s="593">
        <v>66</v>
      </c>
      <c r="B81" s="611" t="s">
        <v>186</v>
      </c>
      <c r="C81" s="31" t="s">
        <v>187</v>
      </c>
      <c r="D81" s="561">
        <v>0</v>
      </c>
      <c r="E81" s="561">
        <v>0</v>
      </c>
      <c r="F81" s="561">
        <f t="shared" si="3"/>
        <v>0</v>
      </c>
      <c r="G81" s="561">
        <v>0</v>
      </c>
      <c r="H81" s="561">
        <v>0</v>
      </c>
    </row>
    <row r="82" spans="1:8" s="27" customFormat="1" ht="24" x14ac:dyDescent="0.25">
      <c r="A82" s="1135">
        <v>67</v>
      </c>
      <c r="B82" s="71" t="s">
        <v>188</v>
      </c>
      <c r="C82" s="145" t="s">
        <v>795</v>
      </c>
      <c r="D82" s="561">
        <v>0</v>
      </c>
      <c r="E82" s="561">
        <v>0</v>
      </c>
      <c r="F82" s="561">
        <f t="shared" si="3"/>
        <v>0</v>
      </c>
      <c r="G82" s="561">
        <v>0</v>
      </c>
      <c r="H82" s="561">
        <v>0</v>
      </c>
    </row>
    <row r="83" spans="1:8" s="27" customFormat="1" x14ac:dyDescent="0.25">
      <c r="A83" s="1137"/>
      <c r="B83" s="611" t="s">
        <v>156</v>
      </c>
      <c r="C83" s="31" t="s">
        <v>157</v>
      </c>
      <c r="D83" s="561"/>
      <c r="E83" s="561"/>
      <c r="F83" s="561"/>
      <c r="G83" s="561"/>
      <c r="H83" s="561"/>
    </row>
    <row r="84" spans="1:8" s="27" customFormat="1" x14ac:dyDescent="0.25">
      <c r="A84" s="593">
        <v>68</v>
      </c>
      <c r="B84" s="71" t="s">
        <v>190</v>
      </c>
      <c r="C84" s="31" t="s">
        <v>191</v>
      </c>
      <c r="D84" s="561">
        <v>0</v>
      </c>
      <c r="E84" s="561">
        <v>500</v>
      </c>
      <c r="F84" s="561">
        <f t="shared" si="3"/>
        <v>653</v>
      </c>
      <c r="G84" s="561">
        <v>0</v>
      </c>
      <c r="H84" s="561">
        <v>653</v>
      </c>
    </row>
    <row r="85" spans="1:8" s="27" customFormat="1" ht="24" x14ac:dyDescent="0.25">
      <c r="A85" s="1135">
        <v>69</v>
      </c>
      <c r="B85" s="71" t="s">
        <v>192</v>
      </c>
      <c r="C85" s="145" t="s">
        <v>794</v>
      </c>
      <c r="D85" s="561">
        <v>0</v>
      </c>
      <c r="E85" s="561">
        <v>0</v>
      </c>
      <c r="F85" s="561">
        <f t="shared" si="3"/>
        <v>0</v>
      </c>
      <c r="G85" s="561">
        <v>0</v>
      </c>
      <c r="H85" s="561">
        <v>0</v>
      </c>
    </row>
    <row r="86" spans="1:8" s="27" customFormat="1" x14ac:dyDescent="0.25">
      <c r="A86" s="1137"/>
      <c r="B86" s="71" t="s">
        <v>152</v>
      </c>
      <c r="C86" s="31" t="s">
        <v>549</v>
      </c>
      <c r="D86" s="561"/>
      <c r="E86" s="561"/>
      <c r="F86" s="561"/>
      <c r="G86" s="561"/>
      <c r="H86" s="561"/>
    </row>
    <row r="87" spans="1:8" s="27" customFormat="1" x14ac:dyDescent="0.25">
      <c r="A87" s="593">
        <v>70</v>
      </c>
      <c r="B87" s="71" t="s">
        <v>194</v>
      </c>
      <c r="C87" s="31" t="s">
        <v>195</v>
      </c>
      <c r="D87" s="561">
        <v>0</v>
      </c>
      <c r="E87" s="561">
        <v>0</v>
      </c>
      <c r="F87" s="561">
        <f t="shared" si="3"/>
        <v>0</v>
      </c>
      <c r="G87" s="561">
        <v>0</v>
      </c>
      <c r="H87" s="561">
        <v>0</v>
      </c>
    </row>
    <row r="88" spans="1:8" s="27" customFormat="1" x14ac:dyDescent="0.25">
      <c r="A88" s="593">
        <v>71</v>
      </c>
      <c r="B88" s="71" t="s">
        <v>196</v>
      </c>
      <c r="C88" s="31" t="s">
        <v>197</v>
      </c>
      <c r="D88" s="561">
        <v>0</v>
      </c>
      <c r="E88" s="561">
        <v>0</v>
      </c>
      <c r="F88" s="561">
        <f t="shared" si="3"/>
        <v>0</v>
      </c>
      <c r="G88" s="561">
        <v>0</v>
      </c>
      <c r="H88" s="561">
        <v>0</v>
      </c>
    </row>
    <row r="89" spans="1:8" s="27" customFormat="1" x14ac:dyDescent="0.25">
      <c r="A89" s="593">
        <v>72</v>
      </c>
      <c r="B89" s="72" t="s">
        <v>30</v>
      </c>
      <c r="C89" s="31" t="s">
        <v>198</v>
      </c>
      <c r="D89" s="561">
        <v>0</v>
      </c>
      <c r="E89" s="561">
        <v>0</v>
      </c>
      <c r="F89" s="561">
        <f t="shared" si="3"/>
        <v>0</v>
      </c>
      <c r="G89" s="561">
        <v>0</v>
      </c>
      <c r="H89" s="561">
        <v>0</v>
      </c>
    </row>
    <row r="90" spans="1:8" s="27" customFormat="1" ht="24" x14ac:dyDescent="0.25">
      <c r="A90" s="1135">
        <v>73</v>
      </c>
      <c r="B90" s="1138" t="s">
        <v>199</v>
      </c>
      <c r="C90" s="145" t="s">
        <v>200</v>
      </c>
      <c r="D90" s="561">
        <v>0</v>
      </c>
      <c r="E90" s="561">
        <v>0</v>
      </c>
      <c r="F90" s="561">
        <f t="shared" si="3"/>
        <v>0</v>
      </c>
      <c r="G90" s="561">
        <v>0</v>
      </c>
      <c r="H90" s="561">
        <v>0</v>
      </c>
    </row>
    <row r="91" spans="1:8" s="27" customFormat="1" ht="36" x14ac:dyDescent="0.25">
      <c r="A91" s="1136"/>
      <c r="B91" s="1139"/>
      <c r="C91" s="31" t="s">
        <v>201</v>
      </c>
      <c r="D91" s="561">
        <v>0</v>
      </c>
      <c r="E91" s="561">
        <v>0</v>
      </c>
      <c r="F91" s="561">
        <f t="shared" si="3"/>
        <v>0</v>
      </c>
      <c r="G91" s="561">
        <v>0</v>
      </c>
      <c r="H91" s="561">
        <v>0</v>
      </c>
    </row>
    <row r="92" spans="1:8" s="27" customFormat="1" x14ac:dyDescent="0.25">
      <c r="A92" s="1136"/>
      <c r="B92" s="1139"/>
      <c r="C92" s="31" t="s">
        <v>202</v>
      </c>
      <c r="D92" s="561">
        <v>0</v>
      </c>
      <c r="E92" s="561">
        <v>0</v>
      </c>
      <c r="F92" s="561">
        <f t="shared" si="3"/>
        <v>0</v>
      </c>
      <c r="G92" s="561">
        <v>0</v>
      </c>
      <c r="H92" s="561">
        <v>0</v>
      </c>
    </row>
    <row r="93" spans="1:8" s="27" customFormat="1" ht="24" x14ac:dyDescent="0.25">
      <c r="A93" s="1137"/>
      <c r="B93" s="1140"/>
      <c r="C93" s="119" t="s">
        <v>203</v>
      </c>
      <c r="D93" s="561">
        <v>0</v>
      </c>
      <c r="E93" s="561">
        <v>0</v>
      </c>
      <c r="F93" s="561">
        <f t="shared" si="3"/>
        <v>0</v>
      </c>
      <c r="G93" s="561">
        <v>0</v>
      </c>
      <c r="H93" s="561">
        <v>0</v>
      </c>
    </row>
    <row r="94" spans="1:8" s="27" customFormat="1" ht="24" x14ac:dyDescent="0.25">
      <c r="A94" s="593">
        <v>74</v>
      </c>
      <c r="B94" s="72" t="s">
        <v>204</v>
      </c>
      <c r="C94" s="31" t="s">
        <v>205</v>
      </c>
      <c r="D94" s="561">
        <v>0</v>
      </c>
      <c r="E94" s="561">
        <v>0</v>
      </c>
      <c r="F94" s="561">
        <f t="shared" si="3"/>
        <v>0</v>
      </c>
      <c r="G94" s="561">
        <v>0</v>
      </c>
      <c r="H94" s="561">
        <v>0</v>
      </c>
    </row>
    <row r="95" spans="1:8" s="27" customFormat="1" x14ac:dyDescent="0.25">
      <c r="A95" s="593">
        <v>75</v>
      </c>
      <c r="B95" s="72" t="s">
        <v>206</v>
      </c>
      <c r="C95" s="31" t="s">
        <v>207</v>
      </c>
      <c r="D95" s="561">
        <v>0</v>
      </c>
      <c r="E95" s="561">
        <v>0</v>
      </c>
      <c r="F95" s="561">
        <f t="shared" si="3"/>
        <v>0</v>
      </c>
      <c r="G95" s="561">
        <v>0</v>
      </c>
      <c r="H95" s="561">
        <v>0</v>
      </c>
    </row>
    <row r="96" spans="1:8" s="27" customFormat="1" x14ac:dyDescent="0.25">
      <c r="A96" s="593">
        <v>76</v>
      </c>
      <c r="B96" s="611" t="s">
        <v>208</v>
      </c>
      <c r="C96" s="31" t="s">
        <v>209</v>
      </c>
      <c r="D96" s="561">
        <v>0</v>
      </c>
      <c r="E96" s="561">
        <v>0</v>
      </c>
      <c r="F96" s="561">
        <f t="shared" si="3"/>
        <v>0</v>
      </c>
      <c r="G96" s="561">
        <v>0</v>
      </c>
      <c r="H96" s="561">
        <v>0</v>
      </c>
    </row>
    <row r="97" spans="1:8" s="27" customFormat="1" x14ac:dyDescent="0.25">
      <c r="A97" s="593">
        <v>77</v>
      </c>
      <c r="B97" s="72" t="s">
        <v>210</v>
      </c>
      <c r="C97" s="31" t="s">
        <v>211</v>
      </c>
      <c r="D97" s="561">
        <v>0</v>
      </c>
      <c r="E97" s="561">
        <v>0</v>
      </c>
      <c r="F97" s="561">
        <f t="shared" si="3"/>
        <v>0</v>
      </c>
      <c r="G97" s="561">
        <v>0</v>
      </c>
      <c r="H97" s="561">
        <v>0</v>
      </c>
    </row>
    <row r="98" spans="1:8" s="27" customFormat="1" x14ac:dyDescent="0.25">
      <c r="A98" s="593">
        <v>78</v>
      </c>
      <c r="B98" s="611" t="s">
        <v>212</v>
      </c>
      <c r="C98" s="31" t="s">
        <v>213</v>
      </c>
      <c r="D98" s="561">
        <v>0</v>
      </c>
      <c r="E98" s="561">
        <v>0</v>
      </c>
      <c r="F98" s="561">
        <f t="shared" si="3"/>
        <v>0</v>
      </c>
      <c r="G98" s="561">
        <v>0</v>
      </c>
      <c r="H98" s="561">
        <v>0</v>
      </c>
    </row>
    <row r="99" spans="1:8" s="27" customFormat="1" x14ac:dyDescent="0.25">
      <c r="A99" s="593">
        <v>79</v>
      </c>
      <c r="B99" s="611" t="s">
        <v>214</v>
      </c>
      <c r="C99" s="31" t="s">
        <v>215</v>
      </c>
      <c r="D99" s="561">
        <v>0</v>
      </c>
      <c r="E99" s="561">
        <v>0</v>
      </c>
      <c r="F99" s="561">
        <f t="shared" si="3"/>
        <v>0</v>
      </c>
      <c r="G99" s="561">
        <v>0</v>
      </c>
      <c r="H99" s="561">
        <v>0</v>
      </c>
    </row>
    <row r="100" spans="1:8" s="27" customFormat="1" x14ac:dyDescent="0.25">
      <c r="A100" s="593">
        <v>80</v>
      </c>
      <c r="B100" s="72" t="s">
        <v>216</v>
      </c>
      <c r="C100" s="31" t="s">
        <v>217</v>
      </c>
      <c r="D100" s="561">
        <v>0</v>
      </c>
      <c r="E100" s="561">
        <v>0</v>
      </c>
      <c r="F100" s="561">
        <f t="shared" si="3"/>
        <v>0</v>
      </c>
      <c r="G100" s="561">
        <v>0</v>
      </c>
      <c r="H100" s="561">
        <v>0</v>
      </c>
    </row>
    <row r="101" spans="1:8" s="27" customFormat="1" x14ac:dyDescent="0.25">
      <c r="A101" s="593">
        <v>81</v>
      </c>
      <c r="B101" s="71" t="s">
        <v>218</v>
      </c>
      <c r="C101" s="31" t="s">
        <v>219</v>
      </c>
      <c r="D101" s="561">
        <v>0</v>
      </c>
      <c r="E101" s="561">
        <v>0</v>
      </c>
      <c r="F101" s="561">
        <f t="shared" si="3"/>
        <v>0</v>
      </c>
      <c r="G101" s="561">
        <v>0</v>
      </c>
      <c r="H101" s="561">
        <v>0</v>
      </c>
    </row>
    <row r="102" spans="1:8" s="27" customFormat="1" x14ac:dyDescent="0.25">
      <c r="A102" s="593">
        <v>82</v>
      </c>
      <c r="B102" s="71" t="s">
        <v>220</v>
      </c>
      <c r="C102" s="31" t="s">
        <v>221</v>
      </c>
      <c r="D102" s="561">
        <v>0</v>
      </c>
      <c r="E102" s="561">
        <v>0</v>
      </c>
      <c r="F102" s="561">
        <f t="shared" si="3"/>
        <v>0</v>
      </c>
      <c r="G102" s="561">
        <v>0</v>
      </c>
      <c r="H102" s="561">
        <v>0</v>
      </c>
    </row>
    <row r="103" spans="1:8" s="27" customFormat="1" x14ac:dyDescent="0.25">
      <c r="A103" s="593">
        <v>83</v>
      </c>
      <c r="B103" s="611" t="s">
        <v>222</v>
      </c>
      <c r="C103" s="31" t="s">
        <v>223</v>
      </c>
      <c r="D103" s="561">
        <v>0</v>
      </c>
      <c r="E103" s="561">
        <v>0</v>
      </c>
      <c r="F103" s="561">
        <f t="shared" si="3"/>
        <v>0</v>
      </c>
      <c r="G103" s="561">
        <v>0</v>
      </c>
      <c r="H103" s="561">
        <v>0</v>
      </c>
    </row>
    <row r="104" spans="1:8" s="27" customFormat="1" x14ac:dyDescent="0.25">
      <c r="A104" s="593">
        <v>84</v>
      </c>
      <c r="B104" s="71" t="s">
        <v>224</v>
      </c>
      <c r="C104" s="31" t="s">
        <v>225</v>
      </c>
      <c r="D104" s="561">
        <v>0</v>
      </c>
      <c r="E104" s="561">
        <v>0</v>
      </c>
      <c r="F104" s="561">
        <f t="shared" si="3"/>
        <v>0</v>
      </c>
      <c r="G104" s="561">
        <v>0</v>
      </c>
      <c r="H104" s="561">
        <v>0</v>
      </c>
    </row>
    <row r="105" spans="1:8" s="27" customFormat="1" x14ac:dyDescent="0.25">
      <c r="A105" s="593">
        <v>85</v>
      </c>
      <c r="B105" s="71" t="s">
        <v>226</v>
      </c>
      <c r="C105" s="31" t="s">
        <v>227</v>
      </c>
      <c r="D105" s="561">
        <v>0</v>
      </c>
      <c r="E105" s="561">
        <v>0</v>
      </c>
      <c r="F105" s="561">
        <f t="shared" si="3"/>
        <v>0</v>
      </c>
      <c r="G105" s="561">
        <v>0</v>
      </c>
      <c r="H105" s="561">
        <v>0</v>
      </c>
    </row>
    <row r="106" spans="1:8" s="27" customFormat="1" x14ac:dyDescent="0.25">
      <c r="A106" s="593">
        <v>86</v>
      </c>
      <c r="B106" s="72" t="s">
        <v>32</v>
      </c>
      <c r="C106" s="31" t="s">
        <v>33</v>
      </c>
      <c r="D106" s="561">
        <v>0</v>
      </c>
      <c r="E106" s="561">
        <v>0</v>
      </c>
      <c r="F106" s="561">
        <f t="shared" si="3"/>
        <v>0</v>
      </c>
      <c r="G106" s="561">
        <v>0</v>
      </c>
      <c r="H106" s="561">
        <v>0</v>
      </c>
    </row>
    <row r="107" spans="1:8" s="149" customFormat="1" x14ac:dyDescent="0.25">
      <c r="A107" s="593">
        <v>87</v>
      </c>
      <c r="B107" s="611" t="s">
        <v>228</v>
      </c>
      <c r="C107" s="31" t="s">
        <v>229</v>
      </c>
      <c r="D107" s="561">
        <v>0</v>
      </c>
      <c r="E107" s="561">
        <v>0</v>
      </c>
      <c r="F107" s="561">
        <f t="shared" si="3"/>
        <v>0</v>
      </c>
      <c r="G107" s="561">
        <v>0</v>
      </c>
      <c r="H107" s="561">
        <v>0</v>
      </c>
    </row>
    <row r="108" spans="1:8" s="27" customFormat="1" x14ac:dyDescent="0.25">
      <c r="A108" s="593">
        <v>88</v>
      </c>
      <c r="B108" s="71" t="s">
        <v>230</v>
      </c>
      <c r="C108" s="31" t="s">
        <v>231</v>
      </c>
      <c r="D108" s="561">
        <v>0</v>
      </c>
      <c r="E108" s="561">
        <v>0</v>
      </c>
      <c r="F108" s="561">
        <f t="shared" si="3"/>
        <v>0</v>
      </c>
      <c r="G108" s="561">
        <v>0</v>
      </c>
      <c r="H108" s="561">
        <v>0</v>
      </c>
    </row>
    <row r="109" spans="1:8" s="27" customFormat="1" x14ac:dyDescent="0.25">
      <c r="A109" s="593">
        <v>89</v>
      </c>
      <c r="B109" s="71" t="s">
        <v>232</v>
      </c>
      <c r="C109" s="31" t="s">
        <v>233</v>
      </c>
      <c r="D109" s="561">
        <v>0</v>
      </c>
      <c r="E109" s="561">
        <v>0</v>
      </c>
      <c r="F109" s="561">
        <f t="shared" si="3"/>
        <v>0</v>
      </c>
      <c r="G109" s="561">
        <v>0</v>
      </c>
      <c r="H109" s="561">
        <v>0</v>
      </c>
    </row>
    <row r="110" spans="1:8" s="27" customFormat="1" x14ac:dyDescent="0.25">
      <c r="A110" s="593">
        <v>90</v>
      </c>
      <c r="B110" s="71" t="s">
        <v>234</v>
      </c>
      <c r="C110" s="31" t="s">
        <v>235</v>
      </c>
      <c r="D110" s="561">
        <v>0</v>
      </c>
      <c r="E110" s="561">
        <v>0</v>
      </c>
      <c r="F110" s="561">
        <f t="shared" si="3"/>
        <v>0</v>
      </c>
      <c r="G110" s="561">
        <v>0</v>
      </c>
      <c r="H110" s="561">
        <v>0</v>
      </c>
    </row>
    <row r="111" spans="1:8" s="27" customFormat="1" x14ac:dyDescent="0.25">
      <c r="A111" s="593">
        <v>91</v>
      </c>
      <c r="B111" s="611" t="s">
        <v>236</v>
      </c>
      <c r="C111" s="31" t="s">
        <v>237</v>
      </c>
      <c r="D111" s="561">
        <v>0</v>
      </c>
      <c r="E111" s="561">
        <v>0</v>
      </c>
      <c r="F111" s="561">
        <f t="shared" si="3"/>
        <v>0</v>
      </c>
      <c r="G111" s="561">
        <v>0</v>
      </c>
      <c r="H111" s="561">
        <v>0</v>
      </c>
    </row>
    <row r="112" spans="1:8" s="27" customFormat="1" x14ac:dyDescent="0.25">
      <c r="A112" s="593">
        <v>92</v>
      </c>
      <c r="B112" s="611" t="s">
        <v>238</v>
      </c>
      <c r="C112" s="31" t="s">
        <v>239</v>
      </c>
      <c r="D112" s="561">
        <v>0</v>
      </c>
      <c r="E112" s="561">
        <v>0</v>
      </c>
      <c r="F112" s="561">
        <f t="shared" si="3"/>
        <v>0</v>
      </c>
      <c r="G112" s="561">
        <v>0</v>
      </c>
      <c r="H112" s="561">
        <v>0</v>
      </c>
    </row>
    <row r="113" spans="1:8" s="27" customFormat="1" x14ac:dyDescent="0.25">
      <c r="A113" s="593">
        <v>93</v>
      </c>
      <c r="B113" s="611" t="s">
        <v>240</v>
      </c>
      <c r="C113" s="31" t="s">
        <v>241</v>
      </c>
      <c r="D113" s="561">
        <v>0</v>
      </c>
      <c r="E113" s="561">
        <v>0</v>
      </c>
      <c r="F113" s="561">
        <f t="shared" si="3"/>
        <v>0</v>
      </c>
      <c r="G113" s="561">
        <v>0</v>
      </c>
      <c r="H113" s="561">
        <v>0</v>
      </c>
    </row>
    <row r="114" spans="1:8" s="27" customFormat="1" x14ac:dyDescent="0.25">
      <c r="A114" s="593">
        <v>94</v>
      </c>
      <c r="B114" s="611" t="s">
        <v>242</v>
      </c>
      <c r="C114" s="31" t="s">
        <v>243</v>
      </c>
      <c r="D114" s="561">
        <v>0</v>
      </c>
      <c r="E114" s="561">
        <v>0</v>
      </c>
      <c r="F114" s="561">
        <f t="shared" si="3"/>
        <v>0</v>
      </c>
      <c r="G114" s="561">
        <v>0</v>
      </c>
      <c r="H114" s="561">
        <v>0</v>
      </c>
    </row>
    <row r="115" spans="1:8" s="27" customFormat="1" x14ac:dyDescent="0.25">
      <c r="A115" s="593">
        <v>95</v>
      </c>
      <c r="B115" s="611" t="s">
        <v>244</v>
      </c>
      <c r="C115" s="31" t="s">
        <v>245</v>
      </c>
      <c r="D115" s="561">
        <v>0</v>
      </c>
      <c r="E115" s="561">
        <v>0</v>
      </c>
      <c r="F115" s="561">
        <f t="shared" si="3"/>
        <v>0</v>
      </c>
      <c r="G115" s="561">
        <v>0</v>
      </c>
      <c r="H115" s="561">
        <v>0</v>
      </c>
    </row>
    <row r="116" spans="1:8" s="27" customFormat="1" x14ac:dyDescent="0.25">
      <c r="A116" s="593">
        <v>96</v>
      </c>
      <c r="B116" s="596" t="s">
        <v>246</v>
      </c>
      <c r="C116" s="595" t="s">
        <v>247</v>
      </c>
      <c r="D116" s="561">
        <v>0</v>
      </c>
      <c r="E116" s="561">
        <v>0</v>
      </c>
      <c r="F116" s="561">
        <f t="shared" si="3"/>
        <v>0</v>
      </c>
      <c r="G116" s="561">
        <v>0</v>
      </c>
      <c r="H116" s="561">
        <v>0</v>
      </c>
    </row>
    <row r="117" spans="1:8" s="27" customFormat="1" x14ac:dyDescent="0.25">
      <c r="A117" s="593">
        <v>97</v>
      </c>
      <c r="B117" s="72" t="s">
        <v>248</v>
      </c>
      <c r="C117" s="31" t="s">
        <v>249</v>
      </c>
      <c r="D117" s="561">
        <v>0</v>
      </c>
      <c r="E117" s="561">
        <v>0</v>
      </c>
      <c r="F117" s="561">
        <f t="shared" si="3"/>
        <v>0</v>
      </c>
      <c r="G117" s="561">
        <v>0</v>
      </c>
      <c r="H117" s="561">
        <v>0</v>
      </c>
    </row>
    <row r="118" spans="1:8" s="27" customFormat="1" x14ac:dyDescent="0.25">
      <c r="A118" s="593">
        <v>98</v>
      </c>
      <c r="B118" s="611" t="s">
        <v>250</v>
      </c>
      <c r="C118" s="31" t="s">
        <v>251</v>
      </c>
      <c r="D118" s="561">
        <v>0</v>
      </c>
      <c r="E118" s="561">
        <v>0</v>
      </c>
      <c r="F118" s="561">
        <f t="shared" si="3"/>
        <v>0</v>
      </c>
      <c r="G118" s="561">
        <v>0</v>
      </c>
      <c r="H118" s="561">
        <v>0</v>
      </c>
    </row>
    <row r="119" spans="1:8" s="27" customFormat="1" x14ac:dyDescent="0.25">
      <c r="A119" s="593">
        <v>99</v>
      </c>
      <c r="B119" s="71" t="s">
        <v>252</v>
      </c>
      <c r="C119" s="120" t="s">
        <v>253</v>
      </c>
      <c r="D119" s="561">
        <v>0</v>
      </c>
      <c r="E119" s="561">
        <v>0</v>
      </c>
      <c r="F119" s="561">
        <f t="shared" si="3"/>
        <v>0</v>
      </c>
      <c r="G119" s="561">
        <v>0</v>
      </c>
      <c r="H119" s="561">
        <v>0</v>
      </c>
    </row>
    <row r="120" spans="1:8" s="27" customFormat="1" x14ac:dyDescent="0.25">
      <c r="A120" s="593">
        <v>100</v>
      </c>
      <c r="B120" s="611" t="s">
        <v>254</v>
      </c>
      <c r="C120" s="31" t="s">
        <v>255</v>
      </c>
      <c r="D120" s="561">
        <v>0</v>
      </c>
      <c r="E120" s="561">
        <v>0</v>
      </c>
      <c r="F120" s="561">
        <f t="shared" si="3"/>
        <v>0</v>
      </c>
      <c r="G120" s="561">
        <v>0</v>
      </c>
      <c r="H120" s="561">
        <v>0</v>
      </c>
    </row>
    <row r="121" spans="1:8" s="27" customFormat="1" x14ac:dyDescent="0.25">
      <c r="A121" s="593">
        <v>101</v>
      </c>
      <c r="B121" s="72" t="s">
        <v>256</v>
      </c>
      <c r="C121" s="31" t="s">
        <v>257</v>
      </c>
      <c r="D121" s="561">
        <v>0</v>
      </c>
      <c r="E121" s="561">
        <v>0</v>
      </c>
      <c r="F121" s="561">
        <f t="shared" si="3"/>
        <v>0</v>
      </c>
      <c r="G121" s="561">
        <v>0</v>
      </c>
      <c r="H121" s="561">
        <v>0</v>
      </c>
    </row>
    <row r="122" spans="1:8" s="27" customFormat="1" x14ac:dyDescent="0.25">
      <c r="A122" s="593">
        <v>102</v>
      </c>
      <c r="B122" s="71" t="s">
        <v>258</v>
      </c>
      <c r="C122" s="31" t="s">
        <v>259</v>
      </c>
      <c r="D122" s="561">
        <v>0</v>
      </c>
      <c r="E122" s="561">
        <v>0</v>
      </c>
      <c r="F122" s="561">
        <f t="shared" si="3"/>
        <v>0</v>
      </c>
      <c r="G122" s="561">
        <v>0</v>
      </c>
      <c r="H122" s="561">
        <v>0</v>
      </c>
    </row>
    <row r="123" spans="1:8" s="27" customFormat="1" x14ac:dyDescent="0.25">
      <c r="A123" s="593">
        <v>103</v>
      </c>
      <c r="B123" s="597" t="s">
        <v>543</v>
      </c>
      <c r="C123" s="595" t="s">
        <v>544</v>
      </c>
      <c r="D123" s="561">
        <v>0</v>
      </c>
      <c r="E123" s="561">
        <v>0</v>
      </c>
      <c r="F123" s="561">
        <f t="shared" si="3"/>
        <v>0</v>
      </c>
      <c r="G123" s="561">
        <v>0</v>
      </c>
      <c r="H123" s="561">
        <v>0</v>
      </c>
    </row>
    <row r="124" spans="1:8" s="27" customFormat="1" x14ac:dyDescent="0.25">
      <c r="A124" s="593">
        <v>104</v>
      </c>
      <c r="B124" s="72" t="s">
        <v>260</v>
      </c>
      <c r="C124" s="31" t="s">
        <v>261</v>
      </c>
      <c r="D124" s="561">
        <v>0</v>
      </c>
      <c r="E124" s="561">
        <v>0</v>
      </c>
      <c r="F124" s="561">
        <f t="shared" si="3"/>
        <v>0</v>
      </c>
      <c r="G124" s="561">
        <v>0</v>
      </c>
      <c r="H124" s="561">
        <v>0</v>
      </c>
    </row>
    <row r="125" spans="1:8" s="27" customFormat="1" x14ac:dyDescent="0.25">
      <c r="A125" s="593">
        <v>105</v>
      </c>
      <c r="B125" s="611" t="s">
        <v>262</v>
      </c>
      <c r="C125" s="31" t="s">
        <v>263</v>
      </c>
      <c r="D125" s="561">
        <v>0</v>
      </c>
      <c r="E125" s="561">
        <v>0</v>
      </c>
      <c r="F125" s="561">
        <f t="shared" si="3"/>
        <v>0</v>
      </c>
      <c r="G125" s="561">
        <v>0</v>
      </c>
      <c r="H125" s="561">
        <v>0</v>
      </c>
    </row>
    <row r="126" spans="1:8" s="27" customFormat="1" x14ac:dyDescent="0.25">
      <c r="A126" s="593">
        <v>106</v>
      </c>
      <c r="B126" s="611" t="s">
        <v>264</v>
      </c>
      <c r="C126" s="121" t="s">
        <v>265</v>
      </c>
      <c r="D126" s="561">
        <v>0</v>
      </c>
      <c r="E126" s="561">
        <v>0</v>
      </c>
      <c r="F126" s="561">
        <f t="shared" si="3"/>
        <v>0</v>
      </c>
      <c r="G126" s="561">
        <v>0</v>
      </c>
      <c r="H126" s="561">
        <v>0</v>
      </c>
    </row>
    <row r="127" spans="1:8" s="27" customFormat="1" x14ac:dyDescent="0.25">
      <c r="A127" s="593">
        <v>107</v>
      </c>
      <c r="B127" s="611" t="s">
        <v>266</v>
      </c>
      <c r="C127" s="31" t="s">
        <v>267</v>
      </c>
      <c r="D127" s="561">
        <v>0</v>
      </c>
      <c r="E127" s="561">
        <v>300</v>
      </c>
      <c r="F127" s="561">
        <f t="shared" si="3"/>
        <v>0</v>
      </c>
      <c r="G127" s="561">
        <v>0</v>
      </c>
      <c r="H127" s="561">
        <v>0</v>
      </c>
    </row>
    <row r="128" spans="1:8" s="27" customFormat="1" x14ac:dyDescent="0.25">
      <c r="A128" s="593">
        <v>108</v>
      </c>
      <c r="B128" s="611" t="s">
        <v>268</v>
      </c>
      <c r="C128" s="31" t="s">
        <v>269</v>
      </c>
      <c r="D128" s="561">
        <v>0</v>
      </c>
      <c r="E128" s="561">
        <v>0</v>
      </c>
      <c r="F128" s="561">
        <f t="shared" si="3"/>
        <v>0</v>
      </c>
      <c r="G128" s="561">
        <v>0</v>
      </c>
      <c r="H128" s="561">
        <v>0</v>
      </c>
    </row>
    <row r="129" spans="1:8" s="27" customFormat="1" x14ac:dyDescent="0.25">
      <c r="A129" s="593">
        <v>109</v>
      </c>
      <c r="B129" s="611" t="s">
        <v>270</v>
      </c>
      <c r="C129" s="31" t="s">
        <v>271</v>
      </c>
      <c r="D129" s="561">
        <v>0</v>
      </c>
      <c r="E129" s="561">
        <v>0</v>
      </c>
      <c r="F129" s="561">
        <f t="shared" si="3"/>
        <v>0</v>
      </c>
      <c r="G129" s="561">
        <v>0</v>
      </c>
      <c r="H129" s="561">
        <v>0</v>
      </c>
    </row>
    <row r="130" spans="1:8" s="27" customFormat="1" x14ac:dyDescent="0.25">
      <c r="A130" s="593">
        <v>110</v>
      </c>
      <c r="B130" s="71" t="s">
        <v>272</v>
      </c>
      <c r="C130" s="31" t="s">
        <v>273</v>
      </c>
      <c r="D130" s="561">
        <v>0</v>
      </c>
      <c r="E130" s="561">
        <v>0</v>
      </c>
      <c r="F130" s="561">
        <f t="shared" si="3"/>
        <v>0</v>
      </c>
      <c r="G130" s="561">
        <v>0</v>
      </c>
      <c r="H130" s="561">
        <v>0</v>
      </c>
    </row>
    <row r="131" spans="1:8" x14ac:dyDescent="0.25">
      <c r="A131" s="593">
        <v>111</v>
      </c>
      <c r="B131" s="71" t="s">
        <v>274</v>
      </c>
      <c r="C131" s="31" t="s">
        <v>275</v>
      </c>
      <c r="D131" s="561">
        <v>0</v>
      </c>
      <c r="E131" s="561">
        <v>0</v>
      </c>
      <c r="F131" s="561">
        <f t="shared" si="3"/>
        <v>0</v>
      </c>
      <c r="G131" s="561">
        <v>0</v>
      </c>
      <c r="H131" s="561">
        <v>0</v>
      </c>
    </row>
    <row r="132" spans="1:8" s="27" customFormat="1" x14ac:dyDescent="0.25">
      <c r="A132" s="593">
        <v>112</v>
      </c>
      <c r="B132" s="71" t="s">
        <v>276</v>
      </c>
      <c r="C132" s="31" t="s">
        <v>277</v>
      </c>
      <c r="D132" s="561">
        <v>0</v>
      </c>
      <c r="E132" s="561">
        <v>0</v>
      </c>
      <c r="F132" s="561">
        <f t="shared" si="3"/>
        <v>0</v>
      </c>
      <c r="G132" s="561">
        <v>0</v>
      </c>
      <c r="H132" s="561">
        <v>0</v>
      </c>
    </row>
    <row r="133" spans="1:8" s="27" customFormat="1" x14ac:dyDescent="0.25">
      <c r="A133" s="593">
        <v>113</v>
      </c>
      <c r="B133" s="611" t="s">
        <v>278</v>
      </c>
      <c r="C133" s="31" t="s">
        <v>279</v>
      </c>
      <c r="D133" s="561">
        <v>2482</v>
      </c>
      <c r="E133" s="561">
        <v>0</v>
      </c>
      <c r="F133" s="561">
        <f t="shared" si="3"/>
        <v>0</v>
      </c>
      <c r="G133" s="561">
        <v>0</v>
      </c>
      <c r="H133" s="561">
        <v>0</v>
      </c>
    </row>
    <row r="134" spans="1:8" s="27" customFormat="1" x14ac:dyDescent="0.25">
      <c r="A134" s="593">
        <v>114</v>
      </c>
      <c r="B134" s="611" t="s">
        <v>280</v>
      </c>
      <c r="C134" s="31" t="s">
        <v>281</v>
      </c>
      <c r="D134" s="561">
        <v>0</v>
      </c>
      <c r="E134" s="561">
        <v>0</v>
      </c>
      <c r="F134" s="561">
        <f t="shared" si="3"/>
        <v>0</v>
      </c>
      <c r="G134" s="561">
        <v>0</v>
      </c>
      <c r="H134" s="561">
        <v>0</v>
      </c>
    </row>
    <row r="135" spans="1:8" s="27" customFormat="1" x14ac:dyDescent="0.25">
      <c r="A135" s="593">
        <v>115</v>
      </c>
      <c r="B135" s="611" t="s">
        <v>282</v>
      </c>
      <c r="C135" s="31" t="s">
        <v>772</v>
      </c>
      <c r="D135" s="561">
        <v>0</v>
      </c>
      <c r="E135" s="561">
        <v>0</v>
      </c>
      <c r="F135" s="561">
        <f t="shared" si="3"/>
        <v>0</v>
      </c>
      <c r="G135" s="561">
        <v>0</v>
      </c>
      <c r="H135" s="561">
        <v>0</v>
      </c>
    </row>
    <row r="136" spans="1:8" s="27" customFormat="1" x14ac:dyDescent="0.25">
      <c r="A136" s="593">
        <v>116</v>
      </c>
      <c r="B136" s="71" t="s">
        <v>283</v>
      </c>
      <c r="C136" s="31" t="s">
        <v>284</v>
      </c>
      <c r="D136" s="561">
        <v>0</v>
      </c>
      <c r="E136" s="561">
        <v>0</v>
      </c>
      <c r="F136" s="561">
        <f t="shared" si="3"/>
        <v>0</v>
      </c>
      <c r="G136" s="561">
        <v>0</v>
      </c>
      <c r="H136" s="561">
        <v>0</v>
      </c>
    </row>
    <row r="137" spans="1:8" s="27" customFormat="1" x14ac:dyDescent="0.25">
      <c r="A137" s="593">
        <v>117</v>
      </c>
      <c r="B137" s="72" t="s">
        <v>285</v>
      </c>
      <c r="C137" s="31" t="s">
        <v>728</v>
      </c>
      <c r="D137" s="561">
        <v>0</v>
      </c>
      <c r="E137" s="561">
        <v>0</v>
      </c>
      <c r="F137" s="561">
        <f t="shared" si="3"/>
        <v>0</v>
      </c>
      <c r="G137" s="561">
        <v>0</v>
      </c>
      <c r="H137" s="561">
        <v>0</v>
      </c>
    </row>
    <row r="138" spans="1:8" s="27" customFormat="1" x14ac:dyDescent="0.25">
      <c r="A138" s="593">
        <v>118</v>
      </c>
      <c r="B138" s="611" t="s">
        <v>286</v>
      </c>
      <c r="C138" s="31" t="s">
        <v>287</v>
      </c>
      <c r="D138" s="561">
        <v>0</v>
      </c>
      <c r="E138" s="561">
        <v>2500</v>
      </c>
      <c r="F138" s="561">
        <f t="shared" si="3"/>
        <v>750</v>
      </c>
      <c r="G138" s="561">
        <v>750</v>
      </c>
      <c r="H138" s="561">
        <v>0</v>
      </c>
    </row>
    <row r="139" spans="1:8" s="27" customFormat="1" x14ac:dyDescent="0.25">
      <c r="A139" s="593">
        <v>119</v>
      </c>
      <c r="B139" s="71" t="s">
        <v>288</v>
      </c>
      <c r="C139" s="31" t="s">
        <v>289</v>
      </c>
      <c r="D139" s="561">
        <v>0</v>
      </c>
      <c r="E139" s="561">
        <v>0</v>
      </c>
      <c r="F139" s="561">
        <f t="shared" ref="F139:F147" si="4">G139+H139</f>
        <v>0</v>
      </c>
      <c r="G139" s="561">
        <v>0</v>
      </c>
      <c r="H139" s="561">
        <v>0</v>
      </c>
    </row>
    <row r="140" spans="1:8" s="27" customFormat="1" x14ac:dyDescent="0.25">
      <c r="A140" s="593">
        <v>120</v>
      </c>
      <c r="B140" s="611" t="s">
        <v>290</v>
      </c>
      <c r="C140" s="31" t="s">
        <v>291</v>
      </c>
      <c r="D140" s="561">
        <v>0</v>
      </c>
      <c r="E140" s="561">
        <v>0</v>
      </c>
      <c r="F140" s="561">
        <f t="shared" si="4"/>
        <v>0</v>
      </c>
      <c r="G140" s="561">
        <v>0</v>
      </c>
      <c r="H140" s="561">
        <v>0</v>
      </c>
    </row>
    <row r="141" spans="1:8" x14ac:dyDescent="0.25">
      <c r="A141" s="593">
        <v>121</v>
      </c>
      <c r="B141" s="139" t="s">
        <v>292</v>
      </c>
      <c r="C141" s="598" t="s">
        <v>293</v>
      </c>
      <c r="D141" s="561">
        <v>0</v>
      </c>
      <c r="E141" s="561">
        <v>0</v>
      </c>
      <c r="F141" s="561">
        <f t="shared" si="4"/>
        <v>0</v>
      </c>
      <c r="G141" s="561">
        <v>0</v>
      </c>
      <c r="H141" s="561">
        <v>0</v>
      </c>
    </row>
    <row r="142" spans="1:8" x14ac:dyDescent="0.25">
      <c r="A142" s="593">
        <v>122</v>
      </c>
      <c r="B142" s="141" t="s">
        <v>294</v>
      </c>
      <c r="C142" s="599" t="s">
        <v>295</v>
      </c>
      <c r="D142" s="561">
        <v>0</v>
      </c>
      <c r="E142" s="561">
        <v>0</v>
      </c>
      <c r="F142" s="561">
        <f t="shared" si="4"/>
        <v>0</v>
      </c>
      <c r="G142" s="561">
        <v>0</v>
      </c>
      <c r="H142" s="561">
        <v>0</v>
      </c>
    </row>
    <row r="143" spans="1:8" x14ac:dyDescent="0.2">
      <c r="A143" s="593">
        <v>123</v>
      </c>
      <c r="B143" s="600" t="s">
        <v>296</v>
      </c>
      <c r="C143" s="601" t="s">
        <v>461</v>
      </c>
      <c r="D143" s="561">
        <v>0</v>
      </c>
      <c r="E143" s="561">
        <v>0</v>
      </c>
      <c r="F143" s="561">
        <f t="shared" si="4"/>
        <v>0</v>
      </c>
      <c r="G143" s="561">
        <v>0</v>
      </c>
      <c r="H143" s="561">
        <v>0</v>
      </c>
    </row>
    <row r="144" spans="1:8" x14ac:dyDescent="0.25">
      <c r="A144" s="593">
        <v>124</v>
      </c>
      <c r="B144" s="593" t="s">
        <v>298</v>
      </c>
      <c r="C144" s="602" t="s">
        <v>299</v>
      </c>
      <c r="D144" s="561">
        <v>0</v>
      </c>
      <c r="E144" s="561">
        <v>0</v>
      </c>
      <c r="F144" s="561">
        <f t="shared" si="4"/>
        <v>0</v>
      </c>
      <c r="G144" s="561">
        <v>0</v>
      </c>
      <c r="H144" s="561">
        <v>0</v>
      </c>
    </row>
    <row r="145" spans="1:8" x14ac:dyDescent="0.25">
      <c r="A145" s="593">
        <v>125</v>
      </c>
      <c r="B145" s="597" t="s">
        <v>300</v>
      </c>
      <c r="C145" s="602" t="s">
        <v>301</v>
      </c>
      <c r="D145" s="561">
        <v>0</v>
      </c>
      <c r="E145" s="561">
        <v>0</v>
      </c>
      <c r="F145" s="561">
        <f t="shared" si="4"/>
        <v>0</v>
      </c>
      <c r="G145" s="561">
        <v>0</v>
      </c>
      <c r="H145" s="561">
        <v>0</v>
      </c>
    </row>
    <row r="146" spans="1:8" x14ac:dyDescent="0.25">
      <c r="A146" s="593">
        <v>126</v>
      </c>
      <c r="B146" s="597" t="s">
        <v>302</v>
      </c>
      <c r="C146" s="602" t="s">
        <v>303</v>
      </c>
      <c r="D146" s="561">
        <v>0</v>
      </c>
      <c r="E146" s="561">
        <v>0</v>
      </c>
      <c r="F146" s="561">
        <f t="shared" si="4"/>
        <v>0</v>
      </c>
      <c r="G146" s="561">
        <v>0</v>
      </c>
      <c r="H146" s="561">
        <v>0</v>
      </c>
    </row>
    <row r="147" spans="1:8" x14ac:dyDescent="0.25">
      <c r="A147" s="146">
        <v>127</v>
      </c>
      <c r="B147" s="156" t="s">
        <v>304</v>
      </c>
      <c r="C147" s="151" t="s">
        <v>305</v>
      </c>
      <c r="D147" s="147">
        <v>0</v>
      </c>
      <c r="E147" s="147">
        <v>0</v>
      </c>
      <c r="F147" s="147">
        <f t="shared" si="4"/>
        <v>0</v>
      </c>
      <c r="G147" s="147">
        <v>0</v>
      </c>
      <c r="H147" s="147"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16">
    <mergeCell ref="A9:C9"/>
    <mergeCell ref="A90:A93"/>
    <mergeCell ref="B90:B93"/>
    <mergeCell ref="A1:H2"/>
    <mergeCell ref="A6:C6"/>
    <mergeCell ref="F4:H4"/>
    <mergeCell ref="E4:E5"/>
    <mergeCell ref="D4:D5"/>
    <mergeCell ref="C4:C5"/>
    <mergeCell ref="B4:B5"/>
    <mergeCell ref="A4:A5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E152"/>
  <sheetViews>
    <sheetView zoomScaleNormal="100" workbookViewId="0">
      <pane xSplit="3" ySplit="11" topLeftCell="D12" activePane="bottomRight" state="frozen"/>
      <selection activeCell="L21" sqref="L21"/>
      <selection pane="topRight" activeCell="L21" sqref="L21"/>
      <selection pane="bottomLeft" activeCell="L21" sqref="L21"/>
      <selection pane="bottomRight" activeCell="O66" sqref="O66"/>
    </sheetView>
  </sheetViews>
  <sheetFormatPr defaultRowHeight="12" x14ac:dyDescent="0.25"/>
  <cols>
    <col min="1" max="1" width="4.7109375" style="559" customWidth="1"/>
    <col min="2" max="2" width="9.28515625" style="559" customWidth="1"/>
    <col min="3" max="3" width="49.42578125" style="2" customWidth="1"/>
    <col min="4" max="4" width="9.42578125" style="2" customWidth="1"/>
    <col min="5" max="5" width="9.28515625" style="2" customWidth="1"/>
    <col min="6" max="6" width="28" style="2" customWidth="1"/>
    <col min="7" max="7" width="22.5703125" style="2" customWidth="1"/>
    <col min="8" max="9" width="13.140625" style="2" customWidth="1"/>
    <col min="10" max="10" width="8.28515625" style="2" customWidth="1"/>
    <col min="11" max="11" width="9.5703125" style="27" customWidth="1"/>
    <col min="12" max="12" width="10.7109375" style="27" customWidth="1"/>
    <col min="13" max="13" width="12.7109375" style="27" customWidth="1"/>
    <col min="14" max="14" width="8" style="27" bestFit="1" customWidth="1"/>
    <col min="15" max="15" width="10.5703125" style="27" customWidth="1"/>
    <col min="16" max="16384" width="9.140625" style="27"/>
  </cols>
  <sheetData>
    <row r="1" spans="1:16" x14ac:dyDescent="0.25">
      <c r="A1" s="1143" t="s">
        <v>766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</row>
    <row r="2" spans="1:16" x14ac:dyDescent="0.25">
      <c r="A2" s="1143"/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</row>
    <row r="3" spans="1:16" x14ac:dyDescent="0.25">
      <c r="A3" s="1168"/>
      <c r="B3" s="1168"/>
      <c r="C3" s="1168"/>
      <c r="D3" s="1168"/>
      <c r="E3" s="1168"/>
      <c r="F3" s="1168"/>
      <c r="G3" s="1168"/>
      <c r="H3" s="1168"/>
      <c r="I3" s="1168"/>
      <c r="J3" s="1168"/>
      <c r="K3" s="1168"/>
      <c r="L3" s="1168"/>
      <c r="M3" s="1168"/>
    </row>
    <row r="4" spans="1:16" x14ac:dyDescent="0.25">
      <c r="A4" s="887" t="s">
        <v>0</v>
      </c>
      <c r="B4" s="887" t="s">
        <v>1</v>
      </c>
      <c r="C4" s="887" t="s">
        <v>2</v>
      </c>
      <c r="D4" s="887" t="s">
        <v>413</v>
      </c>
      <c r="E4" s="1169" t="s">
        <v>6</v>
      </c>
      <c r="F4" s="1170"/>
      <c r="G4" s="1170"/>
      <c r="H4" s="1170"/>
      <c r="I4" s="1170"/>
      <c r="J4" s="1170"/>
      <c r="K4" s="1170"/>
      <c r="L4" s="1170"/>
      <c r="M4" s="1171"/>
    </row>
    <row r="5" spans="1:16" s="20" customFormat="1" x14ac:dyDescent="0.25">
      <c r="A5" s="887"/>
      <c r="B5" s="887"/>
      <c r="C5" s="887"/>
      <c r="D5" s="887"/>
      <c r="E5" s="1172" t="s">
        <v>531</v>
      </c>
      <c r="F5" s="1172"/>
      <c r="G5" s="1172"/>
      <c r="H5" s="1172"/>
      <c r="I5" s="1173"/>
      <c r="J5" s="1167" t="s">
        <v>532</v>
      </c>
      <c r="K5" s="1167"/>
      <c r="L5" s="1167"/>
      <c r="M5" s="1167"/>
    </row>
    <row r="6" spans="1:16" s="20" customFormat="1" ht="24" customHeight="1" x14ac:dyDescent="0.25">
      <c r="A6" s="887"/>
      <c r="B6" s="887"/>
      <c r="C6" s="887"/>
      <c r="D6" s="887"/>
      <c r="E6" s="1174" t="s">
        <v>46</v>
      </c>
      <c r="F6" s="555" t="s">
        <v>740</v>
      </c>
      <c r="G6" s="555" t="s">
        <v>741</v>
      </c>
      <c r="H6" s="1176" t="s">
        <v>773</v>
      </c>
      <c r="I6" s="1178" t="s">
        <v>742</v>
      </c>
      <c r="J6" s="887" t="s">
        <v>46</v>
      </c>
      <c r="K6" s="1167" t="s">
        <v>533</v>
      </c>
      <c r="L6" s="1167" t="s">
        <v>534</v>
      </c>
      <c r="M6" s="1167" t="s">
        <v>535</v>
      </c>
    </row>
    <row r="7" spans="1:16" ht="195.75" customHeight="1" x14ac:dyDescent="0.25">
      <c r="A7" s="887"/>
      <c r="B7" s="887"/>
      <c r="C7" s="887"/>
      <c r="D7" s="887"/>
      <c r="E7" s="1175"/>
      <c r="F7" s="556" t="s">
        <v>743</v>
      </c>
      <c r="G7" s="556" t="s">
        <v>744</v>
      </c>
      <c r="H7" s="1177"/>
      <c r="I7" s="1179"/>
      <c r="J7" s="887"/>
      <c r="K7" s="1167"/>
      <c r="L7" s="1167"/>
      <c r="M7" s="1167"/>
      <c r="N7" s="566"/>
      <c r="O7" s="566"/>
    </row>
    <row r="8" spans="1:16" s="20" customFormat="1" x14ac:dyDescent="0.25">
      <c r="A8" s="1134" t="s">
        <v>13</v>
      </c>
      <c r="B8" s="1134"/>
      <c r="C8" s="1134"/>
      <c r="D8" s="171">
        <f>E8+J8</f>
        <v>806628</v>
      </c>
      <c r="E8" s="171">
        <f>E11+E10+E9</f>
        <v>767908</v>
      </c>
      <c r="F8" s="171">
        <f t="shared" ref="F8:I8" si="0">F11+F10+F9</f>
        <v>400801</v>
      </c>
      <c r="G8" s="171">
        <f t="shared" si="0"/>
        <v>351233</v>
      </c>
      <c r="H8" s="171">
        <f t="shared" si="0"/>
        <v>15365</v>
      </c>
      <c r="I8" s="171">
        <f t="shared" si="0"/>
        <v>509</v>
      </c>
      <c r="J8" s="171">
        <f>J11+J10+J9</f>
        <v>38720</v>
      </c>
      <c r="K8" s="171">
        <f>K9+K10+K11</f>
        <v>4764</v>
      </c>
      <c r="L8" s="171">
        <f t="shared" ref="L8:M8" si="1">L9+L10+L11</f>
        <v>32152</v>
      </c>
      <c r="M8" s="171">
        <f t="shared" si="1"/>
        <v>1804</v>
      </c>
      <c r="N8" s="15"/>
      <c r="O8" s="15"/>
      <c r="P8" s="557"/>
    </row>
    <row r="9" spans="1:16" s="20" customFormat="1" x14ac:dyDescent="0.25">
      <c r="A9" s="558"/>
      <c r="B9" s="558"/>
      <c r="C9" s="17" t="s">
        <v>14</v>
      </c>
      <c r="D9" s="17"/>
      <c r="E9" s="17"/>
      <c r="F9" s="17"/>
      <c r="G9" s="17"/>
      <c r="H9" s="17"/>
      <c r="I9" s="17"/>
      <c r="J9" s="17"/>
      <c r="K9" s="147"/>
      <c r="L9" s="147"/>
      <c r="M9" s="147"/>
      <c r="N9" s="15"/>
      <c r="O9" s="15"/>
    </row>
    <row r="10" spans="1:16" s="20" customFormat="1" x14ac:dyDescent="0.25">
      <c r="A10" s="558"/>
      <c r="B10" s="558"/>
      <c r="C10" s="17" t="s">
        <v>546</v>
      </c>
      <c r="D10" s="17"/>
      <c r="E10" s="17"/>
      <c r="F10" s="17"/>
      <c r="G10" s="17"/>
      <c r="H10" s="17"/>
      <c r="I10" s="17"/>
      <c r="J10" s="17"/>
      <c r="K10" s="147"/>
      <c r="L10" s="147"/>
      <c r="M10" s="147"/>
      <c r="N10" s="15"/>
      <c r="O10" s="15"/>
    </row>
    <row r="11" spans="1:16" s="20" customFormat="1" x14ac:dyDescent="0.25">
      <c r="A11" s="1134" t="s">
        <v>15</v>
      </c>
      <c r="B11" s="1134"/>
      <c r="C11" s="1134"/>
      <c r="D11" s="171">
        <f t="shared" ref="D11:M11" si="2">SUM(D12:D149)-D37-D75-D76-D78-D79-D80-D85-D88-D92</f>
        <v>806628</v>
      </c>
      <c r="E11" s="171">
        <f t="shared" si="2"/>
        <v>767908</v>
      </c>
      <c r="F11" s="171">
        <f t="shared" si="2"/>
        <v>400801</v>
      </c>
      <c r="G11" s="171">
        <f t="shared" si="2"/>
        <v>351233</v>
      </c>
      <c r="H11" s="171">
        <f t="shared" si="2"/>
        <v>15365</v>
      </c>
      <c r="I11" s="171">
        <f t="shared" si="2"/>
        <v>509</v>
      </c>
      <c r="J11" s="171">
        <f t="shared" si="2"/>
        <v>38720</v>
      </c>
      <c r="K11" s="171">
        <f t="shared" si="2"/>
        <v>4764</v>
      </c>
      <c r="L11" s="171">
        <f t="shared" si="2"/>
        <v>32152</v>
      </c>
      <c r="M11" s="171">
        <f t="shared" si="2"/>
        <v>1804</v>
      </c>
      <c r="N11" s="15"/>
      <c r="O11" s="15"/>
    </row>
    <row r="12" spans="1:16" x14ac:dyDescent="0.25">
      <c r="A12" s="593">
        <v>1</v>
      </c>
      <c r="B12" s="71" t="s">
        <v>54</v>
      </c>
      <c r="C12" s="31" t="s">
        <v>55</v>
      </c>
      <c r="D12" s="560">
        <f>E12+J12</f>
        <v>5672</v>
      </c>
      <c r="E12" s="560">
        <f>F12+G12+H12+I12</f>
        <v>5666</v>
      </c>
      <c r="F12" s="560">
        <v>3897</v>
      </c>
      <c r="G12" s="560">
        <v>1720</v>
      </c>
      <c r="H12" s="560">
        <v>49</v>
      </c>
      <c r="I12" s="560">
        <v>0</v>
      </c>
      <c r="J12" s="560">
        <f>K12+L12+M12</f>
        <v>6</v>
      </c>
      <c r="K12" s="561">
        <v>0</v>
      </c>
      <c r="L12" s="561">
        <v>0</v>
      </c>
      <c r="M12" s="561">
        <v>6</v>
      </c>
      <c r="N12" s="15"/>
      <c r="O12" s="15"/>
    </row>
    <row r="13" spans="1:16" x14ac:dyDescent="0.25">
      <c r="A13" s="593">
        <v>2</v>
      </c>
      <c r="B13" s="72" t="s">
        <v>56</v>
      </c>
      <c r="C13" s="31" t="s">
        <v>57</v>
      </c>
      <c r="D13" s="560">
        <f t="shared" ref="D13:D43" si="3">E13+J13</f>
        <v>3923</v>
      </c>
      <c r="E13" s="560">
        <f t="shared" ref="E13:E79" si="4">F13+G13+H13+I13</f>
        <v>3270</v>
      </c>
      <c r="F13" s="560">
        <v>1535</v>
      </c>
      <c r="G13" s="560">
        <v>1691</v>
      </c>
      <c r="H13" s="560">
        <v>44</v>
      </c>
      <c r="I13" s="560">
        <v>0</v>
      </c>
      <c r="J13" s="560">
        <f t="shared" ref="J13:J79" si="5">K13+L13+M13</f>
        <v>653</v>
      </c>
      <c r="K13" s="561">
        <v>69</v>
      </c>
      <c r="L13" s="561">
        <v>580</v>
      </c>
      <c r="M13" s="561">
        <v>4</v>
      </c>
      <c r="N13" s="15"/>
      <c r="O13" s="15"/>
    </row>
    <row r="14" spans="1:16" x14ac:dyDescent="0.25">
      <c r="A14" s="593">
        <v>3</v>
      </c>
      <c r="B14" s="611" t="s">
        <v>16</v>
      </c>
      <c r="C14" s="31" t="s">
        <v>17</v>
      </c>
      <c r="D14" s="560">
        <f t="shared" si="3"/>
        <v>12562</v>
      </c>
      <c r="E14" s="560">
        <f t="shared" si="4"/>
        <v>11797</v>
      </c>
      <c r="F14" s="560">
        <v>5773</v>
      </c>
      <c r="G14" s="560">
        <v>5791</v>
      </c>
      <c r="H14" s="560">
        <v>233</v>
      </c>
      <c r="I14" s="560">
        <v>0</v>
      </c>
      <c r="J14" s="560">
        <f t="shared" si="5"/>
        <v>765</v>
      </c>
      <c r="K14" s="561">
        <f>111-22</f>
        <v>89</v>
      </c>
      <c r="L14" s="561">
        <v>644</v>
      </c>
      <c r="M14" s="561">
        <v>32</v>
      </c>
      <c r="N14" s="15"/>
      <c r="O14" s="15"/>
    </row>
    <row r="15" spans="1:16" x14ac:dyDescent="0.25">
      <c r="A15" s="593">
        <v>4</v>
      </c>
      <c r="B15" s="71" t="s">
        <v>58</v>
      </c>
      <c r="C15" s="31" t="s">
        <v>59</v>
      </c>
      <c r="D15" s="560">
        <f t="shared" si="3"/>
        <v>4340</v>
      </c>
      <c r="E15" s="560">
        <f t="shared" si="4"/>
        <v>4332</v>
      </c>
      <c r="F15" s="560">
        <v>2278</v>
      </c>
      <c r="G15" s="560">
        <v>2012</v>
      </c>
      <c r="H15" s="560">
        <v>42</v>
      </c>
      <c r="I15" s="560">
        <v>0</v>
      </c>
      <c r="J15" s="560">
        <f t="shared" si="5"/>
        <v>8</v>
      </c>
      <c r="K15" s="561">
        <v>0</v>
      </c>
      <c r="L15" s="561">
        <v>0</v>
      </c>
      <c r="M15" s="561">
        <v>8</v>
      </c>
      <c r="N15" s="15"/>
      <c r="O15" s="15"/>
    </row>
    <row r="16" spans="1:16" x14ac:dyDescent="0.25">
      <c r="A16" s="593">
        <v>5</v>
      </c>
      <c r="B16" s="71" t="s">
        <v>60</v>
      </c>
      <c r="C16" s="31" t="s">
        <v>61</v>
      </c>
      <c r="D16" s="560">
        <f t="shared" si="3"/>
        <v>4947</v>
      </c>
      <c r="E16" s="560">
        <f t="shared" si="4"/>
        <v>4942</v>
      </c>
      <c r="F16" s="560">
        <v>2960</v>
      </c>
      <c r="G16" s="560">
        <v>1931</v>
      </c>
      <c r="H16" s="560">
        <v>51</v>
      </c>
      <c r="I16" s="560">
        <v>0</v>
      </c>
      <c r="J16" s="560">
        <f t="shared" si="5"/>
        <v>5</v>
      </c>
      <c r="K16" s="561">
        <v>0</v>
      </c>
      <c r="L16" s="561">
        <v>0</v>
      </c>
      <c r="M16" s="561">
        <v>5</v>
      </c>
      <c r="N16" s="15"/>
      <c r="O16" s="15"/>
    </row>
    <row r="17" spans="1:15" x14ac:dyDescent="0.25">
      <c r="A17" s="593">
        <v>6</v>
      </c>
      <c r="B17" s="611" t="s">
        <v>18</v>
      </c>
      <c r="C17" s="31" t="s">
        <v>19</v>
      </c>
      <c r="D17" s="560">
        <f t="shared" si="3"/>
        <v>26893</v>
      </c>
      <c r="E17" s="560">
        <f t="shared" si="4"/>
        <v>25099</v>
      </c>
      <c r="F17" s="560">
        <v>14264</v>
      </c>
      <c r="G17" s="560">
        <v>10153</v>
      </c>
      <c r="H17" s="560">
        <v>682</v>
      </c>
      <c r="I17" s="560">
        <v>0</v>
      </c>
      <c r="J17" s="560">
        <f t="shared" si="5"/>
        <v>1794</v>
      </c>
      <c r="K17" s="561">
        <v>178</v>
      </c>
      <c r="L17" s="561">
        <v>1532</v>
      </c>
      <c r="M17" s="561">
        <v>84</v>
      </c>
      <c r="N17" s="15"/>
      <c r="O17" s="15"/>
    </row>
    <row r="18" spans="1:15" x14ac:dyDescent="0.25">
      <c r="A18" s="593">
        <v>7</v>
      </c>
      <c r="B18" s="71" t="s">
        <v>62</v>
      </c>
      <c r="C18" s="31" t="s">
        <v>63</v>
      </c>
      <c r="D18" s="560">
        <f t="shared" si="3"/>
        <v>9239</v>
      </c>
      <c r="E18" s="560">
        <f t="shared" si="4"/>
        <v>8343</v>
      </c>
      <c r="F18" s="560">
        <v>4239</v>
      </c>
      <c r="G18" s="560">
        <v>3979</v>
      </c>
      <c r="H18" s="560">
        <v>125</v>
      </c>
      <c r="I18" s="560">
        <v>0</v>
      </c>
      <c r="J18" s="560">
        <f t="shared" si="5"/>
        <v>896</v>
      </c>
      <c r="K18" s="561">
        <v>95</v>
      </c>
      <c r="L18" s="561">
        <v>787</v>
      </c>
      <c r="M18" s="561">
        <v>14</v>
      </c>
      <c r="N18" s="15"/>
      <c r="O18" s="15"/>
    </row>
    <row r="19" spans="1:15" x14ac:dyDescent="0.25">
      <c r="A19" s="593">
        <v>8</v>
      </c>
      <c r="B19" s="611" t="s">
        <v>64</v>
      </c>
      <c r="C19" s="31" t="s">
        <v>65</v>
      </c>
      <c r="D19" s="560">
        <f t="shared" si="3"/>
        <v>2639</v>
      </c>
      <c r="E19" s="560">
        <f t="shared" si="4"/>
        <v>2634</v>
      </c>
      <c r="F19" s="560">
        <v>1023</v>
      </c>
      <c r="G19" s="560">
        <v>1565</v>
      </c>
      <c r="H19" s="560">
        <v>46</v>
      </c>
      <c r="I19" s="560">
        <v>0</v>
      </c>
      <c r="J19" s="560">
        <f t="shared" si="5"/>
        <v>5</v>
      </c>
      <c r="K19" s="561">
        <v>0</v>
      </c>
      <c r="L19" s="561">
        <v>0</v>
      </c>
      <c r="M19" s="561">
        <v>5</v>
      </c>
      <c r="N19" s="15"/>
      <c r="O19" s="15"/>
    </row>
    <row r="20" spans="1:15" x14ac:dyDescent="0.25">
      <c r="A20" s="593">
        <v>9</v>
      </c>
      <c r="B20" s="611" t="s">
        <v>66</v>
      </c>
      <c r="C20" s="31" t="s">
        <v>67</v>
      </c>
      <c r="D20" s="560">
        <f t="shared" si="3"/>
        <v>5520</v>
      </c>
      <c r="E20" s="560">
        <f t="shared" si="4"/>
        <v>5293</v>
      </c>
      <c r="F20" s="560">
        <v>3091</v>
      </c>
      <c r="G20" s="560">
        <v>2147</v>
      </c>
      <c r="H20" s="560">
        <v>55</v>
      </c>
      <c r="I20" s="560">
        <v>0</v>
      </c>
      <c r="J20" s="560">
        <f t="shared" si="5"/>
        <v>227</v>
      </c>
      <c r="K20" s="561">
        <f>22</f>
        <v>22</v>
      </c>
      <c r="L20" s="561">
        <v>197</v>
      </c>
      <c r="M20" s="561">
        <v>8</v>
      </c>
      <c r="N20" s="15"/>
      <c r="O20" s="15"/>
    </row>
    <row r="21" spans="1:15" x14ac:dyDescent="0.25">
      <c r="A21" s="593">
        <v>10</v>
      </c>
      <c r="B21" s="611" t="s">
        <v>68</v>
      </c>
      <c r="C21" s="31" t="s">
        <v>69</v>
      </c>
      <c r="D21" s="560">
        <f t="shared" si="3"/>
        <v>5923</v>
      </c>
      <c r="E21" s="560">
        <f t="shared" si="4"/>
        <v>5911</v>
      </c>
      <c r="F21" s="560">
        <v>3373</v>
      </c>
      <c r="G21" s="560">
        <v>2478</v>
      </c>
      <c r="H21" s="560">
        <v>60</v>
      </c>
      <c r="I21" s="560">
        <v>0</v>
      </c>
      <c r="J21" s="560">
        <f t="shared" si="5"/>
        <v>12</v>
      </c>
      <c r="K21" s="561">
        <v>0</v>
      </c>
      <c r="L21" s="561">
        <v>0</v>
      </c>
      <c r="M21" s="561">
        <v>12</v>
      </c>
      <c r="N21" s="15"/>
      <c r="O21" s="15"/>
    </row>
    <row r="22" spans="1:15" x14ac:dyDescent="0.25">
      <c r="A22" s="593">
        <v>11</v>
      </c>
      <c r="B22" s="611" t="s">
        <v>70</v>
      </c>
      <c r="C22" s="31" t="s">
        <v>71</v>
      </c>
      <c r="D22" s="560">
        <f t="shared" si="3"/>
        <v>4843</v>
      </c>
      <c r="E22" s="560">
        <f t="shared" si="4"/>
        <v>4839</v>
      </c>
      <c r="F22" s="560">
        <v>2668</v>
      </c>
      <c r="G22" s="560">
        <v>2113</v>
      </c>
      <c r="H22" s="560">
        <v>58</v>
      </c>
      <c r="I22" s="560">
        <v>0</v>
      </c>
      <c r="J22" s="560">
        <f t="shared" si="5"/>
        <v>4</v>
      </c>
      <c r="K22" s="561">
        <v>0</v>
      </c>
      <c r="L22" s="561">
        <v>0</v>
      </c>
      <c r="M22" s="561">
        <v>4</v>
      </c>
      <c r="N22" s="15"/>
      <c r="O22" s="15"/>
    </row>
    <row r="23" spans="1:15" x14ac:dyDescent="0.25">
      <c r="A23" s="593">
        <v>12</v>
      </c>
      <c r="B23" s="611" t="s">
        <v>72</v>
      </c>
      <c r="C23" s="31" t="s">
        <v>73</v>
      </c>
      <c r="D23" s="560">
        <f t="shared" si="3"/>
        <v>7307</v>
      </c>
      <c r="E23" s="560">
        <f t="shared" si="4"/>
        <v>6532</v>
      </c>
      <c r="F23" s="560">
        <v>2871</v>
      </c>
      <c r="G23" s="560">
        <v>3545</v>
      </c>
      <c r="H23" s="560">
        <v>116</v>
      </c>
      <c r="I23" s="560">
        <v>0</v>
      </c>
      <c r="J23" s="560">
        <f t="shared" si="5"/>
        <v>775</v>
      </c>
      <c r="K23" s="561">
        <v>80</v>
      </c>
      <c r="L23" s="561">
        <v>682</v>
      </c>
      <c r="M23" s="561">
        <v>13</v>
      </c>
      <c r="N23" s="15"/>
      <c r="O23" s="15"/>
    </row>
    <row r="24" spans="1:15" x14ac:dyDescent="0.25">
      <c r="A24" s="593">
        <v>13</v>
      </c>
      <c r="B24" s="611" t="s">
        <v>74</v>
      </c>
      <c r="C24" s="31" t="s">
        <v>75</v>
      </c>
      <c r="D24" s="560">
        <f t="shared" si="3"/>
        <v>0</v>
      </c>
      <c r="E24" s="560">
        <f t="shared" si="4"/>
        <v>0</v>
      </c>
      <c r="F24" s="560">
        <v>0</v>
      </c>
      <c r="G24" s="560">
        <v>0</v>
      </c>
      <c r="H24" s="560">
        <v>0</v>
      </c>
      <c r="I24" s="560">
        <v>0</v>
      </c>
      <c r="J24" s="560">
        <f t="shared" si="5"/>
        <v>0</v>
      </c>
      <c r="K24" s="561">
        <v>0</v>
      </c>
      <c r="L24" s="561">
        <v>0</v>
      </c>
      <c r="M24" s="561">
        <v>0</v>
      </c>
      <c r="N24" s="15"/>
      <c r="O24" s="15"/>
    </row>
    <row r="25" spans="1:15" x14ac:dyDescent="0.25">
      <c r="A25" s="593">
        <v>14</v>
      </c>
      <c r="B25" s="611" t="s">
        <v>76</v>
      </c>
      <c r="C25" s="31" t="s">
        <v>77</v>
      </c>
      <c r="D25" s="560">
        <f t="shared" si="3"/>
        <v>5026</v>
      </c>
      <c r="E25" s="560">
        <f t="shared" si="4"/>
        <v>4721</v>
      </c>
      <c r="F25" s="560">
        <v>2478</v>
      </c>
      <c r="G25" s="560">
        <v>2154</v>
      </c>
      <c r="H25" s="560">
        <v>89</v>
      </c>
      <c r="I25" s="560">
        <v>0</v>
      </c>
      <c r="J25" s="560">
        <f t="shared" si="5"/>
        <v>305</v>
      </c>
      <c r="K25" s="561">
        <v>45</v>
      </c>
      <c r="L25" s="561">
        <v>251</v>
      </c>
      <c r="M25" s="561">
        <v>9</v>
      </c>
      <c r="N25" s="15"/>
      <c r="O25" s="15"/>
    </row>
    <row r="26" spans="1:15" x14ac:dyDescent="0.25">
      <c r="A26" s="593">
        <v>15</v>
      </c>
      <c r="B26" s="611" t="s">
        <v>78</v>
      </c>
      <c r="C26" s="31" t="s">
        <v>79</v>
      </c>
      <c r="D26" s="560">
        <f t="shared" si="3"/>
        <v>6386</v>
      </c>
      <c r="E26" s="560">
        <f t="shared" si="4"/>
        <v>6367</v>
      </c>
      <c r="F26" s="560">
        <v>3554</v>
      </c>
      <c r="G26" s="560">
        <v>2667</v>
      </c>
      <c r="H26" s="560">
        <v>146</v>
      </c>
      <c r="I26" s="560">
        <v>0</v>
      </c>
      <c r="J26" s="560">
        <f t="shared" si="5"/>
        <v>19</v>
      </c>
      <c r="K26" s="561">
        <v>0</v>
      </c>
      <c r="L26" s="561">
        <v>0</v>
      </c>
      <c r="M26" s="561">
        <v>19</v>
      </c>
      <c r="N26" s="15"/>
      <c r="O26" s="15"/>
    </row>
    <row r="27" spans="1:15" x14ac:dyDescent="0.25">
      <c r="A27" s="593">
        <v>16</v>
      </c>
      <c r="B27" s="611" t="s">
        <v>80</v>
      </c>
      <c r="C27" s="31" t="s">
        <v>81</v>
      </c>
      <c r="D27" s="560">
        <f t="shared" si="3"/>
        <v>7572</v>
      </c>
      <c r="E27" s="560">
        <f t="shared" si="4"/>
        <v>7551</v>
      </c>
      <c r="F27" s="560">
        <v>4171</v>
      </c>
      <c r="G27" s="560">
        <v>3192</v>
      </c>
      <c r="H27" s="560">
        <v>188</v>
      </c>
      <c r="I27" s="560">
        <v>0</v>
      </c>
      <c r="J27" s="560">
        <f t="shared" si="5"/>
        <v>21</v>
      </c>
      <c r="K27" s="561">
        <v>0</v>
      </c>
      <c r="L27" s="561">
        <v>0</v>
      </c>
      <c r="M27" s="561">
        <v>21</v>
      </c>
      <c r="N27" s="15"/>
      <c r="O27" s="15"/>
    </row>
    <row r="28" spans="1:15" x14ac:dyDescent="0.25">
      <c r="A28" s="593">
        <v>17</v>
      </c>
      <c r="B28" s="611" t="s">
        <v>20</v>
      </c>
      <c r="C28" s="31" t="s">
        <v>21</v>
      </c>
      <c r="D28" s="560">
        <f t="shared" si="3"/>
        <v>22482</v>
      </c>
      <c r="E28" s="560">
        <f t="shared" si="4"/>
        <v>21249</v>
      </c>
      <c r="F28" s="560">
        <v>8311</v>
      </c>
      <c r="G28" s="560">
        <v>12574</v>
      </c>
      <c r="H28" s="560">
        <v>364</v>
      </c>
      <c r="I28" s="560">
        <v>0</v>
      </c>
      <c r="J28" s="560">
        <f t="shared" si="5"/>
        <v>1233</v>
      </c>
      <c r="K28" s="561">
        <v>181</v>
      </c>
      <c r="L28" s="561">
        <v>1011</v>
      </c>
      <c r="M28" s="561">
        <v>41</v>
      </c>
      <c r="N28" s="15"/>
      <c r="O28" s="15"/>
    </row>
    <row r="29" spans="1:15" x14ac:dyDescent="0.25">
      <c r="A29" s="593">
        <v>18</v>
      </c>
      <c r="B29" s="71" t="s">
        <v>82</v>
      </c>
      <c r="C29" s="31" t="s">
        <v>83</v>
      </c>
      <c r="D29" s="560">
        <f t="shared" si="3"/>
        <v>2734</v>
      </c>
      <c r="E29" s="560">
        <f t="shared" si="4"/>
        <v>2731</v>
      </c>
      <c r="F29" s="560">
        <v>1383</v>
      </c>
      <c r="G29" s="560">
        <v>1253</v>
      </c>
      <c r="H29" s="560">
        <v>95</v>
      </c>
      <c r="I29" s="560">
        <v>0</v>
      </c>
      <c r="J29" s="560">
        <f t="shared" si="5"/>
        <v>3</v>
      </c>
      <c r="K29" s="561">
        <v>0</v>
      </c>
      <c r="L29" s="561">
        <v>0</v>
      </c>
      <c r="M29" s="561">
        <v>3</v>
      </c>
      <c r="N29" s="15"/>
      <c r="O29" s="15"/>
    </row>
    <row r="30" spans="1:15" x14ac:dyDescent="0.25">
      <c r="A30" s="593">
        <v>19</v>
      </c>
      <c r="B30" s="71" t="s">
        <v>84</v>
      </c>
      <c r="C30" s="31" t="s">
        <v>85</v>
      </c>
      <c r="D30" s="560">
        <f t="shared" si="3"/>
        <v>2219</v>
      </c>
      <c r="E30" s="560">
        <f t="shared" si="4"/>
        <v>2214</v>
      </c>
      <c r="F30" s="560">
        <v>1030</v>
      </c>
      <c r="G30" s="560">
        <v>1147</v>
      </c>
      <c r="H30" s="560">
        <v>37</v>
      </c>
      <c r="I30" s="560">
        <v>0</v>
      </c>
      <c r="J30" s="560">
        <f t="shared" si="5"/>
        <v>5</v>
      </c>
      <c r="K30" s="561">
        <v>0</v>
      </c>
      <c r="L30" s="561">
        <v>0</v>
      </c>
      <c r="M30" s="561">
        <v>5</v>
      </c>
      <c r="N30" s="15"/>
      <c r="O30" s="15"/>
    </row>
    <row r="31" spans="1:15" x14ac:dyDescent="0.25">
      <c r="A31" s="593">
        <v>20</v>
      </c>
      <c r="B31" s="71" t="s">
        <v>86</v>
      </c>
      <c r="C31" s="31" t="s">
        <v>87</v>
      </c>
      <c r="D31" s="560">
        <f t="shared" si="3"/>
        <v>16992</v>
      </c>
      <c r="E31" s="560">
        <f t="shared" si="4"/>
        <v>16253</v>
      </c>
      <c r="F31" s="560">
        <v>11166</v>
      </c>
      <c r="G31" s="560">
        <v>4830</v>
      </c>
      <c r="H31" s="560">
        <v>257</v>
      </c>
      <c r="I31" s="560">
        <v>0</v>
      </c>
      <c r="J31" s="560">
        <f t="shared" si="5"/>
        <v>739</v>
      </c>
      <c r="K31" s="561">
        <v>74</v>
      </c>
      <c r="L31" s="561">
        <v>637</v>
      </c>
      <c r="M31" s="561">
        <v>28</v>
      </c>
      <c r="N31" s="15"/>
      <c r="O31" s="15"/>
    </row>
    <row r="32" spans="1:15" x14ac:dyDescent="0.25">
      <c r="A32" s="593">
        <v>21</v>
      </c>
      <c r="B32" s="71" t="s">
        <v>22</v>
      </c>
      <c r="C32" s="31" t="s">
        <v>23</v>
      </c>
      <c r="D32" s="560">
        <f t="shared" si="3"/>
        <v>8123</v>
      </c>
      <c r="E32" s="560">
        <f t="shared" si="4"/>
        <v>7200</v>
      </c>
      <c r="F32" s="560">
        <v>3646</v>
      </c>
      <c r="G32" s="560">
        <v>3266</v>
      </c>
      <c r="H32" s="560">
        <v>285</v>
      </c>
      <c r="I32" s="560">
        <v>3</v>
      </c>
      <c r="J32" s="560">
        <f t="shared" si="5"/>
        <v>923</v>
      </c>
      <c r="K32" s="561">
        <v>118</v>
      </c>
      <c r="L32" s="561">
        <v>768</v>
      </c>
      <c r="M32" s="561">
        <v>37</v>
      </c>
      <c r="N32" s="15"/>
      <c r="O32" s="15"/>
    </row>
    <row r="33" spans="1:15" x14ac:dyDescent="0.25">
      <c r="A33" s="593">
        <v>22</v>
      </c>
      <c r="B33" s="611" t="s">
        <v>24</v>
      </c>
      <c r="C33" s="31" t="s">
        <v>25</v>
      </c>
      <c r="D33" s="560">
        <f t="shared" si="3"/>
        <v>1772</v>
      </c>
      <c r="E33" s="560">
        <f t="shared" si="4"/>
        <v>1765</v>
      </c>
      <c r="F33" s="560">
        <v>954</v>
      </c>
      <c r="G33" s="560">
        <v>769</v>
      </c>
      <c r="H33" s="560">
        <v>42</v>
      </c>
      <c r="I33" s="560">
        <v>0</v>
      </c>
      <c r="J33" s="560">
        <f t="shared" si="5"/>
        <v>7</v>
      </c>
      <c r="K33" s="561">
        <v>0</v>
      </c>
      <c r="L33" s="561">
        <v>0</v>
      </c>
      <c r="M33" s="561">
        <v>7</v>
      </c>
      <c r="N33" s="15"/>
      <c r="O33" s="15"/>
    </row>
    <row r="34" spans="1:15" x14ac:dyDescent="0.25">
      <c r="A34" s="593">
        <v>23</v>
      </c>
      <c r="B34" s="611" t="s">
        <v>88</v>
      </c>
      <c r="C34" s="31" t="s">
        <v>89</v>
      </c>
      <c r="D34" s="560">
        <f t="shared" si="3"/>
        <v>0</v>
      </c>
      <c r="E34" s="560">
        <f t="shared" si="4"/>
        <v>0</v>
      </c>
      <c r="F34" s="560">
        <v>0</v>
      </c>
      <c r="G34" s="560">
        <v>0</v>
      </c>
      <c r="H34" s="560">
        <v>0</v>
      </c>
      <c r="I34" s="560">
        <v>0</v>
      </c>
      <c r="J34" s="560">
        <f t="shared" si="5"/>
        <v>0</v>
      </c>
      <c r="K34" s="561">
        <v>0</v>
      </c>
      <c r="L34" s="561">
        <v>0</v>
      </c>
      <c r="M34" s="561">
        <v>0</v>
      </c>
      <c r="N34" s="15"/>
      <c r="O34" s="15"/>
    </row>
    <row r="35" spans="1:15" x14ac:dyDescent="0.25">
      <c r="A35" s="593">
        <v>24</v>
      </c>
      <c r="B35" s="611" t="s">
        <v>90</v>
      </c>
      <c r="C35" s="31" t="s">
        <v>91</v>
      </c>
      <c r="D35" s="560">
        <f t="shared" si="3"/>
        <v>0</v>
      </c>
      <c r="E35" s="560">
        <f t="shared" si="4"/>
        <v>0</v>
      </c>
      <c r="F35" s="560">
        <v>0</v>
      </c>
      <c r="G35" s="560">
        <v>0</v>
      </c>
      <c r="H35" s="560">
        <v>0</v>
      </c>
      <c r="I35" s="560">
        <v>0</v>
      </c>
      <c r="J35" s="560">
        <f t="shared" si="5"/>
        <v>0</v>
      </c>
      <c r="K35" s="561">
        <v>0</v>
      </c>
      <c r="L35" s="561">
        <v>0</v>
      </c>
      <c r="M35" s="561">
        <v>0</v>
      </c>
      <c r="N35" s="15"/>
      <c r="O35" s="15"/>
    </row>
    <row r="36" spans="1:15" ht="24" x14ac:dyDescent="0.25">
      <c r="A36" s="1135">
        <v>25</v>
      </c>
      <c r="B36" s="71" t="s">
        <v>92</v>
      </c>
      <c r="C36" s="145" t="s">
        <v>792</v>
      </c>
      <c r="D36" s="560">
        <f t="shared" si="3"/>
        <v>60611</v>
      </c>
      <c r="E36" s="560">
        <f t="shared" si="4"/>
        <v>57219</v>
      </c>
      <c r="F36" s="560">
        <v>26937</v>
      </c>
      <c r="G36" s="560">
        <v>28780</v>
      </c>
      <c r="H36" s="560">
        <v>1163</v>
      </c>
      <c r="I36" s="560">
        <v>339</v>
      </c>
      <c r="J36" s="560">
        <f t="shared" si="5"/>
        <v>3392</v>
      </c>
      <c r="K36" s="561">
        <v>421</v>
      </c>
      <c r="L36" s="561">
        <v>2817</v>
      </c>
      <c r="M36" s="561">
        <v>154</v>
      </c>
      <c r="N36" s="15"/>
      <c r="O36" s="15"/>
    </row>
    <row r="37" spans="1:15" x14ac:dyDescent="0.25">
      <c r="A37" s="1137"/>
      <c r="B37" s="611" t="s">
        <v>94</v>
      </c>
      <c r="C37" s="31" t="s">
        <v>95</v>
      </c>
      <c r="D37" s="560">
        <f t="shared" si="3"/>
        <v>166</v>
      </c>
      <c r="E37" s="560">
        <f t="shared" si="4"/>
        <v>133</v>
      </c>
      <c r="F37" s="560">
        <v>74</v>
      </c>
      <c r="G37" s="560">
        <v>39</v>
      </c>
      <c r="H37" s="560">
        <v>0</v>
      </c>
      <c r="I37" s="560">
        <v>20</v>
      </c>
      <c r="J37" s="560">
        <f t="shared" si="5"/>
        <v>33</v>
      </c>
      <c r="K37" s="561">
        <v>0</v>
      </c>
      <c r="L37" s="561">
        <v>0</v>
      </c>
      <c r="M37" s="561">
        <v>33</v>
      </c>
      <c r="N37" s="15"/>
      <c r="O37" s="15"/>
    </row>
    <row r="38" spans="1:15" x14ac:dyDescent="0.25">
      <c r="A38" s="593">
        <v>26</v>
      </c>
      <c r="B38" s="72" t="s">
        <v>96</v>
      </c>
      <c r="C38" s="31" t="s">
        <v>97</v>
      </c>
      <c r="D38" s="560">
        <f t="shared" si="3"/>
        <v>0</v>
      </c>
      <c r="E38" s="560">
        <f t="shared" si="4"/>
        <v>0</v>
      </c>
      <c r="F38" s="560">
        <v>0</v>
      </c>
      <c r="G38" s="560">
        <v>0</v>
      </c>
      <c r="H38" s="560">
        <v>0</v>
      </c>
      <c r="I38" s="560">
        <v>0</v>
      </c>
      <c r="J38" s="560">
        <f t="shared" si="5"/>
        <v>0</v>
      </c>
      <c r="K38" s="561">
        <v>0</v>
      </c>
      <c r="L38" s="561">
        <v>0</v>
      </c>
      <c r="M38" s="561">
        <v>0</v>
      </c>
      <c r="N38" s="15"/>
      <c r="O38" s="15"/>
    </row>
    <row r="39" spans="1:15" x14ac:dyDescent="0.25">
      <c r="A39" s="593">
        <v>27</v>
      </c>
      <c r="B39" s="72" t="s">
        <v>26</v>
      </c>
      <c r="C39" s="31" t="s">
        <v>27</v>
      </c>
      <c r="D39" s="560">
        <f t="shared" si="3"/>
        <v>15114</v>
      </c>
      <c r="E39" s="560">
        <f t="shared" si="4"/>
        <v>14301</v>
      </c>
      <c r="F39" s="560">
        <v>6528</v>
      </c>
      <c r="G39" s="560">
        <v>7551</v>
      </c>
      <c r="H39" s="560">
        <v>222</v>
      </c>
      <c r="I39" s="560">
        <v>0</v>
      </c>
      <c r="J39" s="560">
        <f t="shared" si="5"/>
        <v>813</v>
      </c>
      <c r="K39" s="561">
        <v>93</v>
      </c>
      <c r="L39" s="561">
        <v>696</v>
      </c>
      <c r="M39" s="561">
        <v>24</v>
      </c>
      <c r="N39" s="15"/>
      <c r="O39" s="15"/>
    </row>
    <row r="40" spans="1:15" x14ac:dyDescent="0.25">
      <c r="A40" s="593">
        <v>28</v>
      </c>
      <c r="B40" s="71" t="s">
        <v>98</v>
      </c>
      <c r="C40" s="31" t="s">
        <v>99</v>
      </c>
      <c r="D40" s="560">
        <f t="shared" si="3"/>
        <v>25225</v>
      </c>
      <c r="E40" s="560">
        <f t="shared" si="4"/>
        <v>23752</v>
      </c>
      <c r="F40" s="560">
        <v>12817</v>
      </c>
      <c r="G40" s="560">
        <v>10405</v>
      </c>
      <c r="H40" s="560">
        <v>530</v>
      </c>
      <c r="I40" s="560">
        <v>0</v>
      </c>
      <c r="J40" s="560">
        <f t="shared" si="5"/>
        <v>1473</v>
      </c>
      <c r="K40" s="561">
        <v>142</v>
      </c>
      <c r="L40" s="561">
        <v>1284</v>
      </c>
      <c r="M40" s="561">
        <v>47</v>
      </c>
      <c r="N40" s="15"/>
      <c r="O40" s="15"/>
    </row>
    <row r="41" spans="1:15" x14ac:dyDescent="0.25">
      <c r="A41" s="593">
        <v>29</v>
      </c>
      <c r="B41" s="72" t="s">
        <v>100</v>
      </c>
      <c r="C41" s="31" t="s">
        <v>101</v>
      </c>
      <c r="D41" s="560">
        <f t="shared" si="3"/>
        <v>3727</v>
      </c>
      <c r="E41" s="560">
        <f t="shared" si="4"/>
        <v>3720</v>
      </c>
      <c r="F41" s="560">
        <v>1596</v>
      </c>
      <c r="G41" s="560">
        <v>2065</v>
      </c>
      <c r="H41" s="560">
        <v>59</v>
      </c>
      <c r="I41" s="560">
        <v>0</v>
      </c>
      <c r="J41" s="560">
        <f t="shared" si="5"/>
        <v>7</v>
      </c>
      <c r="K41" s="561">
        <v>0</v>
      </c>
      <c r="L41" s="561">
        <v>0</v>
      </c>
      <c r="M41" s="561">
        <v>7</v>
      </c>
      <c r="N41" s="15"/>
      <c r="O41" s="15"/>
    </row>
    <row r="42" spans="1:15" x14ac:dyDescent="0.25">
      <c r="A42" s="593">
        <v>30</v>
      </c>
      <c r="B42" s="611" t="s">
        <v>102</v>
      </c>
      <c r="C42" s="31" t="s">
        <v>103</v>
      </c>
      <c r="D42" s="560">
        <f t="shared" si="3"/>
        <v>16141</v>
      </c>
      <c r="E42" s="560">
        <f t="shared" si="4"/>
        <v>15298</v>
      </c>
      <c r="F42" s="560">
        <v>9313</v>
      </c>
      <c r="G42" s="560">
        <v>5710</v>
      </c>
      <c r="H42" s="560">
        <v>270</v>
      </c>
      <c r="I42" s="560">
        <v>5</v>
      </c>
      <c r="J42" s="560">
        <f t="shared" si="5"/>
        <v>843</v>
      </c>
      <c r="K42" s="561">
        <v>104</v>
      </c>
      <c r="L42" s="561">
        <v>710</v>
      </c>
      <c r="M42" s="561">
        <v>29</v>
      </c>
      <c r="N42" s="15"/>
      <c r="O42" s="15"/>
    </row>
    <row r="43" spans="1:15" x14ac:dyDescent="0.25">
      <c r="A43" s="593">
        <v>31</v>
      </c>
      <c r="B43" s="72" t="s">
        <v>104</v>
      </c>
      <c r="C43" s="31" t="s">
        <v>105</v>
      </c>
      <c r="D43" s="560">
        <f t="shared" si="3"/>
        <v>6598</v>
      </c>
      <c r="E43" s="560">
        <f t="shared" si="4"/>
        <v>6242</v>
      </c>
      <c r="F43" s="560">
        <v>3814</v>
      </c>
      <c r="G43" s="560">
        <v>2311</v>
      </c>
      <c r="H43" s="560">
        <v>116</v>
      </c>
      <c r="I43" s="560">
        <v>1</v>
      </c>
      <c r="J43" s="560">
        <f t="shared" si="5"/>
        <v>356</v>
      </c>
      <c r="K43" s="561">
        <v>32</v>
      </c>
      <c r="L43" s="561">
        <v>311</v>
      </c>
      <c r="M43" s="561">
        <v>13</v>
      </c>
      <c r="N43" s="15"/>
      <c r="O43" s="15"/>
    </row>
    <row r="44" spans="1:15" x14ac:dyDescent="0.25">
      <c r="A44" s="593">
        <v>32</v>
      </c>
      <c r="B44" s="71" t="s">
        <v>106</v>
      </c>
      <c r="C44" s="31" t="s">
        <v>107</v>
      </c>
      <c r="D44" s="560">
        <f t="shared" ref="D44:D80" si="6">E44+J44</f>
        <v>13218</v>
      </c>
      <c r="E44" s="560">
        <f t="shared" si="4"/>
        <v>12131</v>
      </c>
      <c r="F44" s="560">
        <v>6468</v>
      </c>
      <c r="G44" s="560">
        <v>5357</v>
      </c>
      <c r="H44" s="560">
        <v>295</v>
      </c>
      <c r="I44" s="560">
        <v>11</v>
      </c>
      <c r="J44" s="560">
        <f t="shared" si="5"/>
        <v>1087</v>
      </c>
      <c r="K44" s="561">
        <v>73</v>
      </c>
      <c r="L44" s="561">
        <v>979</v>
      </c>
      <c r="M44" s="561">
        <v>35</v>
      </c>
      <c r="N44" s="15"/>
      <c r="O44" s="15"/>
    </row>
    <row r="45" spans="1:15" x14ac:dyDescent="0.25">
      <c r="A45" s="593">
        <v>33</v>
      </c>
      <c r="B45" s="594" t="s">
        <v>108</v>
      </c>
      <c r="C45" s="595" t="s">
        <v>109</v>
      </c>
      <c r="D45" s="560">
        <f t="shared" si="6"/>
        <v>5354</v>
      </c>
      <c r="E45" s="560">
        <f t="shared" si="4"/>
        <v>4852</v>
      </c>
      <c r="F45" s="560">
        <v>2421</v>
      </c>
      <c r="G45" s="560">
        <v>2365</v>
      </c>
      <c r="H45" s="560">
        <v>66</v>
      </c>
      <c r="I45" s="560">
        <v>0</v>
      </c>
      <c r="J45" s="560">
        <f t="shared" si="5"/>
        <v>502</v>
      </c>
      <c r="K45" s="561">
        <v>59</v>
      </c>
      <c r="L45" s="561">
        <v>440</v>
      </c>
      <c r="M45" s="561">
        <v>3</v>
      </c>
      <c r="N45" s="15"/>
      <c r="O45" s="15"/>
    </row>
    <row r="46" spans="1:15" x14ac:dyDescent="0.25">
      <c r="A46" s="593">
        <v>34</v>
      </c>
      <c r="B46" s="71" t="s">
        <v>110</v>
      </c>
      <c r="C46" s="31" t="s">
        <v>111</v>
      </c>
      <c r="D46" s="560">
        <f t="shared" si="6"/>
        <v>4584</v>
      </c>
      <c r="E46" s="560">
        <f t="shared" si="4"/>
        <v>4583</v>
      </c>
      <c r="F46" s="560">
        <v>2995</v>
      </c>
      <c r="G46" s="560">
        <v>1549</v>
      </c>
      <c r="H46" s="560">
        <v>39</v>
      </c>
      <c r="I46" s="560">
        <v>0</v>
      </c>
      <c r="J46" s="560">
        <f t="shared" si="5"/>
        <v>1</v>
      </c>
      <c r="K46" s="561">
        <v>0</v>
      </c>
      <c r="L46" s="561">
        <v>0</v>
      </c>
      <c r="M46" s="561">
        <v>1</v>
      </c>
      <c r="N46" s="15"/>
      <c r="O46" s="15"/>
    </row>
    <row r="47" spans="1:15" x14ac:dyDescent="0.25">
      <c r="A47" s="593">
        <v>35</v>
      </c>
      <c r="B47" s="71" t="s">
        <v>112</v>
      </c>
      <c r="C47" s="31" t="s">
        <v>113</v>
      </c>
      <c r="D47" s="560">
        <f t="shared" si="6"/>
        <v>8222</v>
      </c>
      <c r="E47" s="560">
        <f t="shared" si="4"/>
        <v>8216</v>
      </c>
      <c r="F47" s="560">
        <v>4961</v>
      </c>
      <c r="G47" s="560">
        <v>3167</v>
      </c>
      <c r="H47" s="560">
        <v>88</v>
      </c>
      <c r="I47" s="560">
        <v>0</v>
      </c>
      <c r="J47" s="560">
        <f t="shared" si="5"/>
        <v>6</v>
      </c>
      <c r="K47" s="561">
        <v>0</v>
      </c>
      <c r="L47" s="561">
        <v>0</v>
      </c>
      <c r="M47" s="561">
        <v>6</v>
      </c>
      <c r="N47" s="15"/>
      <c r="O47" s="15"/>
    </row>
    <row r="48" spans="1:15" x14ac:dyDescent="0.25">
      <c r="A48" s="593">
        <v>36</v>
      </c>
      <c r="B48" s="611" t="s">
        <v>114</v>
      </c>
      <c r="C48" s="31" t="s">
        <v>115</v>
      </c>
      <c r="D48" s="560">
        <f t="shared" si="6"/>
        <v>3093</v>
      </c>
      <c r="E48" s="560">
        <f t="shared" si="4"/>
        <v>3090</v>
      </c>
      <c r="F48" s="560">
        <v>1811</v>
      </c>
      <c r="G48" s="560">
        <v>1252</v>
      </c>
      <c r="H48" s="560">
        <v>27</v>
      </c>
      <c r="I48" s="560">
        <v>0</v>
      </c>
      <c r="J48" s="560">
        <f t="shared" si="5"/>
        <v>3</v>
      </c>
      <c r="K48" s="561">
        <v>0</v>
      </c>
      <c r="L48" s="561">
        <v>0</v>
      </c>
      <c r="M48" s="561">
        <v>3</v>
      </c>
      <c r="N48" s="15"/>
      <c r="O48" s="15"/>
    </row>
    <row r="49" spans="1:15" x14ac:dyDescent="0.25">
      <c r="A49" s="593">
        <v>37</v>
      </c>
      <c r="B49" s="72" t="s">
        <v>116</v>
      </c>
      <c r="C49" s="31" t="s">
        <v>117</v>
      </c>
      <c r="D49" s="560">
        <f t="shared" si="6"/>
        <v>2215</v>
      </c>
      <c r="E49" s="560">
        <f t="shared" si="4"/>
        <v>2215</v>
      </c>
      <c r="F49" s="560">
        <v>895</v>
      </c>
      <c r="G49" s="560">
        <v>1320</v>
      </c>
      <c r="H49" s="560">
        <v>0</v>
      </c>
      <c r="I49" s="560">
        <v>0</v>
      </c>
      <c r="J49" s="560">
        <f t="shared" si="5"/>
        <v>0</v>
      </c>
      <c r="K49" s="561">
        <v>0</v>
      </c>
      <c r="L49" s="561">
        <v>0</v>
      </c>
      <c r="M49" s="561">
        <v>0</v>
      </c>
      <c r="N49" s="15"/>
      <c r="O49" s="15"/>
    </row>
    <row r="50" spans="1:15" x14ac:dyDescent="0.25">
      <c r="A50" s="593">
        <v>38</v>
      </c>
      <c r="B50" s="611" t="s">
        <v>28</v>
      </c>
      <c r="C50" s="31" t="s">
        <v>29</v>
      </c>
      <c r="D50" s="560">
        <f t="shared" si="6"/>
        <v>20890</v>
      </c>
      <c r="E50" s="560">
        <f t="shared" si="4"/>
        <v>19884</v>
      </c>
      <c r="F50" s="560">
        <v>9194</v>
      </c>
      <c r="G50" s="560">
        <v>10231</v>
      </c>
      <c r="H50" s="560">
        <v>456</v>
      </c>
      <c r="I50" s="560">
        <v>3</v>
      </c>
      <c r="J50" s="560">
        <f t="shared" si="5"/>
        <v>1006</v>
      </c>
      <c r="K50" s="561">
        <v>140</v>
      </c>
      <c r="L50" s="561">
        <v>816</v>
      </c>
      <c r="M50" s="561">
        <v>50</v>
      </c>
      <c r="N50" s="15"/>
      <c r="O50" s="15"/>
    </row>
    <row r="51" spans="1:15" x14ac:dyDescent="0.25">
      <c r="A51" s="593">
        <v>39</v>
      </c>
      <c r="B51" s="71" t="s">
        <v>118</v>
      </c>
      <c r="C51" s="31" t="s">
        <v>119</v>
      </c>
      <c r="D51" s="560">
        <f t="shared" si="6"/>
        <v>4313</v>
      </c>
      <c r="E51" s="560">
        <f t="shared" si="4"/>
        <v>4303</v>
      </c>
      <c r="F51" s="560">
        <v>1796</v>
      </c>
      <c r="G51" s="560">
        <v>2449</v>
      </c>
      <c r="H51" s="560">
        <v>58</v>
      </c>
      <c r="I51" s="560">
        <v>0</v>
      </c>
      <c r="J51" s="560">
        <f t="shared" si="5"/>
        <v>10</v>
      </c>
      <c r="K51" s="561">
        <v>0</v>
      </c>
      <c r="L51" s="561">
        <v>0</v>
      </c>
      <c r="M51" s="561">
        <v>10</v>
      </c>
      <c r="N51" s="15"/>
      <c r="O51" s="15"/>
    </row>
    <row r="52" spans="1:15" x14ac:dyDescent="0.25">
      <c r="A52" s="593">
        <v>40</v>
      </c>
      <c r="B52" s="71" t="s">
        <v>120</v>
      </c>
      <c r="C52" s="31" t="s">
        <v>121</v>
      </c>
      <c r="D52" s="560">
        <f t="shared" si="6"/>
        <v>18169</v>
      </c>
      <c r="E52" s="560">
        <f t="shared" si="4"/>
        <v>17157</v>
      </c>
      <c r="F52" s="560">
        <v>7745</v>
      </c>
      <c r="G52" s="560">
        <v>9097</v>
      </c>
      <c r="H52" s="560">
        <v>315</v>
      </c>
      <c r="I52" s="560">
        <v>0</v>
      </c>
      <c r="J52" s="560">
        <f t="shared" si="5"/>
        <v>1012</v>
      </c>
      <c r="K52" s="561">
        <v>108</v>
      </c>
      <c r="L52" s="561">
        <v>868</v>
      </c>
      <c r="M52" s="561">
        <v>36</v>
      </c>
      <c r="N52" s="15"/>
      <c r="O52" s="15"/>
    </row>
    <row r="53" spans="1:15" x14ac:dyDescent="0.25">
      <c r="A53" s="593">
        <v>41</v>
      </c>
      <c r="B53" s="611" t="s">
        <v>122</v>
      </c>
      <c r="C53" s="31" t="s">
        <v>123</v>
      </c>
      <c r="D53" s="560">
        <f t="shared" si="6"/>
        <v>3892</v>
      </c>
      <c r="E53" s="560">
        <f t="shared" si="4"/>
        <v>3887</v>
      </c>
      <c r="F53" s="560">
        <v>2243</v>
      </c>
      <c r="G53" s="560">
        <v>1608</v>
      </c>
      <c r="H53" s="560">
        <v>36</v>
      </c>
      <c r="I53" s="560">
        <v>0</v>
      </c>
      <c r="J53" s="560">
        <f t="shared" si="5"/>
        <v>5</v>
      </c>
      <c r="K53" s="561">
        <v>0</v>
      </c>
      <c r="L53" s="561">
        <v>0</v>
      </c>
      <c r="M53" s="561">
        <v>5</v>
      </c>
      <c r="N53" s="15"/>
      <c r="O53" s="15"/>
    </row>
    <row r="54" spans="1:15" x14ac:dyDescent="0.25">
      <c r="A54" s="593">
        <v>42</v>
      </c>
      <c r="B54" s="72" t="s">
        <v>124</v>
      </c>
      <c r="C54" s="31" t="s">
        <v>125</v>
      </c>
      <c r="D54" s="560">
        <f>E54+J54</f>
        <v>4743</v>
      </c>
      <c r="E54" s="560">
        <f>F54+G54+H54+I54</f>
        <v>4384</v>
      </c>
      <c r="F54" s="560">
        <v>2363</v>
      </c>
      <c r="G54" s="560">
        <v>1959</v>
      </c>
      <c r="H54" s="560">
        <v>62</v>
      </c>
      <c r="I54" s="560">
        <v>0</v>
      </c>
      <c r="J54" s="560">
        <f>K54+L54+M54</f>
        <v>359</v>
      </c>
      <c r="K54" s="561">
        <f>70-36</f>
        <v>34</v>
      </c>
      <c r="L54" s="561">
        <v>320</v>
      </c>
      <c r="M54" s="561">
        <v>5</v>
      </c>
      <c r="N54" s="15"/>
      <c r="O54" s="15"/>
    </row>
    <row r="55" spans="1:15" x14ac:dyDescent="0.25">
      <c r="A55" s="593">
        <v>43</v>
      </c>
      <c r="B55" s="611" t="s">
        <v>126</v>
      </c>
      <c r="C55" s="31" t="s">
        <v>127</v>
      </c>
      <c r="D55" s="560">
        <f t="shared" si="6"/>
        <v>5624</v>
      </c>
      <c r="E55" s="560">
        <f t="shared" si="4"/>
        <v>5611</v>
      </c>
      <c r="F55" s="560">
        <v>2877</v>
      </c>
      <c r="G55" s="560">
        <v>2654</v>
      </c>
      <c r="H55" s="560">
        <v>80</v>
      </c>
      <c r="I55" s="560">
        <v>0</v>
      </c>
      <c r="J55" s="560">
        <f t="shared" si="5"/>
        <v>13</v>
      </c>
      <c r="K55" s="561">
        <v>0</v>
      </c>
      <c r="L55" s="561">
        <v>0</v>
      </c>
      <c r="M55" s="561">
        <v>13</v>
      </c>
      <c r="N55" s="15"/>
      <c r="O55" s="15"/>
    </row>
    <row r="56" spans="1:15" x14ac:dyDescent="0.25">
      <c r="A56" s="593">
        <v>44</v>
      </c>
      <c r="B56" s="72" t="s">
        <v>128</v>
      </c>
      <c r="C56" s="31" t="s">
        <v>129</v>
      </c>
      <c r="D56" s="560">
        <f t="shared" si="6"/>
        <v>8041</v>
      </c>
      <c r="E56" s="560">
        <f t="shared" si="4"/>
        <v>7622</v>
      </c>
      <c r="F56" s="560">
        <v>4886</v>
      </c>
      <c r="G56" s="560">
        <v>2626</v>
      </c>
      <c r="H56" s="560">
        <v>110</v>
      </c>
      <c r="I56" s="560">
        <v>0</v>
      </c>
      <c r="J56" s="560">
        <f t="shared" si="5"/>
        <v>419</v>
      </c>
      <c r="K56" s="561">
        <f>36</f>
        <v>36</v>
      </c>
      <c r="L56" s="561">
        <v>368</v>
      </c>
      <c r="M56" s="561">
        <v>15</v>
      </c>
      <c r="N56" s="15"/>
      <c r="O56" s="15"/>
    </row>
    <row r="57" spans="1:15" x14ac:dyDescent="0.25">
      <c r="A57" s="593">
        <v>45</v>
      </c>
      <c r="B57" s="611" t="s">
        <v>130</v>
      </c>
      <c r="C57" s="31" t="s">
        <v>131</v>
      </c>
      <c r="D57" s="560">
        <f t="shared" si="6"/>
        <v>2740</v>
      </c>
      <c r="E57" s="560">
        <f t="shared" si="4"/>
        <v>2736</v>
      </c>
      <c r="F57" s="560">
        <v>1554</v>
      </c>
      <c r="G57" s="560">
        <v>1167</v>
      </c>
      <c r="H57" s="560">
        <v>15</v>
      </c>
      <c r="I57" s="560">
        <v>0</v>
      </c>
      <c r="J57" s="560">
        <f t="shared" si="5"/>
        <v>4</v>
      </c>
      <c r="K57" s="561">
        <v>0</v>
      </c>
      <c r="L57" s="561">
        <v>0</v>
      </c>
      <c r="M57" s="561">
        <v>4</v>
      </c>
      <c r="N57" s="15"/>
      <c r="O57" s="15"/>
    </row>
    <row r="58" spans="1:15" x14ac:dyDescent="0.25">
      <c r="A58" s="593">
        <v>46</v>
      </c>
      <c r="B58" s="72" t="s">
        <v>132</v>
      </c>
      <c r="C58" s="31" t="s">
        <v>133</v>
      </c>
      <c r="D58" s="560">
        <f t="shared" si="6"/>
        <v>5407</v>
      </c>
      <c r="E58" s="560">
        <f t="shared" si="4"/>
        <v>4742</v>
      </c>
      <c r="F58" s="560">
        <v>2814</v>
      </c>
      <c r="G58" s="560">
        <v>1868</v>
      </c>
      <c r="H58" s="560">
        <v>60</v>
      </c>
      <c r="I58" s="560">
        <v>0</v>
      </c>
      <c r="J58" s="560">
        <f t="shared" si="5"/>
        <v>665</v>
      </c>
      <c r="K58" s="561">
        <v>64</v>
      </c>
      <c r="L58" s="561">
        <v>589</v>
      </c>
      <c r="M58" s="561">
        <v>12</v>
      </c>
      <c r="N58" s="15"/>
      <c r="O58" s="15"/>
    </row>
    <row r="59" spans="1:15" x14ac:dyDescent="0.25">
      <c r="A59" s="593">
        <v>47</v>
      </c>
      <c r="B59" s="611" t="s">
        <v>134</v>
      </c>
      <c r="C59" s="31" t="s">
        <v>135</v>
      </c>
      <c r="D59" s="560">
        <f t="shared" si="6"/>
        <v>9672</v>
      </c>
      <c r="E59" s="560">
        <f t="shared" si="4"/>
        <v>9365</v>
      </c>
      <c r="F59" s="560">
        <v>5210</v>
      </c>
      <c r="G59" s="560">
        <v>4066</v>
      </c>
      <c r="H59" s="560">
        <v>89</v>
      </c>
      <c r="I59" s="560">
        <v>0</v>
      </c>
      <c r="J59" s="560">
        <f t="shared" si="5"/>
        <v>307</v>
      </c>
      <c r="K59" s="561">
        <v>43</v>
      </c>
      <c r="L59" s="561">
        <v>252</v>
      </c>
      <c r="M59" s="561">
        <v>12</v>
      </c>
      <c r="N59" s="15"/>
      <c r="O59" s="15"/>
    </row>
    <row r="60" spans="1:15" x14ac:dyDescent="0.25">
      <c r="A60" s="593">
        <v>48</v>
      </c>
      <c r="B60" s="611" t="s">
        <v>136</v>
      </c>
      <c r="C60" s="31" t="s">
        <v>137</v>
      </c>
      <c r="D60" s="560">
        <f t="shared" si="6"/>
        <v>25230</v>
      </c>
      <c r="E60" s="560">
        <f t="shared" si="4"/>
        <v>24010</v>
      </c>
      <c r="F60" s="560">
        <v>13750</v>
      </c>
      <c r="G60" s="560">
        <v>9770</v>
      </c>
      <c r="H60" s="560">
        <v>483</v>
      </c>
      <c r="I60" s="560">
        <v>7</v>
      </c>
      <c r="J60" s="560">
        <f t="shared" si="5"/>
        <v>1220</v>
      </c>
      <c r="K60" s="561">
        <v>151</v>
      </c>
      <c r="L60" s="561">
        <v>1003</v>
      </c>
      <c r="M60" s="561">
        <v>66</v>
      </c>
      <c r="N60" s="15"/>
      <c r="O60" s="15"/>
    </row>
    <row r="61" spans="1:15" x14ac:dyDescent="0.25">
      <c r="A61" s="593">
        <v>49</v>
      </c>
      <c r="B61" s="611" t="s">
        <v>138</v>
      </c>
      <c r="C61" s="31" t="s">
        <v>139</v>
      </c>
      <c r="D61" s="560">
        <f>E61+J61</f>
        <v>5105</v>
      </c>
      <c r="E61" s="560">
        <f>F61+G61+H61+I61</f>
        <v>4167</v>
      </c>
      <c r="F61" s="560">
        <v>2545</v>
      </c>
      <c r="G61" s="560">
        <v>1547</v>
      </c>
      <c r="H61" s="560">
        <v>75</v>
      </c>
      <c r="I61" s="560">
        <v>0</v>
      </c>
      <c r="J61" s="560">
        <f>K61+L61+M61</f>
        <v>938</v>
      </c>
      <c r="K61" s="561">
        <v>96</v>
      </c>
      <c r="L61" s="561">
        <v>833</v>
      </c>
      <c r="M61" s="561">
        <v>9</v>
      </c>
      <c r="N61" s="15"/>
      <c r="O61" s="15"/>
    </row>
    <row r="62" spans="1:15" x14ac:dyDescent="0.25">
      <c r="A62" s="593">
        <v>50</v>
      </c>
      <c r="B62" s="611" t="s">
        <v>140</v>
      </c>
      <c r="C62" s="31" t="s">
        <v>141</v>
      </c>
      <c r="D62" s="560">
        <f t="shared" si="6"/>
        <v>3273</v>
      </c>
      <c r="E62" s="560">
        <f t="shared" si="4"/>
        <v>3266</v>
      </c>
      <c r="F62" s="560">
        <v>1433</v>
      </c>
      <c r="G62" s="560">
        <v>1786</v>
      </c>
      <c r="H62" s="560">
        <v>47</v>
      </c>
      <c r="I62" s="560">
        <v>0</v>
      </c>
      <c r="J62" s="560">
        <f t="shared" si="5"/>
        <v>7</v>
      </c>
      <c r="K62" s="561">
        <v>0</v>
      </c>
      <c r="L62" s="561">
        <v>0</v>
      </c>
      <c r="M62" s="561">
        <v>7</v>
      </c>
      <c r="N62" s="15"/>
      <c r="O62" s="15"/>
    </row>
    <row r="63" spans="1:15" x14ac:dyDescent="0.25">
      <c r="A63" s="593">
        <v>51</v>
      </c>
      <c r="B63" s="72" t="s">
        <v>142</v>
      </c>
      <c r="C63" s="31" t="s">
        <v>143</v>
      </c>
      <c r="D63" s="560">
        <f>E63+J63</f>
        <v>5976</v>
      </c>
      <c r="E63" s="560">
        <f>F63+G63+H63+I63</f>
        <v>5963</v>
      </c>
      <c r="F63" s="560">
        <v>3722</v>
      </c>
      <c r="G63" s="560">
        <v>2175</v>
      </c>
      <c r="H63" s="560">
        <v>66</v>
      </c>
      <c r="I63" s="560">
        <v>0</v>
      </c>
      <c r="J63" s="560">
        <f>K63+L63+M63</f>
        <v>13</v>
      </c>
      <c r="K63" s="561">
        <v>0</v>
      </c>
      <c r="L63" s="561">
        <v>0</v>
      </c>
      <c r="M63" s="561">
        <v>13</v>
      </c>
      <c r="N63" s="15"/>
      <c r="O63" s="15"/>
    </row>
    <row r="64" spans="1:15" x14ac:dyDescent="0.25">
      <c r="A64" s="593">
        <v>52</v>
      </c>
      <c r="B64" s="611" t="s">
        <v>144</v>
      </c>
      <c r="C64" s="31" t="s">
        <v>145</v>
      </c>
      <c r="D64" s="560">
        <f t="shared" si="6"/>
        <v>0</v>
      </c>
      <c r="E64" s="560">
        <f t="shared" si="4"/>
        <v>0</v>
      </c>
      <c r="F64" s="560">
        <v>0</v>
      </c>
      <c r="G64" s="560">
        <v>0</v>
      </c>
      <c r="H64" s="560">
        <v>0</v>
      </c>
      <c r="I64" s="560">
        <v>0</v>
      </c>
      <c r="J64" s="560">
        <f t="shared" si="5"/>
        <v>0</v>
      </c>
      <c r="K64" s="561">
        <v>0</v>
      </c>
      <c r="L64" s="561">
        <v>0</v>
      </c>
      <c r="M64" s="561">
        <v>0</v>
      </c>
      <c r="N64" s="15"/>
      <c r="O64" s="15"/>
    </row>
    <row r="65" spans="1:15" x14ac:dyDescent="0.25">
      <c r="A65" s="593">
        <v>53</v>
      </c>
      <c r="B65" s="611" t="s">
        <v>146</v>
      </c>
      <c r="C65" s="31" t="s">
        <v>147</v>
      </c>
      <c r="D65" s="560">
        <f t="shared" si="6"/>
        <v>0</v>
      </c>
      <c r="E65" s="560">
        <f t="shared" si="4"/>
        <v>0</v>
      </c>
      <c r="F65" s="560">
        <v>0</v>
      </c>
      <c r="G65" s="560">
        <v>0</v>
      </c>
      <c r="H65" s="560">
        <v>0</v>
      </c>
      <c r="I65" s="560">
        <v>0</v>
      </c>
      <c r="J65" s="560">
        <f t="shared" si="5"/>
        <v>0</v>
      </c>
      <c r="K65" s="561">
        <v>0</v>
      </c>
      <c r="L65" s="561">
        <v>0</v>
      </c>
      <c r="M65" s="561">
        <v>0</v>
      </c>
      <c r="N65" s="15"/>
      <c r="O65" s="15"/>
    </row>
    <row r="66" spans="1:15" x14ac:dyDescent="0.25">
      <c r="A66" s="593">
        <v>54</v>
      </c>
      <c r="B66" s="611" t="s">
        <v>148</v>
      </c>
      <c r="C66" s="31" t="s">
        <v>149</v>
      </c>
      <c r="D66" s="560">
        <f t="shared" si="6"/>
        <v>1189</v>
      </c>
      <c r="E66" s="560">
        <f t="shared" si="4"/>
        <v>1084</v>
      </c>
      <c r="F66" s="560">
        <v>555</v>
      </c>
      <c r="G66" s="560">
        <v>519</v>
      </c>
      <c r="H66" s="560">
        <v>0</v>
      </c>
      <c r="I66" s="560">
        <v>10</v>
      </c>
      <c r="J66" s="560">
        <f t="shared" si="5"/>
        <v>105</v>
      </c>
      <c r="K66" s="561">
        <v>0</v>
      </c>
      <c r="L66" s="561">
        <v>0</v>
      </c>
      <c r="M66" s="561">
        <v>105</v>
      </c>
      <c r="N66" s="15"/>
      <c r="O66" s="15"/>
    </row>
    <row r="67" spans="1:15" x14ac:dyDescent="0.25">
      <c r="A67" s="593">
        <v>55</v>
      </c>
      <c r="B67" s="72" t="s">
        <v>150</v>
      </c>
      <c r="C67" s="31" t="s">
        <v>151</v>
      </c>
      <c r="D67" s="560">
        <f t="shared" si="6"/>
        <v>674</v>
      </c>
      <c r="E67" s="560">
        <f t="shared" si="4"/>
        <v>581</v>
      </c>
      <c r="F67" s="560">
        <v>251</v>
      </c>
      <c r="G67" s="560">
        <v>321</v>
      </c>
      <c r="H67" s="560">
        <v>0</v>
      </c>
      <c r="I67" s="560">
        <v>9</v>
      </c>
      <c r="J67" s="560">
        <f t="shared" si="5"/>
        <v>93</v>
      </c>
      <c r="K67" s="561">
        <v>0</v>
      </c>
      <c r="L67" s="561">
        <v>0</v>
      </c>
      <c r="M67" s="561">
        <v>93</v>
      </c>
      <c r="N67" s="15"/>
      <c r="O67" s="15"/>
    </row>
    <row r="68" spans="1:15" x14ac:dyDescent="0.25">
      <c r="A68" s="593">
        <v>56</v>
      </c>
      <c r="B68" s="72" t="s">
        <v>154</v>
      </c>
      <c r="C68" s="31" t="s">
        <v>155</v>
      </c>
      <c r="D68" s="560">
        <f t="shared" si="6"/>
        <v>1617</v>
      </c>
      <c r="E68" s="560">
        <f t="shared" si="4"/>
        <v>1444</v>
      </c>
      <c r="F68" s="560">
        <v>778</v>
      </c>
      <c r="G68" s="560">
        <v>625</v>
      </c>
      <c r="H68" s="560">
        <v>0</v>
      </c>
      <c r="I68" s="560">
        <v>41</v>
      </c>
      <c r="J68" s="560">
        <f t="shared" si="5"/>
        <v>173</v>
      </c>
      <c r="K68" s="561">
        <v>0</v>
      </c>
      <c r="L68" s="561">
        <v>0</v>
      </c>
      <c r="M68" s="561">
        <v>173</v>
      </c>
      <c r="N68" s="15"/>
      <c r="O68" s="15"/>
    </row>
    <row r="69" spans="1:15" x14ac:dyDescent="0.25">
      <c r="A69" s="593">
        <v>57</v>
      </c>
      <c r="B69" s="71" t="s">
        <v>158</v>
      </c>
      <c r="C69" s="31" t="s">
        <v>159</v>
      </c>
      <c r="D69" s="560">
        <f t="shared" si="6"/>
        <v>0</v>
      </c>
      <c r="E69" s="560">
        <f t="shared" si="4"/>
        <v>0</v>
      </c>
      <c r="F69" s="560">
        <v>0</v>
      </c>
      <c r="G69" s="560">
        <v>0</v>
      </c>
      <c r="H69" s="560">
        <v>0</v>
      </c>
      <c r="I69" s="560">
        <v>0</v>
      </c>
      <c r="J69" s="560">
        <f t="shared" si="5"/>
        <v>0</v>
      </c>
      <c r="K69" s="561">
        <v>0</v>
      </c>
      <c r="L69" s="561">
        <v>0</v>
      </c>
      <c r="M69" s="561">
        <v>0</v>
      </c>
      <c r="N69" s="15"/>
      <c r="O69" s="15"/>
    </row>
    <row r="70" spans="1:15" x14ac:dyDescent="0.25">
      <c r="A70" s="593">
        <v>58</v>
      </c>
      <c r="B70" s="71" t="s">
        <v>160</v>
      </c>
      <c r="C70" s="31" t="s">
        <v>161</v>
      </c>
      <c r="D70" s="560">
        <f t="shared" si="6"/>
        <v>0</v>
      </c>
      <c r="E70" s="560">
        <f t="shared" si="4"/>
        <v>0</v>
      </c>
      <c r="F70" s="560">
        <v>0</v>
      </c>
      <c r="G70" s="560">
        <v>0</v>
      </c>
      <c r="H70" s="560">
        <v>0</v>
      </c>
      <c r="I70" s="560">
        <v>0</v>
      </c>
      <c r="J70" s="560">
        <f t="shared" si="5"/>
        <v>0</v>
      </c>
      <c r="K70" s="561">
        <v>0</v>
      </c>
      <c r="L70" s="561">
        <v>0</v>
      </c>
      <c r="M70" s="561">
        <v>0</v>
      </c>
      <c r="N70" s="15"/>
      <c r="O70" s="15"/>
    </row>
    <row r="71" spans="1:15" x14ac:dyDescent="0.25">
      <c r="A71" s="593">
        <v>59</v>
      </c>
      <c r="B71" s="72" t="s">
        <v>162</v>
      </c>
      <c r="C71" s="31" t="s">
        <v>163</v>
      </c>
      <c r="D71" s="560">
        <f t="shared" si="6"/>
        <v>19225</v>
      </c>
      <c r="E71" s="560">
        <f t="shared" si="4"/>
        <v>18085</v>
      </c>
      <c r="F71" s="560">
        <v>8602</v>
      </c>
      <c r="G71" s="560">
        <v>9046</v>
      </c>
      <c r="H71" s="560">
        <v>437</v>
      </c>
      <c r="I71" s="560">
        <v>0</v>
      </c>
      <c r="J71" s="560">
        <f t="shared" si="5"/>
        <v>1140</v>
      </c>
      <c r="K71" s="561">
        <v>171</v>
      </c>
      <c r="L71" s="561">
        <v>969</v>
      </c>
      <c r="M71" s="561">
        <v>0</v>
      </c>
      <c r="N71" s="15"/>
      <c r="O71" s="15"/>
    </row>
    <row r="72" spans="1:15" x14ac:dyDescent="0.25">
      <c r="A72" s="593">
        <v>60</v>
      </c>
      <c r="B72" s="72" t="s">
        <v>164</v>
      </c>
      <c r="C72" s="31" t="s">
        <v>165</v>
      </c>
      <c r="D72" s="560">
        <f t="shared" si="6"/>
        <v>12039</v>
      </c>
      <c r="E72" s="560">
        <f t="shared" si="4"/>
        <v>11361</v>
      </c>
      <c r="F72" s="560">
        <v>5666</v>
      </c>
      <c r="G72" s="560">
        <v>5695</v>
      </c>
      <c r="H72" s="560">
        <v>0</v>
      </c>
      <c r="I72" s="560">
        <v>0</v>
      </c>
      <c r="J72" s="560">
        <f t="shared" si="5"/>
        <v>678</v>
      </c>
      <c r="K72" s="561">
        <v>92</v>
      </c>
      <c r="L72" s="561">
        <v>586</v>
      </c>
      <c r="M72" s="561">
        <v>0</v>
      </c>
      <c r="N72" s="15"/>
      <c r="O72" s="15"/>
    </row>
    <row r="73" spans="1:15" x14ac:dyDescent="0.25">
      <c r="A73" s="593">
        <v>61</v>
      </c>
      <c r="B73" s="72" t="s">
        <v>166</v>
      </c>
      <c r="C73" s="31" t="s">
        <v>167</v>
      </c>
      <c r="D73" s="560">
        <f t="shared" si="6"/>
        <v>27693</v>
      </c>
      <c r="E73" s="560">
        <f t="shared" si="4"/>
        <v>26537</v>
      </c>
      <c r="F73" s="560">
        <v>13931</v>
      </c>
      <c r="G73" s="560">
        <v>12070</v>
      </c>
      <c r="H73" s="560">
        <v>536</v>
      </c>
      <c r="I73" s="560">
        <v>0</v>
      </c>
      <c r="J73" s="560">
        <f t="shared" si="5"/>
        <v>1156</v>
      </c>
      <c r="K73" s="561">
        <v>220</v>
      </c>
      <c r="L73" s="561">
        <v>936</v>
      </c>
      <c r="M73" s="561">
        <v>0</v>
      </c>
      <c r="N73" s="15"/>
      <c r="O73" s="15"/>
    </row>
    <row r="74" spans="1:15" ht="12" customHeight="1" x14ac:dyDescent="0.25">
      <c r="A74" s="1135">
        <v>62</v>
      </c>
      <c r="B74" s="71" t="s">
        <v>170</v>
      </c>
      <c r="C74" s="145" t="s">
        <v>793</v>
      </c>
      <c r="D74" s="560">
        <f t="shared" si="6"/>
        <v>0</v>
      </c>
      <c r="E74" s="560">
        <f t="shared" si="4"/>
        <v>0</v>
      </c>
      <c r="F74" s="560">
        <v>0</v>
      </c>
      <c r="G74" s="560">
        <v>0</v>
      </c>
      <c r="H74" s="560">
        <v>0</v>
      </c>
      <c r="I74" s="560">
        <v>0</v>
      </c>
      <c r="J74" s="560">
        <f t="shared" si="5"/>
        <v>0</v>
      </c>
      <c r="K74" s="561">
        <v>0</v>
      </c>
      <c r="L74" s="561">
        <v>0</v>
      </c>
      <c r="M74" s="561">
        <v>0</v>
      </c>
      <c r="N74" s="15"/>
      <c r="O74" s="15"/>
    </row>
    <row r="75" spans="1:15" ht="12" customHeight="1" x14ac:dyDescent="0.25">
      <c r="A75" s="1136"/>
      <c r="B75" s="71" t="s">
        <v>168</v>
      </c>
      <c r="C75" s="31" t="s">
        <v>169</v>
      </c>
      <c r="D75" s="560">
        <f t="shared" si="6"/>
        <v>0</v>
      </c>
      <c r="E75" s="560">
        <f t="shared" si="4"/>
        <v>0</v>
      </c>
      <c r="F75" s="560">
        <v>0</v>
      </c>
      <c r="G75" s="560">
        <v>0</v>
      </c>
      <c r="H75" s="560"/>
      <c r="I75" s="560">
        <v>0</v>
      </c>
      <c r="J75" s="560">
        <f t="shared" si="5"/>
        <v>0</v>
      </c>
      <c r="K75" s="561"/>
      <c r="L75" s="561"/>
      <c r="M75" s="561">
        <v>0</v>
      </c>
      <c r="N75" s="15"/>
      <c r="O75" s="15"/>
    </row>
    <row r="76" spans="1:15" ht="12" customHeight="1" x14ac:dyDescent="0.25">
      <c r="A76" s="1137"/>
      <c r="B76" s="71" t="s">
        <v>174</v>
      </c>
      <c r="C76" s="31" t="s">
        <v>175</v>
      </c>
      <c r="D76" s="560">
        <f t="shared" si="6"/>
        <v>0</v>
      </c>
      <c r="E76" s="560">
        <f t="shared" si="4"/>
        <v>0</v>
      </c>
      <c r="F76" s="560">
        <v>0</v>
      </c>
      <c r="G76" s="560">
        <v>0</v>
      </c>
      <c r="H76" s="560"/>
      <c r="I76" s="560">
        <v>0</v>
      </c>
      <c r="J76" s="560">
        <f t="shared" si="5"/>
        <v>0</v>
      </c>
      <c r="K76" s="561"/>
      <c r="L76" s="561"/>
      <c r="M76" s="561">
        <v>0</v>
      </c>
      <c r="N76" s="15"/>
      <c r="O76" s="15"/>
    </row>
    <row r="77" spans="1:15" ht="12" customHeight="1" x14ac:dyDescent="0.25">
      <c r="A77" s="1135">
        <v>63</v>
      </c>
      <c r="B77" s="71" t="s">
        <v>176</v>
      </c>
      <c r="C77" s="145" t="s">
        <v>796</v>
      </c>
      <c r="D77" s="560">
        <f t="shared" si="6"/>
        <v>0</v>
      </c>
      <c r="E77" s="560">
        <f t="shared" si="4"/>
        <v>0</v>
      </c>
      <c r="F77" s="560">
        <v>0</v>
      </c>
      <c r="G77" s="560">
        <v>0</v>
      </c>
      <c r="H77" s="560">
        <v>0</v>
      </c>
      <c r="I77" s="560">
        <v>0</v>
      </c>
      <c r="J77" s="560">
        <f t="shared" si="5"/>
        <v>0</v>
      </c>
      <c r="K77" s="561">
        <v>0</v>
      </c>
      <c r="L77" s="561">
        <v>0</v>
      </c>
      <c r="M77" s="561">
        <v>0</v>
      </c>
      <c r="N77" s="15"/>
      <c r="O77" s="15"/>
    </row>
    <row r="78" spans="1:15" ht="12" customHeight="1" x14ac:dyDescent="0.25">
      <c r="A78" s="1136"/>
      <c r="B78" s="72" t="s">
        <v>172</v>
      </c>
      <c r="C78" s="31" t="s">
        <v>173</v>
      </c>
      <c r="D78" s="560">
        <f t="shared" si="6"/>
        <v>0</v>
      </c>
      <c r="E78" s="560">
        <f t="shared" si="4"/>
        <v>0</v>
      </c>
      <c r="F78" s="560">
        <v>0</v>
      </c>
      <c r="G78" s="560">
        <v>0</v>
      </c>
      <c r="H78" s="560"/>
      <c r="I78" s="560">
        <v>0</v>
      </c>
      <c r="J78" s="560">
        <f t="shared" si="5"/>
        <v>0</v>
      </c>
      <c r="K78" s="561"/>
      <c r="L78" s="561"/>
      <c r="M78" s="561">
        <v>0</v>
      </c>
      <c r="N78" s="15"/>
      <c r="O78" s="15"/>
    </row>
    <row r="79" spans="1:15" ht="12" customHeight="1" x14ac:dyDescent="0.25">
      <c r="A79" s="1136"/>
      <c r="B79" s="71" t="s">
        <v>178</v>
      </c>
      <c r="C79" s="31" t="s">
        <v>179</v>
      </c>
      <c r="D79" s="560">
        <f t="shared" si="6"/>
        <v>0</v>
      </c>
      <c r="E79" s="560">
        <f t="shared" si="4"/>
        <v>0</v>
      </c>
      <c r="F79" s="560">
        <v>0</v>
      </c>
      <c r="G79" s="560">
        <v>0</v>
      </c>
      <c r="H79" s="560">
        <v>0</v>
      </c>
      <c r="I79" s="560">
        <v>0</v>
      </c>
      <c r="J79" s="560">
        <f t="shared" si="5"/>
        <v>0</v>
      </c>
      <c r="K79" s="561">
        <v>0</v>
      </c>
      <c r="L79" s="561">
        <v>0</v>
      </c>
      <c r="M79" s="561">
        <v>0</v>
      </c>
      <c r="N79" s="15"/>
      <c r="O79" s="15"/>
    </row>
    <row r="80" spans="1:15" ht="12" customHeight="1" x14ac:dyDescent="0.25">
      <c r="A80" s="1137"/>
      <c r="B80" s="71" t="s">
        <v>180</v>
      </c>
      <c r="C80" s="31" t="s">
        <v>181</v>
      </c>
      <c r="D80" s="560">
        <f t="shared" si="6"/>
        <v>0</v>
      </c>
      <c r="E80" s="560">
        <f t="shared" ref="E80" si="7">F80+G80+H80+I80</f>
        <v>0</v>
      </c>
      <c r="F80" s="560">
        <v>0</v>
      </c>
      <c r="G80" s="560">
        <v>0</v>
      </c>
      <c r="H80" s="560">
        <v>0</v>
      </c>
      <c r="I80" s="560">
        <v>0</v>
      </c>
      <c r="J80" s="560">
        <f t="shared" ref="J80" si="8">K80+L80+M80</f>
        <v>0</v>
      </c>
      <c r="K80" s="561">
        <v>0</v>
      </c>
      <c r="L80" s="561">
        <v>0</v>
      </c>
      <c r="M80" s="561">
        <v>0</v>
      </c>
      <c r="N80" s="15"/>
      <c r="O80" s="15"/>
    </row>
    <row r="81" spans="1:15" x14ac:dyDescent="0.25">
      <c r="A81" s="593">
        <v>64</v>
      </c>
      <c r="B81" s="611" t="s">
        <v>182</v>
      </c>
      <c r="C81" s="31" t="s">
        <v>183</v>
      </c>
      <c r="D81" s="560">
        <f t="shared" ref="D81:D93" si="9">E81+J81</f>
        <v>18755</v>
      </c>
      <c r="E81" s="560">
        <f t="shared" ref="E81:E140" si="10">F81+G81+H81+I81</f>
        <v>17836</v>
      </c>
      <c r="F81" s="560">
        <v>9990</v>
      </c>
      <c r="G81" s="560">
        <v>7467</v>
      </c>
      <c r="H81" s="560">
        <v>379</v>
      </c>
      <c r="I81" s="560">
        <v>0</v>
      </c>
      <c r="J81" s="560">
        <f t="shared" ref="J81:J143" si="11">K81+L81+M81</f>
        <v>919</v>
      </c>
      <c r="K81" s="561">
        <v>131</v>
      </c>
      <c r="L81" s="561">
        <v>738</v>
      </c>
      <c r="M81" s="561">
        <v>50</v>
      </c>
      <c r="N81" s="15"/>
      <c r="O81" s="15"/>
    </row>
    <row r="82" spans="1:15" x14ac:dyDescent="0.25">
      <c r="A82" s="593">
        <v>65</v>
      </c>
      <c r="B82" s="71" t="s">
        <v>184</v>
      </c>
      <c r="C82" s="31" t="s">
        <v>185</v>
      </c>
      <c r="D82" s="560">
        <f t="shared" si="9"/>
        <v>36455</v>
      </c>
      <c r="E82" s="560">
        <f t="shared" si="10"/>
        <v>34998</v>
      </c>
      <c r="F82" s="560">
        <v>18871</v>
      </c>
      <c r="G82" s="560">
        <v>15563</v>
      </c>
      <c r="H82" s="560">
        <v>564</v>
      </c>
      <c r="I82" s="560">
        <v>0</v>
      </c>
      <c r="J82" s="560">
        <f t="shared" si="11"/>
        <v>1457</v>
      </c>
      <c r="K82" s="561">
        <v>226</v>
      </c>
      <c r="L82" s="561">
        <v>1231</v>
      </c>
      <c r="M82" s="561">
        <v>0</v>
      </c>
      <c r="N82" s="15"/>
      <c r="O82" s="15"/>
    </row>
    <row r="83" spans="1:15" x14ac:dyDescent="0.25">
      <c r="A83" s="593">
        <v>66</v>
      </c>
      <c r="B83" s="611" t="s">
        <v>186</v>
      </c>
      <c r="C83" s="31" t="s">
        <v>187</v>
      </c>
      <c r="D83" s="560">
        <f t="shared" si="9"/>
        <v>20411</v>
      </c>
      <c r="E83" s="560">
        <f t="shared" si="10"/>
        <v>19661</v>
      </c>
      <c r="F83" s="560">
        <v>11789</v>
      </c>
      <c r="G83" s="560">
        <v>7668</v>
      </c>
      <c r="H83" s="560">
        <v>204</v>
      </c>
      <c r="I83" s="560">
        <v>0</v>
      </c>
      <c r="J83" s="560">
        <f t="shared" si="11"/>
        <v>750</v>
      </c>
      <c r="K83" s="561">
        <v>154</v>
      </c>
      <c r="L83" s="561">
        <v>596</v>
      </c>
      <c r="M83" s="561">
        <v>0</v>
      </c>
      <c r="N83" s="15"/>
      <c r="O83" s="15"/>
    </row>
    <row r="84" spans="1:15" ht="24" x14ac:dyDescent="0.25">
      <c r="A84" s="1135">
        <v>67</v>
      </c>
      <c r="B84" s="71" t="s">
        <v>188</v>
      </c>
      <c r="C84" s="145" t="s">
        <v>795</v>
      </c>
      <c r="D84" s="560">
        <f t="shared" si="9"/>
        <v>14469</v>
      </c>
      <c r="E84" s="560">
        <f t="shared" si="10"/>
        <v>13805</v>
      </c>
      <c r="F84" s="560">
        <v>6651</v>
      </c>
      <c r="G84" s="560">
        <v>6594</v>
      </c>
      <c r="H84" s="560">
        <v>533</v>
      </c>
      <c r="I84" s="560">
        <v>27</v>
      </c>
      <c r="J84" s="560">
        <f t="shared" si="11"/>
        <v>664</v>
      </c>
      <c r="K84" s="561">
        <v>81</v>
      </c>
      <c r="L84" s="561">
        <v>519</v>
      </c>
      <c r="M84" s="561">
        <v>64</v>
      </c>
      <c r="N84" s="15"/>
      <c r="O84" s="15"/>
    </row>
    <row r="85" spans="1:15" x14ac:dyDescent="0.25">
      <c r="A85" s="1137"/>
      <c r="B85" s="611" t="s">
        <v>156</v>
      </c>
      <c r="C85" s="31" t="s">
        <v>157</v>
      </c>
      <c r="D85" s="560">
        <f t="shared" si="9"/>
        <v>327</v>
      </c>
      <c r="E85" s="560">
        <f t="shared" si="10"/>
        <v>306</v>
      </c>
      <c r="F85" s="560">
        <v>126</v>
      </c>
      <c r="G85" s="560">
        <v>153</v>
      </c>
      <c r="H85" s="560"/>
      <c r="I85" s="560">
        <v>27</v>
      </c>
      <c r="J85" s="560">
        <f t="shared" si="11"/>
        <v>21</v>
      </c>
      <c r="K85" s="561"/>
      <c r="L85" s="561"/>
      <c r="M85" s="561">
        <v>21</v>
      </c>
      <c r="N85" s="15"/>
      <c r="O85" s="15"/>
    </row>
    <row r="86" spans="1:15" x14ac:dyDescent="0.25">
      <c r="A86" s="593">
        <v>68</v>
      </c>
      <c r="B86" s="71" t="s">
        <v>190</v>
      </c>
      <c r="C86" s="31" t="s">
        <v>191</v>
      </c>
      <c r="D86" s="560">
        <f t="shared" si="9"/>
        <v>38335</v>
      </c>
      <c r="E86" s="560">
        <f t="shared" si="10"/>
        <v>36401</v>
      </c>
      <c r="F86" s="560">
        <v>14337</v>
      </c>
      <c r="G86" s="560">
        <v>21252</v>
      </c>
      <c r="H86" s="560">
        <v>812</v>
      </c>
      <c r="I86" s="560">
        <v>0</v>
      </c>
      <c r="J86" s="560">
        <f t="shared" si="11"/>
        <v>1934</v>
      </c>
      <c r="K86" s="561">
        <v>272</v>
      </c>
      <c r="L86" s="561">
        <v>1662</v>
      </c>
      <c r="M86" s="561">
        <v>0</v>
      </c>
      <c r="N86" s="15"/>
      <c r="O86" s="15"/>
    </row>
    <row r="87" spans="1:15" ht="24" x14ac:dyDescent="0.25">
      <c r="A87" s="1135">
        <v>69</v>
      </c>
      <c r="B87" s="71" t="s">
        <v>192</v>
      </c>
      <c r="C87" s="145" t="s">
        <v>794</v>
      </c>
      <c r="D87" s="560">
        <f t="shared" si="9"/>
        <v>1748</v>
      </c>
      <c r="E87" s="560">
        <f t="shared" si="10"/>
        <v>1589</v>
      </c>
      <c r="F87" s="560">
        <v>829</v>
      </c>
      <c r="G87" s="560">
        <v>722</v>
      </c>
      <c r="H87" s="560">
        <v>0</v>
      </c>
      <c r="I87" s="560">
        <v>38</v>
      </c>
      <c r="J87" s="560">
        <f t="shared" si="11"/>
        <v>159</v>
      </c>
      <c r="K87" s="561">
        <v>0</v>
      </c>
      <c r="L87" s="561">
        <v>0</v>
      </c>
      <c r="M87" s="561">
        <v>159</v>
      </c>
      <c r="N87" s="15"/>
      <c r="O87" s="15"/>
    </row>
    <row r="88" spans="1:15" x14ac:dyDescent="0.25">
      <c r="A88" s="1137"/>
      <c r="B88" s="71" t="s">
        <v>152</v>
      </c>
      <c r="C88" s="31" t="s">
        <v>549</v>
      </c>
      <c r="D88" s="560">
        <f t="shared" si="9"/>
        <v>326</v>
      </c>
      <c r="E88" s="560">
        <f t="shared" si="10"/>
        <v>292</v>
      </c>
      <c r="F88" s="560">
        <v>151</v>
      </c>
      <c r="G88" s="560">
        <v>106</v>
      </c>
      <c r="H88" s="560"/>
      <c r="I88" s="560">
        <v>35</v>
      </c>
      <c r="J88" s="560">
        <f t="shared" si="11"/>
        <v>34</v>
      </c>
      <c r="K88" s="561"/>
      <c r="L88" s="561"/>
      <c r="M88" s="561">
        <v>34</v>
      </c>
      <c r="N88" s="15"/>
      <c r="O88" s="15"/>
    </row>
    <row r="89" spans="1:15" x14ac:dyDescent="0.25">
      <c r="A89" s="593">
        <v>70</v>
      </c>
      <c r="B89" s="71" t="s">
        <v>194</v>
      </c>
      <c r="C89" s="31" t="s">
        <v>195</v>
      </c>
      <c r="D89" s="560">
        <f t="shared" si="9"/>
        <v>27213</v>
      </c>
      <c r="E89" s="560">
        <f t="shared" si="10"/>
        <v>25989</v>
      </c>
      <c r="F89" s="560">
        <v>14382</v>
      </c>
      <c r="G89" s="560">
        <v>11466</v>
      </c>
      <c r="H89" s="560">
        <v>141</v>
      </c>
      <c r="I89" s="560">
        <v>0</v>
      </c>
      <c r="J89" s="560">
        <f t="shared" si="11"/>
        <v>1224</v>
      </c>
      <c r="K89" s="561">
        <v>192</v>
      </c>
      <c r="L89" s="561">
        <v>1032</v>
      </c>
      <c r="M89" s="561">
        <v>0</v>
      </c>
      <c r="N89" s="15"/>
      <c r="O89" s="15"/>
    </row>
    <row r="90" spans="1:15" x14ac:dyDescent="0.25">
      <c r="A90" s="593">
        <v>71</v>
      </c>
      <c r="B90" s="71" t="s">
        <v>196</v>
      </c>
      <c r="C90" s="31" t="s">
        <v>197</v>
      </c>
      <c r="D90" s="560">
        <f t="shared" si="9"/>
        <v>650</v>
      </c>
      <c r="E90" s="560">
        <f t="shared" si="10"/>
        <v>650</v>
      </c>
      <c r="F90" s="560">
        <v>0</v>
      </c>
      <c r="G90" s="560">
        <v>0</v>
      </c>
      <c r="H90" s="560">
        <v>650</v>
      </c>
      <c r="I90" s="560">
        <v>0</v>
      </c>
      <c r="J90" s="560">
        <f t="shared" si="11"/>
        <v>0</v>
      </c>
      <c r="K90" s="561">
        <v>0</v>
      </c>
      <c r="L90" s="561">
        <v>0</v>
      </c>
      <c r="M90" s="561">
        <v>0</v>
      </c>
      <c r="N90" s="15"/>
      <c r="O90" s="15"/>
    </row>
    <row r="91" spans="1:15" x14ac:dyDescent="0.25">
      <c r="A91" s="593">
        <v>72</v>
      </c>
      <c r="B91" s="72" t="s">
        <v>30</v>
      </c>
      <c r="C91" s="31" t="s">
        <v>198</v>
      </c>
      <c r="D91" s="560">
        <f t="shared" si="9"/>
        <v>0</v>
      </c>
      <c r="E91" s="560">
        <f t="shared" si="10"/>
        <v>0</v>
      </c>
      <c r="F91" s="560">
        <v>0</v>
      </c>
      <c r="G91" s="560">
        <v>0</v>
      </c>
      <c r="H91" s="560">
        <v>0</v>
      </c>
      <c r="I91" s="560">
        <v>0</v>
      </c>
      <c r="J91" s="560">
        <f t="shared" si="11"/>
        <v>0</v>
      </c>
      <c r="K91" s="561">
        <v>0</v>
      </c>
      <c r="L91" s="561">
        <v>0</v>
      </c>
      <c r="M91" s="561">
        <v>0</v>
      </c>
      <c r="N91" s="15"/>
      <c r="O91" s="15"/>
    </row>
    <row r="92" spans="1:15" x14ac:dyDescent="0.25">
      <c r="A92" s="1135">
        <v>73</v>
      </c>
      <c r="B92" s="1138" t="s">
        <v>199</v>
      </c>
      <c r="C92" s="145" t="s">
        <v>200</v>
      </c>
      <c r="D92" s="560">
        <f t="shared" si="9"/>
        <v>74</v>
      </c>
      <c r="E92" s="560">
        <f t="shared" si="10"/>
        <v>74</v>
      </c>
      <c r="F92" s="560">
        <v>15</v>
      </c>
      <c r="G92" s="560">
        <v>59</v>
      </c>
      <c r="H92" s="560">
        <v>0</v>
      </c>
      <c r="I92" s="560">
        <v>0</v>
      </c>
      <c r="J92" s="560">
        <f t="shared" si="11"/>
        <v>0</v>
      </c>
      <c r="K92" s="561">
        <v>0</v>
      </c>
      <c r="L92" s="561">
        <v>0</v>
      </c>
      <c r="M92" s="561">
        <v>0</v>
      </c>
      <c r="N92" s="15"/>
      <c r="O92" s="15"/>
    </row>
    <row r="93" spans="1:15" ht="24" x14ac:dyDescent="0.25">
      <c r="A93" s="1136"/>
      <c r="B93" s="1139"/>
      <c r="C93" s="31" t="s">
        <v>201</v>
      </c>
      <c r="D93" s="560">
        <f t="shared" si="9"/>
        <v>74</v>
      </c>
      <c r="E93" s="560">
        <f t="shared" si="10"/>
        <v>74</v>
      </c>
      <c r="F93" s="560">
        <v>15</v>
      </c>
      <c r="G93" s="560">
        <v>59</v>
      </c>
      <c r="H93" s="560">
        <v>0</v>
      </c>
      <c r="I93" s="560">
        <v>0</v>
      </c>
      <c r="J93" s="560">
        <f t="shared" ref="J93" si="12">K93+L93+M93</f>
        <v>0</v>
      </c>
      <c r="K93" s="561">
        <v>0</v>
      </c>
      <c r="L93" s="561">
        <v>0</v>
      </c>
      <c r="M93" s="561">
        <v>0</v>
      </c>
      <c r="N93" s="15"/>
      <c r="O93" s="15"/>
    </row>
    <row r="94" spans="1:15" x14ac:dyDescent="0.25">
      <c r="A94" s="1136"/>
      <c r="B94" s="1139"/>
      <c r="C94" s="31" t="s">
        <v>202</v>
      </c>
      <c r="D94" s="560">
        <v>0</v>
      </c>
      <c r="E94" s="560">
        <f t="shared" si="10"/>
        <v>0</v>
      </c>
      <c r="F94" s="560">
        <v>0</v>
      </c>
      <c r="G94" s="560">
        <v>0</v>
      </c>
      <c r="H94" s="560">
        <v>0</v>
      </c>
      <c r="I94" s="560">
        <v>0</v>
      </c>
      <c r="J94" s="560">
        <v>0</v>
      </c>
      <c r="K94" s="560">
        <v>0</v>
      </c>
      <c r="L94" s="561">
        <v>0</v>
      </c>
      <c r="M94" s="561">
        <v>0</v>
      </c>
      <c r="N94" s="15"/>
      <c r="O94" s="15"/>
    </row>
    <row r="95" spans="1:15" ht="24" x14ac:dyDescent="0.25">
      <c r="A95" s="1137"/>
      <c r="B95" s="1140"/>
      <c r="C95" s="119" t="s">
        <v>203</v>
      </c>
      <c r="D95" s="560">
        <v>0</v>
      </c>
      <c r="E95" s="560">
        <f t="shared" si="10"/>
        <v>0</v>
      </c>
      <c r="F95" s="560">
        <v>0</v>
      </c>
      <c r="G95" s="560">
        <v>0</v>
      </c>
      <c r="H95" s="560">
        <v>0</v>
      </c>
      <c r="I95" s="560">
        <v>0</v>
      </c>
      <c r="J95" s="560">
        <v>0</v>
      </c>
      <c r="K95" s="560">
        <v>0</v>
      </c>
      <c r="L95" s="561">
        <v>0</v>
      </c>
      <c r="M95" s="561">
        <v>0</v>
      </c>
      <c r="N95" s="15"/>
      <c r="O95" s="15"/>
    </row>
    <row r="96" spans="1:15" x14ac:dyDescent="0.25">
      <c r="A96" s="593">
        <v>74</v>
      </c>
      <c r="B96" s="72" t="s">
        <v>204</v>
      </c>
      <c r="C96" s="31" t="s">
        <v>205</v>
      </c>
      <c r="D96" s="560">
        <f t="shared" ref="D96:D124" si="13">E96+J96</f>
        <v>0</v>
      </c>
      <c r="E96" s="560">
        <f t="shared" si="10"/>
        <v>0</v>
      </c>
      <c r="F96" s="560">
        <v>0</v>
      </c>
      <c r="G96" s="560">
        <v>0</v>
      </c>
      <c r="H96" s="560">
        <v>0</v>
      </c>
      <c r="I96" s="560">
        <v>0</v>
      </c>
      <c r="J96" s="560">
        <f t="shared" si="11"/>
        <v>0</v>
      </c>
      <c r="K96" s="561">
        <v>0</v>
      </c>
      <c r="L96" s="561">
        <v>0</v>
      </c>
      <c r="M96" s="561">
        <v>0</v>
      </c>
      <c r="N96" s="15"/>
      <c r="O96" s="15"/>
    </row>
    <row r="97" spans="1:15" x14ac:dyDescent="0.25">
      <c r="A97" s="593">
        <v>75</v>
      </c>
      <c r="B97" s="72" t="s">
        <v>206</v>
      </c>
      <c r="C97" s="31" t="s">
        <v>207</v>
      </c>
      <c r="D97" s="560">
        <f t="shared" si="13"/>
        <v>1053</v>
      </c>
      <c r="E97" s="560">
        <f t="shared" si="10"/>
        <v>1053</v>
      </c>
      <c r="F97" s="560">
        <v>562</v>
      </c>
      <c r="G97" s="560">
        <v>491</v>
      </c>
      <c r="H97" s="560">
        <v>0</v>
      </c>
      <c r="I97" s="560">
        <v>0</v>
      </c>
      <c r="J97" s="560">
        <f t="shared" si="11"/>
        <v>0</v>
      </c>
      <c r="K97" s="561">
        <v>0</v>
      </c>
      <c r="L97" s="561">
        <v>0</v>
      </c>
      <c r="M97" s="561">
        <v>0</v>
      </c>
      <c r="N97" s="15"/>
      <c r="O97" s="15"/>
    </row>
    <row r="98" spans="1:15" x14ac:dyDescent="0.25">
      <c r="A98" s="593">
        <v>76</v>
      </c>
      <c r="B98" s="611" t="s">
        <v>208</v>
      </c>
      <c r="C98" s="31" t="s">
        <v>209</v>
      </c>
      <c r="D98" s="560">
        <f t="shared" si="13"/>
        <v>7624</v>
      </c>
      <c r="E98" s="560">
        <f t="shared" si="10"/>
        <v>7624</v>
      </c>
      <c r="F98" s="560">
        <v>4463</v>
      </c>
      <c r="G98" s="560">
        <v>3011</v>
      </c>
      <c r="H98" s="560">
        <v>150</v>
      </c>
      <c r="I98" s="560">
        <v>0</v>
      </c>
      <c r="J98" s="560">
        <f t="shared" si="11"/>
        <v>0</v>
      </c>
      <c r="K98" s="561">
        <v>0</v>
      </c>
      <c r="L98" s="561">
        <v>0</v>
      </c>
      <c r="M98" s="561">
        <v>0</v>
      </c>
      <c r="N98" s="15"/>
      <c r="O98" s="15"/>
    </row>
    <row r="99" spans="1:15" x14ac:dyDescent="0.25">
      <c r="A99" s="593">
        <v>77</v>
      </c>
      <c r="B99" s="72" t="s">
        <v>210</v>
      </c>
      <c r="C99" s="31" t="s">
        <v>211</v>
      </c>
      <c r="D99" s="560">
        <f t="shared" si="13"/>
        <v>3154</v>
      </c>
      <c r="E99" s="560">
        <f t="shared" si="10"/>
        <v>3145</v>
      </c>
      <c r="F99" s="560">
        <v>1687</v>
      </c>
      <c r="G99" s="560">
        <v>1412</v>
      </c>
      <c r="H99" s="560">
        <v>46</v>
      </c>
      <c r="I99" s="560">
        <v>0</v>
      </c>
      <c r="J99" s="560">
        <f t="shared" si="11"/>
        <v>9</v>
      </c>
      <c r="K99" s="561">
        <v>0</v>
      </c>
      <c r="L99" s="561">
        <v>0</v>
      </c>
      <c r="M99" s="561">
        <v>9</v>
      </c>
      <c r="N99" s="15"/>
      <c r="O99" s="15"/>
    </row>
    <row r="100" spans="1:15" x14ac:dyDescent="0.25">
      <c r="A100" s="593">
        <v>78</v>
      </c>
      <c r="B100" s="611" t="s">
        <v>212</v>
      </c>
      <c r="C100" s="31" t="s">
        <v>213</v>
      </c>
      <c r="D100" s="560">
        <f t="shared" si="13"/>
        <v>3584</v>
      </c>
      <c r="E100" s="560">
        <f t="shared" si="10"/>
        <v>3578</v>
      </c>
      <c r="F100" s="560">
        <v>2026</v>
      </c>
      <c r="G100" s="560">
        <v>1499</v>
      </c>
      <c r="H100" s="560">
        <v>53</v>
      </c>
      <c r="I100" s="560">
        <v>0</v>
      </c>
      <c r="J100" s="560">
        <f t="shared" si="11"/>
        <v>6</v>
      </c>
      <c r="K100" s="561">
        <v>0</v>
      </c>
      <c r="L100" s="561">
        <v>0</v>
      </c>
      <c r="M100" s="561">
        <v>6</v>
      </c>
      <c r="N100" s="15"/>
      <c r="O100" s="15"/>
    </row>
    <row r="101" spans="1:15" x14ac:dyDescent="0.25">
      <c r="A101" s="593">
        <v>79</v>
      </c>
      <c r="B101" s="611" t="s">
        <v>214</v>
      </c>
      <c r="C101" s="31" t="s">
        <v>215</v>
      </c>
      <c r="D101" s="560">
        <f t="shared" si="13"/>
        <v>9056</v>
      </c>
      <c r="E101" s="560">
        <f t="shared" si="10"/>
        <v>8524</v>
      </c>
      <c r="F101" s="560">
        <v>4611</v>
      </c>
      <c r="G101" s="560">
        <v>3742</v>
      </c>
      <c r="H101" s="560">
        <v>170</v>
      </c>
      <c r="I101" s="560">
        <v>1</v>
      </c>
      <c r="J101" s="560">
        <f t="shared" si="11"/>
        <v>532</v>
      </c>
      <c r="K101" s="561">
        <v>68</v>
      </c>
      <c r="L101" s="561">
        <v>437</v>
      </c>
      <c r="M101" s="561">
        <v>27</v>
      </c>
      <c r="N101" s="15"/>
      <c r="O101" s="15"/>
    </row>
    <row r="102" spans="1:15" x14ac:dyDescent="0.25">
      <c r="A102" s="593">
        <v>80</v>
      </c>
      <c r="B102" s="72" t="s">
        <v>216</v>
      </c>
      <c r="C102" s="31" t="s">
        <v>217</v>
      </c>
      <c r="D102" s="560">
        <f t="shared" si="13"/>
        <v>4452</v>
      </c>
      <c r="E102" s="560">
        <f t="shared" si="10"/>
        <v>4448</v>
      </c>
      <c r="F102" s="560">
        <v>2526</v>
      </c>
      <c r="G102" s="560">
        <v>1852</v>
      </c>
      <c r="H102" s="560">
        <v>70</v>
      </c>
      <c r="I102" s="560">
        <v>0</v>
      </c>
      <c r="J102" s="560">
        <f t="shared" si="11"/>
        <v>4</v>
      </c>
      <c r="K102" s="561">
        <v>0</v>
      </c>
      <c r="L102" s="561">
        <v>0</v>
      </c>
      <c r="M102" s="561">
        <v>4</v>
      </c>
      <c r="N102" s="15"/>
      <c r="O102" s="15"/>
    </row>
    <row r="103" spans="1:15" x14ac:dyDescent="0.25">
      <c r="A103" s="593">
        <v>81</v>
      </c>
      <c r="B103" s="71" t="s">
        <v>218</v>
      </c>
      <c r="C103" s="31" t="s">
        <v>219</v>
      </c>
      <c r="D103" s="560">
        <f t="shared" si="13"/>
        <v>10038</v>
      </c>
      <c r="E103" s="560">
        <f t="shared" si="10"/>
        <v>9470</v>
      </c>
      <c r="F103" s="560">
        <v>5264</v>
      </c>
      <c r="G103" s="560">
        <v>3919</v>
      </c>
      <c r="H103" s="560">
        <v>287</v>
      </c>
      <c r="I103" s="560">
        <v>0</v>
      </c>
      <c r="J103" s="560">
        <f t="shared" si="11"/>
        <v>568</v>
      </c>
      <c r="K103" s="561">
        <v>74</v>
      </c>
      <c r="L103" s="561">
        <v>458</v>
      </c>
      <c r="M103" s="561">
        <v>36</v>
      </c>
      <c r="N103" s="15"/>
      <c r="O103" s="15"/>
    </row>
    <row r="104" spans="1:15" x14ac:dyDescent="0.25">
      <c r="A104" s="593">
        <v>82</v>
      </c>
      <c r="B104" s="71" t="s">
        <v>220</v>
      </c>
      <c r="C104" s="31" t="s">
        <v>221</v>
      </c>
      <c r="D104" s="560">
        <f t="shared" si="13"/>
        <v>8794</v>
      </c>
      <c r="E104" s="560">
        <f t="shared" si="10"/>
        <v>7905</v>
      </c>
      <c r="F104" s="560">
        <v>4523</v>
      </c>
      <c r="G104" s="560">
        <v>3241</v>
      </c>
      <c r="H104" s="560">
        <v>141</v>
      </c>
      <c r="I104" s="560">
        <v>0</v>
      </c>
      <c r="J104" s="560">
        <f t="shared" si="11"/>
        <v>889</v>
      </c>
      <c r="K104" s="561">
        <v>105</v>
      </c>
      <c r="L104" s="561">
        <v>759</v>
      </c>
      <c r="M104" s="561">
        <v>25</v>
      </c>
      <c r="N104" s="15"/>
      <c r="O104" s="15"/>
    </row>
    <row r="105" spans="1:15" x14ac:dyDescent="0.25">
      <c r="A105" s="593">
        <v>83</v>
      </c>
      <c r="B105" s="611" t="s">
        <v>222</v>
      </c>
      <c r="C105" s="31" t="s">
        <v>223</v>
      </c>
      <c r="D105" s="560">
        <f t="shared" si="13"/>
        <v>4340</v>
      </c>
      <c r="E105" s="560">
        <f t="shared" si="10"/>
        <v>3934</v>
      </c>
      <c r="F105" s="560">
        <v>2487</v>
      </c>
      <c r="G105" s="560">
        <v>1399</v>
      </c>
      <c r="H105" s="560">
        <v>48</v>
      </c>
      <c r="I105" s="560">
        <v>0</v>
      </c>
      <c r="J105" s="560">
        <f t="shared" si="11"/>
        <v>406</v>
      </c>
      <c r="K105" s="561">
        <v>34</v>
      </c>
      <c r="L105" s="561">
        <v>359</v>
      </c>
      <c r="M105" s="561">
        <v>13</v>
      </c>
      <c r="N105" s="15"/>
      <c r="O105" s="15"/>
    </row>
    <row r="106" spans="1:15" x14ac:dyDescent="0.25">
      <c r="A106" s="593">
        <v>84</v>
      </c>
      <c r="B106" s="71" t="s">
        <v>224</v>
      </c>
      <c r="C106" s="31" t="s">
        <v>225</v>
      </c>
      <c r="D106" s="560">
        <f t="shared" si="13"/>
        <v>5170</v>
      </c>
      <c r="E106" s="560">
        <f t="shared" si="10"/>
        <v>5158</v>
      </c>
      <c r="F106" s="560">
        <v>2594</v>
      </c>
      <c r="G106" s="560">
        <v>2488</v>
      </c>
      <c r="H106" s="560">
        <v>76</v>
      </c>
      <c r="I106" s="560">
        <v>0</v>
      </c>
      <c r="J106" s="560">
        <f t="shared" si="11"/>
        <v>12</v>
      </c>
      <c r="K106" s="561">
        <v>0</v>
      </c>
      <c r="L106" s="561">
        <v>0</v>
      </c>
      <c r="M106" s="561">
        <v>12</v>
      </c>
      <c r="N106" s="15"/>
      <c r="O106" s="15"/>
    </row>
    <row r="107" spans="1:15" x14ac:dyDescent="0.25">
      <c r="A107" s="593">
        <v>85</v>
      </c>
      <c r="B107" s="71" t="s">
        <v>226</v>
      </c>
      <c r="C107" s="31" t="s">
        <v>227</v>
      </c>
      <c r="D107" s="560">
        <f t="shared" si="13"/>
        <v>4565</v>
      </c>
      <c r="E107" s="560">
        <f t="shared" si="10"/>
        <v>4559</v>
      </c>
      <c r="F107" s="560">
        <v>2474</v>
      </c>
      <c r="G107" s="560">
        <v>2018</v>
      </c>
      <c r="H107" s="560">
        <v>67</v>
      </c>
      <c r="I107" s="560">
        <v>0</v>
      </c>
      <c r="J107" s="560">
        <f t="shared" si="11"/>
        <v>6</v>
      </c>
      <c r="K107" s="561">
        <v>0</v>
      </c>
      <c r="L107" s="561">
        <v>0</v>
      </c>
      <c r="M107" s="561">
        <v>6</v>
      </c>
      <c r="N107" s="15"/>
      <c r="O107" s="15"/>
    </row>
    <row r="108" spans="1:15" x14ac:dyDescent="0.25">
      <c r="A108" s="593">
        <v>86</v>
      </c>
      <c r="B108" s="72" t="s">
        <v>32</v>
      </c>
      <c r="C108" s="31" t="s">
        <v>33</v>
      </c>
      <c r="D108" s="560">
        <f t="shared" si="13"/>
        <v>6000</v>
      </c>
      <c r="E108" s="560">
        <f t="shared" si="10"/>
        <v>5316</v>
      </c>
      <c r="F108" s="560">
        <v>2960</v>
      </c>
      <c r="G108" s="560">
        <v>2223</v>
      </c>
      <c r="H108" s="560">
        <v>133</v>
      </c>
      <c r="I108" s="560">
        <v>0</v>
      </c>
      <c r="J108" s="560">
        <f t="shared" si="11"/>
        <v>684</v>
      </c>
      <c r="K108" s="561">
        <v>82</v>
      </c>
      <c r="L108" s="561">
        <v>589</v>
      </c>
      <c r="M108" s="561">
        <v>13</v>
      </c>
      <c r="N108" s="15"/>
      <c r="O108" s="15"/>
    </row>
    <row r="109" spans="1:15" x14ac:dyDescent="0.25">
      <c r="A109" s="593">
        <v>87</v>
      </c>
      <c r="B109" s="611" t="s">
        <v>228</v>
      </c>
      <c r="C109" s="31" t="s">
        <v>229</v>
      </c>
      <c r="D109" s="560">
        <f t="shared" si="13"/>
        <v>3831</v>
      </c>
      <c r="E109" s="560">
        <f t="shared" si="10"/>
        <v>3819</v>
      </c>
      <c r="F109" s="560">
        <v>2420</v>
      </c>
      <c r="G109" s="560">
        <v>1340</v>
      </c>
      <c r="H109" s="560">
        <v>59</v>
      </c>
      <c r="I109" s="560">
        <v>0</v>
      </c>
      <c r="J109" s="560">
        <f t="shared" si="11"/>
        <v>12</v>
      </c>
      <c r="K109" s="561">
        <v>0</v>
      </c>
      <c r="L109" s="561">
        <v>0</v>
      </c>
      <c r="M109" s="561">
        <v>12</v>
      </c>
      <c r="N109" s="15"/>
      <c r="O109" s="15"/>
    </row>
    <row r="110" spans="1:15" x14ac:dyDescent="0.25">
      <c r="A110" s="593">
        <v>88</v>
      </c>
      <c r="B110" s="71" t="s">
        <v>230</v>
      </c>
      <c r="C110" s="31" t="s">
        <v>231</v>
      </c>
      <c r="D110" s="560">
        <f t="shared" si="13"/>
        <v>8327</v>
      </c>
      <c r="E110" s="560">
        <f t="shared" si="10"/>
        <v>7703</v>
      </c>
      <c r="F110" s="560">
        <v>3624</v>
      </c>
      <c r="G110" s="560">
        <v>3952</v>
      </c>
      <c r="H110" s="560">
        <v>127</v>
      </c>
      <c r="I110" s="560">
        <v>0</v>
      </c>
      <c r="J110" s="560">
        <f t="shared" si="11"/>
        <v>624</v>
      </c>
      <c r="K110" s="561">
        <v>64</v>
      </c>
      <c r="L110" s="561">
        <v>543</v>
      </c>
      <c r="M110" s="561">
        <v>17</v>
      </c>
      <c r="N110" s="15"/>
      <c r="O110" s="15"/>
    </row>
    <row r="111" spans="1:15" x14ac:dyDescent="0.25">
      <c r="A111" s="593">
        <v>89</v>
      </c>
      <c r="B111" s="71" t="s">
        <v>232</v>
      </c>
      <c r="C111" s="31" t="s">
        <v>233</v>
      </c>
      <c r="D111" s="560">
        <f t="shared" si="13"/>
        <v>0</v>
      </c>
      <c r="E111" s="560">
        <f t="shared" si="10"/>
        <v>0</v>
      </c>
      <c r="F111" s="560">
        <v>0</v>
      </c>
      <c r="G111" s="560">
        <v>0</v>
      </c>
      <c r="H111" s="560">
        <v>0</v>
      </c>
      <c r="I111" s="560">
        <v>0</v>
      </c>
      <c r="J111" s="560">
        <f t="shared" si="11"/>
        <v>0</v>
      </c>
      <c r="K111" s="561">
        <v>0</v>
      </c>
      <c r="L111" s="561">
        <v>0</v>
      </c>
      <c r="M111" s="561">
        <v>0</v>
      </c>
      <c r="N111" s="15"/>
      <c r="O111" s="15"/>
    </row>
    <row r="112" spans="1:15" x14ac:dyDescent="0.25">
      <c r="A112" s="593">
        <v>90</v>
      </c>
      <c r="B112" s="71" t="s">
        <v>234</v>
      </c>
      <c r="C112" s="31" t="s">
        <v>235</v>
      </c>
      <c r="D112" s="560">
        <f t="shared" si="13"/>
        <v>0</v>
      </c>
      <c r="E112" s="560">
        <f t="shared" si="10"/>
        <v>0</v>
      </c>
      <c r="F112" s="560">
        <v>0</v>
      </c>
      <c r="G112" s="560">
        <v>0</v>
      </c>
      <c r="H112" s="560">
        <v>0</v>
      </c>
      <c r="I112" s="560">
        <v>0</v>
      </c>
      <c r="J112" s="560">
        <f t="shared" si="11"/>
        <v>0</v>
      </c>
      <c r="K112" s="561">
        <v>0</v>
      </c>
      <c r="L112" s="561">
        <v>0</v>
      </c>
      <c r="M112" s="561">
        <v>0</v>
      </c>
      <c r="N112" s="15"/>
      <c r="O112" s="15"/>
    </row>
    <row r="113" spans="1:15" x14ac:dyDescent="0.25">
      <c r="A113" s="593">
        <v>91</v>
      </c>
      <c r="B113" s="611" t="s">
        <v>236</v>
      </c>
      <c r="C113" s="31" t="s">
        <v>237</v>
      </c>
      <c r="D113" s="560">
        <f t="shared" si="13"/>
        <v>0</v>
      </c>
      <c r="E113" s="560">
        <f t="shared" si="10"/>
        <v>0</v>
      </c>
      <c r="F113" s="560">
        <v>0</v>
      </c>
      <c r="G113" s="560">
        <v>0</v>
      </c>
      <c r="H113" s="560">
        <v>0</v>
      </c>
      <c r="I113" s="560">
        <v>0</v>
      </c>
      <c r="J113" s="560">
        <f t="shared" si="11"/>
        <v>0</v>
      </c>
      <c r="K113" s="561">
        <v>0</v>
      </c>
      <c r="L113" s="561">
        <v>0</v>
      </c>
      <c r="M113" s="561">
        <v>0</v>
      </c>
      <c r="N113" s="15"/>
      <c r="O113" s="15"/>
    </row>
    <row r="114" spans="1:15" x14ac:dyDescent="0.25">
      <c r="A114" s="593">
        <v>92</v>
      </c>
      <c r="B114" s="611" t="s">
        <v>238</v>
      </c>
      <c r="C114" s="31" t="s">
        <v>239</v>
      </c>
      <c r="D114" s="560">
        <f t="shared" si="13"/>
        <v>0</v>
      </c>
      <c r="E114" s="560">
        <f t="shared" si="10"/>
        <v>0</v>
      </c>
      <c r="F114" s="560">
        <v>0</v>
      </c>
      <c r="G114" s="560">
        <v>0</v>
      </c>
      <c r="H114" s="560">
        <v>0</v>
      </c>
      <c r="I114" s="560">
        <v>0</v>
      </c>
      <c r="J114" s="560">
        <f t="shared" si="11"/>
        <v>0</v>
      </c>
      <c r="K114" s="561">
        <v>0</v>
      </c>
      <c r="L114" s="561">
        <v>0</v>
      </c>
      <c r="M114" s="561">
        <v>0</v>
      </c>
      <c r="N114" s="15"/>
      <c r="O114" s="15"/>
    </row>
    <row r="115" spans="1:15" x14ac:dyDescent="0.25">
      <c r="A115" s="593">
        <v>93</v>
      </c>
      <c r="B115" s="611" t="s">
        <v>240</v>
      </c>
      <c r="C115" s="31" t="s">
        <v>241</v>
      </c>
      <c r="D115" s="560">
        <f t="shared" si="13"/>
        <v>0</v>
      </c>
      <c r="E115" s="560">
        <f t="shared" si="10"/>
        <v>0</v>
      </c>
      <c r="F115" s="560">
        <v>0</v>
      </c>
      <c r="G115" s="560">
        <v>0</v>
      </c>
      <c r="H115" s="560">
        <v>0</v>
      </c>
      <c r="I115" s="560">
        <v>0</v>
      </c>
      <c r="J115" s="560">
        <f t="shared" si="11"/>
        <v>0</v>
      </c>
      <c r="K115" s="561">
        <v>0</v>
      </c>
      <c r="L115" s="561">
        <v>0</v>
      </c>
      <c r="M115" s="561">
        <v>0</v>
      </c>
      <c r="N115" s="15"/>
      <c r="O115" s="15"/>
    </row>
    <row r="116" spans="1:15" x14ac:dyDescent="0.25">
      <c r="A116" s="593">
        <v>94</v>
      </c>
      <c r="B116" s="611" t="s">
        <v>242</v>
      </c>
      <c r="C116" s="31" t="s">
        <v>243</v>
      </c>
      <c r="D116" s="560">
        <f t="shared" si="13"/>
        <v>0</v>
      </c>
      <c r="E116" s="560">
        <f t="shared" si="10"/>
        <v>0</v>
      </c>
      <c r="F116" s="560">
        <v>0</v>
      </c>
      <c r="G116" s="560">
        <v>0</v>
      </c>
      <c r="H116" s="560">
        <v>0</v>
      </c>
      <c r="I116" s="560">
        <v>0</v>
      </c>
      <c r="J116" s="560">
        <f t="shared" si="11"/>
        <v>0</v>
      </c>
      <c r="K116" s="561">
        <v>0</v>
      </c>
      <c r="L116" s="561">
        <v>0</v>
      </c>
      <c r="M116" s="561">
        <v>0</v>
      </c>
      <c r="N116" s="15"/>
      <c r="O116" s="15"/>
    </row>
    <row r="117" spans="1:15" x14ac:dyDescent="0.25">
      <c r="A117" s="593">
        <v>95</v>
      </c>
      <c r="B117" s="611" t="s">
        <v>244</v>
      </c>
      <c r="C117" s="31" t="s">
        <v>245</v>
      </c>
      <c r="D117" s="560">
        <f t="shared" si="13"/>
        <v>0</v>
      </c>
      <c r="E117" s="560">
        <f t="shared" si="10"/>
        <v>0</v>
      </c>
      <c r="F117" s="560">
        <v>0</v>
      </c>
      <c r="G117" s="560">
        <v>0</v>
      </c>
      <c r="H117" s="560">
        <v>0</v>
      </c>
      <c r="I117" s="560">
        <v>0</v>
      </c>
      <c r="J117" s="560">
        <f t="shared" si="11"/>
        <v>0</v>
      </c>
      <c r="K117" s="561">
        <v>0</v>
      </c>
      <c r="L117" s="561">
        <v>0</v>
      </c>
      <c r="M117" s="561">
        <v>0</v>
      </c>
      <c r="N117" s="15"/>
      <c r="O117" s="15"/>
    </row>
    <row r="118" spans="1:15" x14ac:dyDescent="0.25">
      <c r="A118" s="593">
        <v>96</v>
      </c>
      <c r="B118" s="596" t="s">
        <v>246</v>
      </c>
      <c r="C118" s="595" t="s">
        <v>247</v>
      </c>
      <c r="D118" s="560">
        <f t="shared" si="13"/>
        <v>0</v>
      </c>
      <c r="E118" s="560">
        <f t="shared" si="10"/>
        <v>0</v>
      </c>
      <c r="F118" s="560">
        <v>0</v>
      </c>
      <c r="G118" s="560">
        <v>0</v>
      </c>
      <c r="H118" s="560">
        <v>0</v>
      </c>
      <c r="I118" s="560">
        <v>0</v>
      </c>
      <c r="J118" s="560">
        <f t="shared" si="11"/>
        <v>0</v>
      </c>
      <c r="K118" s="561">
        <v>0</v>
      </c>
      <c r="L118" s="561">
        <v>0</v>
      </c>
      <c r="M118" s="561">
        <v>0</v>
      </c>
      <c r="N118" s="15"/>
      <c r="O118" s="15"/>
    </row>
    <row r="119" spans="1:15" x14ac:dyDescent="0.25">
      <c r="A119" s="593">
        <v>97</v>
      </c>
      <c r="B119" s="72" t="s">
        <v>248</v>
      </c>
      <c r="C119" s="31" t="s">
        <v>249</v>
      </c>
      <c r="D119" s="560">
        <f t="shared" si="13"/>
        <v>0</v>
      </c>
      <c r="E119" s="560">
        <f t="shared" si="10"/>
        <v>0</v>
      </c>
      <c r="F119" s="560">
        <v>0</v>
      </c>
      <c r="G119" s="560">
        <v>0</v>
      </c>
      <c r="H119" s="560">
        <v>0</v>
      </c>
      <c r="I119" s="560">
        <v>0</v>
      </c>
      <c r="J119" s="560">
        <f t="shared" si="11"/>
        <v>0</v>
      </c>
      <c r="K119" s="561">
        <v>0</v>
      </c>
      <c r="L119" s="561">
        <v>0</v>
      </c>
      <c r="M119" s="561">
        <v>0</v>
      </c>
      <c r="N119" s="15"/>
      <c r="O119" s="15"/>
    </row>
    <row r="120" spans="1:15" x14ac:dyDescent="0.25">
      <c r="A120" s="593">
        <v>98</v>
      </c>
      <c r="B120" s="611" t="s">
        <v>250</v>
      </c>
      <c r="C120" s="31" t="s">
        <v>251</v>
      </c>
      <c r="D120" s="560">
        <f t="shared" si="13"/>
        <v>0</v>
      </c>
      <c r="E120" s="560">
        <f t="shared" si="10"/>
        <v>0</v>
      </c>
      <c r="F120" s="560">
        <v>0</v>
      </c>
      <c r="G120" s="560">
        <v>0</v>
      </c>
      <c r="H120" s="560">
        <v>0</v>
      </c>
      <c r="I120" s="560">
        <v>0</v>
      </c>
      <c r="J120" s="560">
        <f t="shared" si="11"/>
        <v>0</v>
      </c>
      <c r="K120" s="561">
        <v>0</v>
      </c>
      <c r="L120" s="561">
        <v>0</v>
      </c>
      <c r="M120" s="561">
        <v>0</v>
      </c>
      <c r="N120" s="15"/>
      <c r="O120" s="15"/>
    </row>
    <row r="121" spans="1:15" x14ac:dyDescent="0.25">
      <c r="A121" s="593">
        <v>99</v>
      </c>
      <c r="B121" s="71" t="s">
        <v>252</v>
      </c>
      <c r="C121" s="120" t="s">
        <v>253</v>
      </c>
      <c r="D121" s="560">
        <f t="shared" si="13"/>
        <v>0</v>
      </c>
      <c r="E121" s="560">
        <f t="shared" si="10"/>
        <v>0</v>
      </c>
      <c r="F121" s="560">
        <v>0</v>
      </c>
      <c r="G121" s="560">
        <v>0</v>
      </c>
      <c r="H121" s="560">
        <v>0</v>
      </c>
      <c r="I121" s="560">
        <v>0</v>
      </c>
      <c r="J121" s="560">
        <f t="shared" si="11"/>
        <v>0</v>
      </c>
      <c r="K121" s="561">
        <v>0</v>
      </c>
      <c r="L121" s="561">
        <v>0</v>
      </c>
      <c r="M121" s="561">
        <v>0</v>
      </c>
      <c r="N121" s="15"/>
      <c r="O121" s="15"/>
    </row>
    <row r="122" spans="1:15" x14ac:dyDescent="0.25">
      <c r="A122" s="593">
        <v>100</v>
      </c>
      <c r="B122" s="611" t="s">
        <v>254</v>
      </c>
      <c r="C122" s="31" t="s">
        <v>255</v>
      </c>
      <c r="D122" s="560">
        <f t="shared" si="13"/>
        <v>0</v>
      </c>
      <c r="E122" s="560">
        <f t="shared" si="10"/>
        <v>0</v>
      </c>
      <c r="F122" s="560">
        <v>0</v>
      </c>
      <c r="G122" s="560">
        <v>0</v>
      </c>
      <c r="H122" s="560">
        <v>0</v>
      </c>
      <c r="I122" s="560">
        <v>0</v>
      </c>
      <c r="J122" s="560">
        <f t="shared" si="11"/>
        <v>0</v>
      </c>
      <c r="K122" s="561">
        <v>0</v>
      </c>
      <c r="L122" s="561">
        <v>0</v>
      </c>
      <c r="M122" s="561">
        <v>0</v>
      </c>
      <c r="N122" s="15"/>
      <c r="O122" s="15"/>
    </row>
    <row r="123" spans="1:15" x14ac:dyDescent="0.25">
      <c r="A123" s="593">
        <v>101</v>
      </c>
      <c r="B123" s="72" t="s">
        <v>256</v>
      </c>
      <c r="C123" s="31" t="s">
        <v>257</v>
      </c>
      <c r="D123" s="560">
        <f t="shared" si="13"/>
        <v>0</v>
      </c>
      <c r="E123" s="560">
        <f t="shared" si="10"/>
        <v>0</v>
      </c>
      <c r="F123" s="560">
        <v>0</v>
      </c>
      <c r="G123" s="560">
        <v>0</v>
      </c>
      <c r="H123" s="560">
        <v>0</v>
      </c>
      <c r="I123" s="560">
        <v>0</v>
      </c>
      <c r="J123" s="560">
        <f t="shared" si="11"/>
        <v>0</v>
      </c>
      <c r="K123" s="561">
        <v>0</v>
      </c>
      <c r="L123" s="561">
        <v>0</v>
      </c>
      <c r="M123" s="561">
        <v>0</v>
      </c>
      <c r="N123" s="15"/>
      <c r="O123" s="15"/>
    </row>
    <row r="124" spans="1:15" x14ac:dyDescent="0.25">
      <c r="A124" s="593">
        <v>102</v>
      </c>
      <c r="B124" s="71" t="s">
        <v>258</v>
      </c>
      <c r="C124" s="31" t="s">
        <v>259</v>
      </c>
      <c r="D124" s="560">
        <f t="shared" si="13"/>
        <v>0</v>
      </c>
      <c r="E124" s="560">
        <f t="shared" si="10"/>
        <v>0</v>
      </c>
      <c r="F124" s="560">
        <v>0</v>
      </c>
      <c r="G124" s="560">
        <v>0</v>
      </c>
      <c r="H124" s="560">
        <v>0</v>
      </c>
      <c r="I124" s="560">
        <v>0</v>
      </c>
      <c r="J124" s="560">
        <f t="shared" si="11"/>
        <v>0</v>
      </c>
      <c r="K124" s="561">
        <v>0</v>
      </c>
      <c r="L124" s="561">
        <v>0</v>
      </c>
      <c r="M124" s="561">
        <v>0</v>
      </c>
      <c r="N124" s="15"/>
      <c r="O124" s="15"/>
    </row>
    <row r="125" spans="1:15" x14ac:dyDescent="0.25">
      <c r="A125" s="593">
        <v>103</v>
      </c>
      <c r="B125" s="72" t="s">
        <v>543</v>
      </c>
      <c r="C125" s="31" t="s">
        <v>544</v>
      </c>
      <c r="D125" s="560">
        <f t="shared" ref="D125:D149" si="14">E125+J125</f>
        <v>0</v>
      </c>
      <c r="E125" s="560">
        <f t="shared" si="10"/>
        <v>0</v>
      </c>
      <c r="F125" s="560">
        <v>0</v>
      </c>
      <c r="G125" s="560">
        <v>0</v>
      </c>
      <c r="H125" s="560">
        <v>0</v>
      </c>
      <c r="I125" s="560">
        <v>0</v>
      </c>
      <c r="J125" s="560">
        <f t="shared" si="11"/>
        <v>0</v>
      </c>
      <c r="K125" s="561">
        <v>0</v>
      </c>
      <c r="L125" s="561">
        <v>0</v>
      </c>
      <c r="M125" s="561">
        <v>0</v>
      </c>
      <c r="N125" s="15"/>
      <c r="O125" s="15"/>
    </row>
    <row r="126" spans="1:15" x14ac:dyDescent="0.25">
      <c r="A126" s="593">
        <v>104</v>
      </c>
      <c r="B126" s="72" t="s">
        <v>260</v>
      </c>
      <c r="C126" s="31" t="s">
        <v>261</v>
      </c>
      <c r="D126" s="560">
        <f t="shared" si="14"/>
        <v>0</v>
      </c>
      <c r="E126" s="560">
        <f t="shared" si="10"/>
        <v>0</v>
      </c>
      <c r="F126" s="560">
        <v>0</v>
      </c>
      <c r="G126" s="560">
        <v>0</v>
      </c>
      <c r="H126" s="560">
        <v>0</v>
      </c>
      <c r="I126" s="560">
        <v>0</v>
      </c>
      <c r="J126" s="560">
        <f t="shared" si="11"/>
        <v>0</v>
      </c>
      <c r="K126" s="561">
        <v>0</v>
      </c>
      <c r="L126" s="561">
        <v>0</v>
      </c>
      <c r="M126" s="561">
        <v>0</v>
      </c>
      <c r="N126" s="15"/>
      <c r="O126" s="15"/>
    </row>
    <row r="127" spans="1:15" x14ac:dyDescent="0.25">
      <c r="A127" s="593">
        <v>105</v>
      </c>
      <c r="B127" s="611" t="s">
        <v>262</v>
      </c>
      <c r="C127" s="31" t="s">
        <v>263</v>
      </c>
      <c r="D127" s="560">
        <f t="shared" si="14"/>
        <v>0</v>
      </c>
      <c r="E127" s="560">
        <f t="shared" si="10"/>
        <v>0</v>
      </c>
      <c r="F127" s="560">
        <v>0</v>
      </c>
      <c r="G127" s="560">
        <v>0</v>
      </c>
      <c r="H127" s="560">
        <v>0</v>
      </c>
      <c r="I127" s="560">
        <v>0</v>
      </c>
      <c r="J127" s="560">
        <f t="shared" si="11"/>
        <v>0</v>
      </c>
      <c r="K127" s="561">
        <v>0</v>
      </c>
      <c r="L127" s="561">
        <v>0</v>
      </c>
      <c r="M127" s="561">
        <v>0</v>
      </c>
      <c r="N127" s="15"/>
      <c r="O127" s="15"/>
    </row>
    <row r="128" spans="1:15" x14ac:dyDescent="0.25">
      <c r="A128" s="593">
        <v>106</v>
      </c>
      <c r="B128" s="611" t="s">
        <v>264</v>
      </c>
      <c r="C128" s="121" t="s">
        <v>265</v>
      </c>
      <c r="D128" s="560">
        <f t="shared" si="14"/>
        <v>0</v>
      </c>
      <c r="E128" s="560">
        <f t="shared" si="10"/>
        <v>0</v>
      </c>
      <c r="F128" s="560">
        <v>0</v>
      </c>
      <c r="G128" s="560">
        <v>0</v>
      </c>
      <c r="H128" s="560">
        <v>0</v>
      </c>
      <c r="I128" s="560">
        <v>0</v>
      </c>
      <c r="J128" s="560">
        <f t="shared" si="11"/>
        <v>0</v>
      </c>
      <c r="K128" s="561">
        <v>0</v>
      </c>
      <c r="L128" s="561">
        <v>0</v>
      </c>
      <c r="M128" s="561">
        <v>0</v>
      </c>
      <c r="N128" s="15"/>
      <c r="O128" s="15"/>
    </row>
    <row r="129" spans="1:15" x14ac:dyDescent="0.25">
      <c r="A129" s="593">
        <v>107</v>
      </c>
      <c r="B129" s="611" t="s">
        <v>266</v>
      </c>
      <c r="C129" s="31" t="s">
        <v>267</v>
      </c>
      <c r="D129" s="560">
        <f t="shared" si="14"/>
        <v>20739</v>
      </c>
      <c r="E129" s="560">
        <f t="shared" si="10"/>
        <v>20739</v>
      </c>
      <c r="F129" s="560">
        <v>11118</v>
      </c>
      <c r="G129" s="560">
        <v>9611</v>
      </c>
      <c r="H129" s="560">
        <v>0</v>
      </c>
      <c r="I129" s="560">
        <v>10</v>
      </c>
      <c r="J129" s="560">
        <f t="shared" si="11"/>
        <v>0</v>
      </c>
      <c r="K129" s="561">
        <v>0</v>
      </c>
      <c r="L129" s="561">
        <v>0</v>
      </c>
      <c r="M129" s="561">
        <v>0</v>
      </c>
      <c r="N129" s="15"/>
      <c r="O129" s="15"/>
    </row>
    <row r="130" spans="1:15" x14ac:dyDescent="0.25">
      <c r="A130" s="593">
        <v>108</v>
      </c>
      <c r="B130" s="611" t="s">
        <v>268</v>
      </c>
      <c r="C130" s="31" t="s">
        <v>269</v>
      </c>
      <c r="D130" s="560">
        <f t="shared" si="14"/>
        <v>0</v>
      </c>
      <c r="E130" s="560">
        <f t="shared" si="10"/>
        <v>0</v>
      </c>
      <c r="F130" s="560">
        <v>0</v>
      </c>
      <c r="G130" s="560">
        <v>0</v>
      </c>
      <c r="H130" s="560">
        <v>0</v>
      </c>
      <c r="I130" s="560">
        <v>0</v>
      </c>
      <c r="J130" s="560">
        <f t="shared" si="11"/>
        <v>0</v>
      </c>
      <c r="K130" s="561">
        <v>0</v>
      </c>
      <c r="L130" s="561">
        <v>0</v>
      </c>
      <c r="M130" s="561">
        <v>0</v>
      </c>
      <c r="N130" s="15"/>
      <c r="O130" s="15"/>
    </row>
    <row r="131" spans="1:15" x14ac:dyDescent="0.25">
      <c r="A131" s="593">
        <v>109</v>
      </c>
      <c r="B131" s="611" t="s">
        <v>270</v>
      </c>
      <c r="C131" s="31" t="s">
        <v>271</v>
      </c>
      <c r="D131" s="560">
        <f t="shared" si="14"/>
        <v>20</v>
      </c>
      <c r="E131" s="560">
        <f t="shared" si="10"/>
        <v>20</v>
      </c>
      <c r="F131" s="560">
        <v>0</v>
      </c>
      <c r="G131" s="560">
        <v>16</v>
      </c>
      <c r="H131" s="560">
        <v>0</v>
      </c>
      <c r="I131" s="560">
        <v>4</v>
      </c>
      <c r="J131" s="560">
        <f t="shared" si="11"/>
        <v>0</v>
      </c>
      <c r="K131" s="561">
        <v>0</v>
      </c>
      <c r="L131" s="561">
        <v>0</v>
      </c>
      <c r="M131" s="561">
        <v>0</v>
      </c>
      <c r="N131" s="15"/>
      <c r="O131" s="15"/>
    </row>
    <row r="132" spans="1:15" x14ac:dyDescent="0.25">
      <c r="A132" s="593">
        <v>110</v>
      </c>
      <c r="B132" s="71" t="s">
        <v>272</v>
      </c>
      <c r="C132" s="31" t="s">
        <v>273</v>
      </c>
      <c r="D132" s="560">
        <f t="shared" si="14"/>
        <v>0</v>
      </c>
      <c r="E132" s="560">
        <f t="shared" si="10"/>
        <v>0</v>
      </c>
      <c r="F132" s="560">
        <v>0</v>
      </c>
      <c r="G132" s="560">
        <v>0</v>
      </c>
      <c r="H132" s="560">
        <v>0</v>
      </c>
      <c r="I132" s="560">
        <v>0</v>
      </c>
      <c r="J132" s="560">
        <f t="shared" si="11"/>
        <v>0</v>
      </c>
      <c r="K132" s="561">
        <v>0</v>
      </c>
      <c r="L132" s="561">
        <v>0</v>
      </c>
      <c r="M132" s="561">
        <v>0</v>
      </c>
      <c r="N132" s="15"/>
      <c r="O132" s="15"/>
    </row>
    <row r="133" spans="1:15" x14ac:dyDescent="0.25">
      <c r="A133" s="593">
        <v>111</v>
      </c>
      <c r="B133" s="71" t="s">
        <v>274</v>
      </c>
      <c r="C133" s="31" t="s">
        <v>275</v>
      </c>
      <c r="D133" s="560">
        <f t="shared" si="14"/>
        <v>0</v>
      </c>
      <c r="E133" s="560">
        <f t="shared" si="10"/>
        <v>0</v>
      </c>
      <c r="F133" s="560">
        <v>0</v>
      </c>
      <c r="G133" s="560">
        <v>0</v>
      </c>
      <c r="H133" s="560">
        <v>0</v>
      </c>
      <c r="I133" s="560">
        <v>0</v>
      </c>
      <c r="J133" s="560">
        <f t="shared" si="11"/>
        <v>0</v>
      </c>
      <c r="K133" s="561">
        <v>0</v>
      </c>
      <c r="L133" s="561">
        <v>0</v>
      </c>
      <c r="M133" s="561">
        <v>0</v>
      </c>
      <c r="N133" s="15"/>
      <c r="O133" s="15"/>
    </row>
    <row r="134" spans="1:15" x14ac:dyDescent="0.25">
      <c r="A134" s="593">
        <v>112</v>
      </c>
      <c r="B134" s="71" t="s">
        <v>276</v>
      </c>
      <c r="C134" s="31" t="s">
        <v>277</v>
      </c>
      <c r="D134" s="560">
        <f t="shared" si="14"/>
        <v>1501</v>
      </c>
      <c r="E134" s="560">
        <f t="shared" si="10"/>
        <v>1501</v>
      </c>
      <c r="F134" s="560">
        <v>0</v>
      </c>
      <c r="G134" s="560">
        <v>0</v>
      </c>
      <c r="H134" s="560">
        <v>1501</v>
      </c>
      <c r="I134" s="560">
        <v>0</v>
      </c>
      <c r="J134" s="560">
        <f t="shared" si="11"/>
        <v>0</v>
      </c>
      <c r="K134" s="561">
        <v>0</v>
      </c>
      <c r="L134" s="561">
        <v>0</v>
      </c>
      <c r="M134" s="561">
        <v>0</v>
      </c>
      <c r="N134" s="15"/>
      <c r="O134" s="15"/>
    </row>
    <row r="135" spans="1:15" x14ac:dyDescent="0.25">
      <c r="A135" s="593">
        <v>113</v>
      </c>
      <c r="B135" s="611" t="s">
        <v>278</v>
      </c>
      <c r="C135" s="31" t="s">
        <v>279</v>
      </c>
      <c r="D135" s="560">
        <f t="shared" si="14"/>
        <v>0</v>
      </c>
      <c r="E135" s="560">
        <f t="shared" si="10"/>
        <v>0</v>
      </c>
      <c r="F135" s="560">
        <v>0</v>
      </c>
      <c r="G135" s="560">
        <v>0</v>
      </c>
      <c r="H135" s="560">
        <v>0</v>
      </c>
      <c r="I135" s="560">
        <v>0</v>
      </c>
      <c r="J135" s="560">
        <f t="shared" si="11"/>
        <v>0</v>
      </c>
      <c r="K135" s="561">
        <v>0</v>
      </c>
      <c r="L135" s="561">
        <v>0</v>
      </c>
      <c r="M135" s="561">
        <v>0</v>
      </c>
      <c r="N135" s="15"/>
      <c r="O135" s="15"/>
    </row>
    <row r="136" spans="1:15" x14ac:dyDescent="0.25">
      <c r="A136" s="593">
        <v>114</v>
      </c>
      <c r="B136" s="611" t="s">
        <v>280</v>
      </c>
      <c r="C136" s="31" t="s">
        <v>281</v>
      </c>
      <c r="D136" s="560">
        <f t="shared" si="14"/>
        <v>0</v>
      </c>
      <c r="E136" s="560">
        <f t="shared" si="10"/>
        <v>0</v>
      </c>
      <c r="F136" s="560">
        <v>0</v>
      </c>
      <c r="G136" s="560">
        <v>0</v>
      </c>
      <c r="H136" s="560">
        <v>0</v>
      </c>
      <c r="I136" s="560">
        <v>0</v>
      </c>
      <c r="J136" s="560">
        <f t="shared" si="11"/>
        <v>0</v>
      </c>
      <c r="K136" s="561">
        <v>0</v>
      </c>
      <c r="L136" s="561">
        <v>0</v>
      </c>
      <c r="M136" s="561">
        <v>0</v>
      </c>
      <c r="N136" s="15"/>
      <c r="O136" s="15"/>
    </row>
    <row r="137" spans="1:15" x14ac:dyDescent="0.25">
      <c r="A137" s="593">
        <v>115</v>
      </c>
      <c r="B137" s="611" t="s">
        <v>282</v>
      </c>
      <c r="C137" s="31" t="s">
        <v>772</v>
      </c>
      <c r="D137" s="560">
        <f t="shared" si="14"/>
        <v>0</v>
      </c>
      <c r="E137" s="560">
        <f t="shared" si="10"/>
        <v>0</v>
      </c>
      <c r="F137" s="560">
        <v>0</v>
      </c>
      <c r="G137" s="560">
        <v>0</v>
      </c>
      <c r="H137" s="560">
        <v>0</v>
      </c>
      <c r="I137" s="560">
        <v>0</v>
      </c>
      <c r="J137" s="560">
        <f t="shared" si="11"/>
        <v>0</v>
      </c>
      <c r="K137" s="561">
        <v>0</v>
      </c>
      <c r="L137" s="561">
        <v>0</v>
      </c>
      <c r="M137" s="561">
        <v>0</v>
      </c>
      <c r="N137" s="15"/>
      <c r="O137" s="15"/>
    </row>
    <row r="138" spans="1:15" x14ac:dyDescent="0.25">
      <c r="A138" s="593">
        <v>116</v>
      </c>
      <c r="B138" s="71" t="s">
        <v>283</v>
      </c>
      <c r="C138" s="31" t="s">
        <v>284</v>
      </c>
      <c r="D138" s="560">
        <f t="shared" si="14"/>
        <v>13122</v>
      </c>
      <c r="E138" s="560">
        <f t="shared" si="10"/>
        <v>12352</v>
      </c>
      <c r="F138" s="560">
        <v>6469</v>
      </c>
      <c r="G138" s="560">
        <v>5883</v>
      </c>
      <c r="H138" s="560">
        <v>0</v>
      </c>
      <c r="I138" s="560">
        <v>0</v>
      </c>
      <c r="J138" s="560">
        <f t="shared" si="11"/>
        <v>770</v>
      </c>
      <c r="K138" s="561">
        <v>112</v>
      </c>
      <c r="L138" s="561">
        <v>658</v>
      </c>
      <c r="M138" s="561">
        <v>0</v>
      </c>
      <c r="N138" s="15"/>
      <c r="O138" s="15"/>
    </row>
    <row r="139" spans="1:15" x14ac:dyDescent="0.25">
      <c r="A139" s="593">
        <v>117</v>
      </c>
      <c r="B139" s="72" t="s">
        <v>285</v>
      </c>
      <c r="C139" s="31" t="s">
        <v>728</v>
      </c>
      <c r="D139" s="560">
        <f t="shared" si="14"/>
        <v>16420</v>
      </c>
      <c r="E139" s="560">
        <f t="shared" si="10"/>
        <v>15540</v>
      </c>
      <c r="F139" s="560">
        <v>6993</v>
      </c>
      <c r="G139" s="560">
        <v>8257</v>
      </c>
      <c r="H139" s="560">
        <v>290</v>
      </c>
      <c r="I139" s="560">
        <v>0</v>
      </c>
      <c r="J139" s="560">
        <f t="shared" si="11"/>
        <v>880</v>
      </c>
      <c r="K139" s="561">
        <v>139</v>
      </c>
      <c r="L139" s="561">
        <v>705</v>
      </c>
      <c r="M139" s="561">
        <v>36</v>
      </c>
      <c r="N139" s="15"/>
      <c r="O139" s="15"/>
    </row>
    <row r="140" spans="1:15" x14ac:dyDescent="0.25">
      <c r="A140" s="593">
        <v>118</v>
      </c>
      <c r="B140" s="611" t="s">
        <v>286</v>
      </c>
      <c r="C140" s="31" t="s">
        <v>287</v>
      </c>
      <c r="D140" s="560">
        <f t="shared" si="14"/>
        <v>0</v>
      </c>
      <c r="E140" s="560">
        <f t="shared" si="10"/>
        <v>0</v>
      </c>
      <c r="F140" s="560">
        <v>0</v>
      </c>
      <c r="G140" s="560">
        <v>0</v>
      </c>
      <c r="H140" s="560">
        <v>0</v>
      </c>
      <c r="I140" s="560">
        <v>0</v>
      </c>
      <c r="J140" s="560">
        <f t="shared" si="11"/>
        <v>0</v>
      </c>
      <c r="K140" s="561">
        <v>0</v>
      </c>
      <c r="L140" s="561">
        <v>0</v>
      </c>
      <c r="M140" s="561">
        <v>0</v>
      </c>
      <c r="N140" s="15"/>
      <c r="O140" s="15"/>
    </row>
    <row r="141" spans="1:15" x14ac:dyDescent="0.25">
      <c r="A141" s="593">
        <v>119</v>
      </c>
      <c r="B141" s="71" t="s">
        <v>288</v>
      </c>
      <c r="C141" s="31" t="s">
        <v>289</v>
      </c>
      <c r="D141" s="560">
        <f t="shared" si="14"/>
        <v>0</v>
      </c>
      <c r="E141" s="560">
        <f t="shared" ref="E141:E149" si="15">F141+G141+H141+I141</f>
        <v>0</v>
      </c>
      <c r="F141" s="560">
        <v>0</v>
      </c>
      <c r="G141" s="560">
        <v>0</v>
      </c>
      <c r="H141" s="560">
        <v>0</v>
      </c>
      <c r="I141" s="560">
        <v>0</v>
      </c>
      <c r="J141" s="560">
        <f t="shared" si="11"/>
        <v>0</v>
      </c>
      <c r="K141" s="561">
        <v>0</v>
      </c>
      <c r="L141" s="561">
        <v>0</v>
      </c>
      <c r="M141" s="561">
        <v>0</v>
      </c>
      <c r="N141" s="15"/>
      <c r="O141" s="15"/>
    </row>
    <row r="142" spans="1:15" ht="12.75" x14ac:dyDescent="0.25">
      <c r="A142" s="593">
        <v>120</v>
      </c>
      <c r="B142" s="612" t="s">
        <v>290</v>
      </c>
      <c r="C142" s="122" t="s">
        <v>291</v>
      </c>
      <c r="D142" s="560">
        <f t="shared" si="14"/>
        <v>0</v>
      </c>
      <c r="E142" s="560">
        <f t="shared" si="15"/>
        <v>0</v>
      </c>
      <c r="F142" s="560">
        <v>0</v>
      </c>
      <c r="G142" s="560">
        <v>0</v>
      </c>
      <c r="H142" s="560">
        <v>0</v>
      </c>
      <c r="I142" s="560">
        <v>0</v>
      </c>
      <c r="J142" s="560">
        <f t="shared" si="11"/>
        <v>0</v>
      </c>
      <c r="K142" s="561">
        <v>0</v>
      </c>
      <c r="L142" s="561">
        <v>0</v>
      </c>
      <c r="M142" s="561">
        <v>0</v>
      </c>
      <c r="N142" s="15"/>
      <c r="O142" s="15"/>
    </row>
    <row r="143" spans="1:15" ht="12.75" x14ac:dyDescent="0.25">
      <c r="A143" s="593">
        <v>121</v>
      </c>
      <c r="B143" s="123" t="s">
        <v>292</v>
      </c>
      <c r="C143" s="614" t="s">
        <v>293</v>
      </c>
      <c r="D143" s="560">
        <f t="shared" si="14"/>
        <v>0</v>
      </c>
      <c r="E143" s="560">
        <f t="shared" si="15"/>
        <v>0</v>
      </c>
      <c r="F143" s="560">
        <v>0</v>
      </c>
      <c r="G143" s="560">
        <v>0</v>
      </c>
      <c r="H143" s="560">
        <v>0</v>
      </c>
      <c r="I143" s="560">
        <v>0</v>
      </c>
      <c r="J143" s="560">
        <f t="shared" si="11"/>
        <v>0</v>
      </c>
      <c r="K143" s="561">
        <v>0</v>
      </c>
      <c r="L143" s="561">
        <v>0</v>
      </c>
      <c r="M143" s="561">
        <v>0</v>
      </c>
      <c r="N143" s="15"/>
      <c r="O143" s="15"/>
    </row>
    <row r="144" spans="1:15" ht="12.75" x14ac:dyDescent="0.25">
      <c r="A144" s="593">
        <v>122</v>
      </c>
      <c r="B144" s="125" t="s">
        <v>294</v>
      </c>
      <c r="C144" s="615" t="s">
        <v>295</v>
      </c>
      <c r="D144" s="560">
        <f t="shared" si="14"/>
        <v>0</v>
      </c>
      <c r="E144" s="560">
        <f t="shared" si="15"/>
        <v>0</v>
      </c>
      <c r="F144" s="560">
        <v>0</v>
      </c>
      <c r="G144" s="560">
        <v>0</v>
      </c>
      <c r="H144" s="560">
        <v>0</v>
      </c>
      <c r="I144" s="560">
        <v>0</v>
      </c>
      <c r="J144" s="560">
        <f t="shared" ref="J144:J149" si="16">K144+L144+M144</f>
        <v>0</v>
      </c>
      <c r="K144" s="561">
        <v>0</v>
      </c>
      <c r="L144" s="561">
        <v>0</v>
      </c>
      <c r="M144" s="561">
        <v>0</v>
      </c>
      <c r="N144" s="15"/>
      <c r="O144" s="15"/>
    </row>
    <row r="145" spans="1:31" ht="12.75" x14ac:dyDescent="0.25">
      <c r="A145" s="593">
        <v>123</v>
      </c>
      <c r="B145" s="127" t="s">
        <v>296</v>
      </c>
      <c r="C145" s="616" t="s">
        <v>323</v>
      </c>
      <c r="D145" s="560">
        <f t="shared" si="14"/>
        <v>0</v>
      </c>
      <c r="E145" s="560">
        <f t="shared" si="15"/>
        <v>0</v>
      </c>
      <c r="F145" s="560">
        <v>0</v>
      </c>
      <c r="G145" s="560">
        <v>0</v>
      </c>
      <c r="H145" s="560">
        <v>0</v>
      </c>
      <c r="I145" s="560">
        <v>0</v>
      </c>
      <c r="J145" s="560">
        <f t="shared" si="16"/>
        <v>0</v>
      </c>
      <c r="K145" s="561">
        <v>0</v>
      </c>
      <c r="L145" s="561">
        <v>0</v>
      </c>
      <c r="M145" s="561">
        <v>0</v>
      </c>
      <c r="N145" s="15"/>
      <c r="O145" s="15"/>
    </row>
    <row r="146" spans="1:31" x14ac:dyDescent="0.25">
      <c r="A146" s="593">
        <v>124</v>
      </c>
      <c r="B146" s="593" t="s">
        <v>298</v>
      </c>
      <c r="C146" s="602" t="s">
        <v>299</v>
      </c>
      <c r="D146" s="560">
        <f t="shared" si="14"/>
        <v>0</v>
      </c>
      <c r="E146" s="560">
        <f t="shared" si="15"/>
        <v>0</v>
      </c>
      <c r="F146" s="560">
        <v>0</v>
      </c>
      <c r="G146" s="560">
        <v>0</v>
      </c>
      <c r="H146" s="560">
        <v>0</v>
      </c>
      <c r="I146" s="560">
        <v>0</v>
      </c>
      <c r="J146" s="560">
        <f t="shared" si="16"/>
        <v>0</v>
      </c>
      <c r="K146" s="561">
        <v>0</v>
      </c>
      <c r="L146" s="561">
        <v>0</v>
      </c>
      <c r="M146" s="561">
        <v>0</v>
      </c>
      <c r="N146" s="15"/>
      <c r="O146" s="15"/>
    </row>
    <row r="147" spans="1:31" x14ac:dyDescent="0.25">
      <c r="A147" s="593">
        <v>125</v>
      </c>
      <c r="B147" s="597" t="s">
        <v>300</v>
      </c>
      <c r="C147" s="602" t="s">
        <v>301</v>
      </c>
      <c r="D147" s="560">
        <f t="shared" si="14"/>
        <v>0</v>
      </c>
      <c r="E147" s="560">
        <f t="shared" si="15"/>
        <v>0</v>
      </c>
      <c r="F147" s="560">
        <v>0</v>
      </c>
      <c r="G147" s="560">
        <v>0</v>
      </c>
      <c r="H147" s="560">
        <v>0</v>
      </c>
      <c r="I147" s="560">
        <v>0</v>
      </c>
      <c r="J147" s="560">
        <f t="shared" si="16"/>
        <v>0</v>
      </c>
      <c r="K147" s="561">
        <v>0</v>
      </c>
      <c r="L147" s="561">
        <v>0</v>
      </c>
      <c r="M147" s="561">
        <v>0</v>
      </c>
      <c r="N147" s="15"/>
      <c r="O147" s="15"/>
    </row>
    <row r="148" spans="1:31" x14ac:dyDescent="0.25">
      <c r="A148" s="593">
        <v>126</v>
      </c>
      <c r="B148" s="597" t="s">
        <v>302</v>
      </c>
      <c r="C148" s="602" t="s">
        <v>303</v>
      </c>
      <c r="D148" s="560">
        <f t="shared" si="14"/>
        <v>0</v>
      </c>
      <c r="E148" s="560">
        <f t="shared" si="15"/>
        <v>0</v>
      </c>
      <c r="F148" s="560">
        <v>0</v>
      </c>
      <c r="G148" s="560">
        <v>0</v>
      </c>
      <c r="H148" s="560">
        <v>0</v>
      </c>
      <c r="I148" s="560">
        <v>0</v>
      </c>
      <c r="J148" s="560">
        <f t="shared" si="16"/>
        <v>0</v>
      </c>
      <c r="K148" s="561">
        <v>0</v>
      </c>
      <c r="L148" s="561">
        <v>0</v>
      </c>
      <c r="M148" s="561">
        <v>0</v>
      </c>
      <c r="N148" s="15"/>
      <c r="O148" s="15"/>
    </row>
    <row r="149" spans="1:31" x14ac:dyDescent="0.25">
      <c r="A149" s="593">
        <v>127</v>
      </c>
      <c r="B149" s="597" t="s">
        <v>304</v>
      </c>
      <c r="C149" s="602" t="s">
        <v>305</v>
      </c>
      <c r="D149" s="560">
        <f t="shared" si="14"/>
        <v>0</v>
      </c>
      <c r="E149" s="560">
        <f t="shared" si="15"/>
        <v>0</v>
      </c>
      <c r="F149" s="560">
        <v>0</v>
      </c>
      <c r="G149" s="560">
        <v>0</v>
      </c>
      <c r="H149" s="560">
        <v>0</v>
      </c>
      <c r="I149" s="560">
        <v>0</v>
      </c>
      <c r="J149" s="560">
        <f t="shared" si="16"/>
        <v>0</v>
      </c>
      <c r="K149" s="561">
        <v>0</v>
      </c>
      <c r="L149" s="561">
        <v>0</v>
      </c>
      <c r="M149" s="561">
        <v>0</v>
      </c>
      <c r="N149" s="15"/>
      <c r="O149" s="15"/>
    </row>
    <row r="150" spans="1:31" s="15" customFormat="1" x14ac:dyDescent="0.25">
      <c r="A150" s="559"/>
      <c r="B150" s="559"/>
      <c r="C150" s="2"/>
      <c r="D150" s="2"/>
      <c r="E150" s="2"/>
      <c r="F150" s="2"/>
      <c r="G150" s="2"/>
      <c r="H150" s="2"/>
      <c r="I150" s="2"/>
      <c r="J150" s="2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</row>
    <row r="151" spans="1:31" s="15" customFormat="1" x14ac:dyDescent="0.25">
      <c r="A151" s="559"/>
      <c r="B151" s="559"/>
      <c r="C151" s="2"/>
      <c r="D151" s="2"/>
      <c r="E151" s="2"/>
      <c r="F151" s="2"/>
      <c r="G151" s="2"/>
      <c r="H151" s="2"/>
      <c r="I151" s="2"/>
      <c r="J151" s="2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</row>
    <row r="152" spans="1:31" s="15" customFormat="1" x14ac:dyDescent="0.25">
      <c r="A152" s="559"/>
      <c r="B152" s="559"/>
      <c r="C152" s="2"/>
      <c r="D152" s="2"/>
      <c r="E152" s="2"/>
      <c r="F152" s="2"/>
      <c r="G152" s="2"/>
      <c r="H152" s="2"/>
      <c r="I152" s="2"/>
      <c r="J152" s="2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</row>
  </sheetData>
  <mergeCells count="24">
    <mergeCell ref="A11:C11"/>
    <mergeCell ref="B92:B95"/>
    <mergeCell ref="A92:A95"/>
    <mergeCell ref="I6:I7"/>
    <mergeCell ref="J6:J7"/>
    <mergeCell ref="A36:A37"/>
    <mergeCell ref="A74:A76"/>
    <mergeCell ref="A77:A80"/>
    <mergeCell ref="A84:A85"/>
    <mergeCell ref="A87:A88"/>
    <mergeCell ref="K6:K7"/>
    <mergeCell ref="L6:L7"/>
    <mergeCell ref="M6:M7"/>
    <mergeCell ref="A8:C8"/>
    <mergeCell ref="A1:M3"/>
    <mergeCell ref="A4:A7"/>
    <mergeCell ref="B4:B7"/>
    <mergeCell ref="C4:C7"/>
    <mergeCell ref="D4:D7"/>
    <mergeCell ref="E4:M4"/>
    <mergeCell ref="E5:I5"/>
    <mergeCell ref="J5:M5"/>
    <mergeCell ref="E6:E7"/>
    <mergeCell ref="H6:H7"/>
  </mergeCells>
  <pageMargins left="0" right="0" top="0" bottom="0" header="0" footer="0"/>
  <pageSetup paperSize="9" scale="8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BE147"/>
  <sheetViews>
    <sheetView tabSelected="1" topLeftCell="A2" zoomScale="98" zoomScaleNormal="98" workbookViewId="0">
      <pane xSplit="3" ySplit="8" topLeftCell="D82" activePane="bottomRight" state="frozen"/>
      <selection activeCell="A2" sqref="A2"/>
      <selection pane="topRight" activeCell="D2" sqref="D2"/>
      <selection pane="bottomLeft" activeCell="A14" sqref="A14"/>
      <selection pane="bottomRight" activeCell="G77" sqref="G77"/>
    </sheetView>
  </sheetViews>
  <sheetFormatPr defaultColWidth="9.140625" defaultRowHeight="12" x14ac:dyDescent="0.25"/>
  <cols>
    <col min="1" max="1" width="4.7109375" style="1" customWidth="1"/>
    <col min="2" max="2" width="10.7109375" style="1" customWidth="1"/>
    <col min="3" max="3" width="47.7109375" style="2" customWidth="1"/>
    <col min="4" max="4" width="16.140625" style="5" customWidth="1"/>
    <col min="5" max="5" width="17.140625" style="5" customWidth="1"/>
    <col min="6" max="6" width="14.85546875" style="5" customWidth="1"/>
    <col min="7" max="16384" width="9.140625" style="5"/>
  </cols>
  <sheetData>
    <row r="2" spans="1:8" ht="48" customHeight="1" x14ac:dyDescent="0.3">
      <c r="A2" s="1180" t="s">
        <v>547</v>
      </c>
      <c r="B2" s="1180"/>
      <c r="C2" s="1180"/>
      <c r="D2" s="1180"/>
      <c r="E2" s="1180"/>
      <c r="F2" s="1180"/>
    </row>
    <row r="3" spans="1:8" ht="12" customHeight="1" x14ac:dyDescent="0.25">
      <c r="A3" s="172"/>
      <c r="B3" s="172"/>
      <c r="C3" s="172"/>
      <c r="D3" s="172"/>
      <c r="E3" s="172"/>
      <c r="F3" s="172"/>
    </row>
    <row r="4" spans="1:8" s="10" customFormat="1" ht="12" customHeight="1" x14ac:dyDescent="0.25">
      <c r="A4" s="886" t="s">
        <v>0</v>
      </c>
      <c r="B4" s="886" t="s">
        <v>1</v>
      </c>
      <c r="C4" s="887" t="s">
        <v>2</v>
      </c>
      <c r="D4" s="1184" t="s">
        <v>539</v>
      </c>
      <c r="E4" s="1185" t="s">
        <v>540</v>
      </c>
      <c r="F4" s="1185"/>
      <c r="H4" s="5"/>
    </row>
    <row r="5" spans="1:8" ht="36" x14ac:dyDescent="0.25">
      <c r="A5" s="886"/>
      <c r="B5" s="886"/>
      <c r="C5" s="887"/>
      <c r="D5" s="1184"/>
      <c r="E5" s="170" t="s">
        <v>541</v>
      </c>
      <c r="F5" s="170" t="s">
        <v>542</v>
      </c>
    </row>
    <row r="6" spans="1:8" s="10" customFormat="1" x14ac:dyDescent="0.25">
      <c r="A6" s="1134" t="s">
        <v>13</v>
      </c>
      <c r="B6" s="1134"/>
      <c r="C6" s="1134"/>
      <c r="D6" s="171">
        <f>D9+D8+D7</f>
        <v>2071455</v>
      </c>
      <c r="E6" s="171">
        <f t="shared" ref="E6:F6" si="0">E9+E8+E7</f>
        <v>177233</v>
      </c>
      <c r="F6" s="171">
        <f t="shared" si="0"/>
        <v>26821</v>
      </c>
      <c r="H6" s="32"/>
    </row>
    <row r="7" spans="1:8" s="20" customFormat="1" x14ac:dyDescent="0.25">
      <c r="A7" s="16"/>
      <c r="B7" s="16"/>
      <c r="C7" s="17" t="s">
        <v>14</v>
      </c>
      <c r="D7" s="147">
        <v>10000</v>
      </c>
      <c r="E7" s="147"/>
      <c r="F7" s="147"/>
      <c r="H7" s="32"/>
    </row>
    <row r="8" spans="1:8" s="20" customFormat="1" x14ac:dyDescent="0.25">
      <c r="A8" s="16"/>
      <c r="B8" s="16"/>
      <c r="C8" s="17" t="s">
        <v>546</v>
      </c>
      <c r="D8" s="147"/>
      <c r="E8" s="147"/>
      <c r="F8" s="147"/>
      <c r="H8" s="32"/>
    </row>
    <row r="9" spans="1:8" s="10" customFormat="1" x14ac:dyDescent="0.25">
      <c r="A9" s="1134" t="s">
        <v>15</v>
      </c>
      <c r="B9" s="1134"/>
      <c r="C9" s="1134"/>
      <c r="D9" s="171">
        <f>SUM(D10:D147)-D35-D73-D74-D76-D77-D78-D83-D86-D90</f>
        <v>2061455</v>
      </c>
      <c r="E9" s="171">
        <f t="shared" ref="E9:F9" si="1">SUM(E10:E147)-E35-E73-E74-E76-E77-E78-E83-E86-E90</f>
        <v>177233</v>
      </c>
      <c r="F9" s="171">
        <f t="shared" si="1"/>
        <v>26821</v>
      </c>
      <c r="H9" s="32"/>
    </row>
    <row r="10" spans="1:8" s="27" customFormat="1" x14ac:dyDescent="0.25">
      <c r="A10" s="146">
        <v>1</v>
      </c>
      <c r="B10" s="49" t="s">
        <v>54</v>
      </c>
      <c r="C10" s="50" t="s">
        <v>55</v>
      </c>
      <c r="D10" s="147">
        <v>9021</v>
      </c>
      <c r="E10" s="147">
        <v>0</v>
      </c>
      <c r="F10" s="147">
        <v>0</v>
      </c>
      <c r="H10" s="32"/>
    </row>
    <row r="11" spans="1:8" s="27" customFormat="1" x14ac:dyDescent="0.25">
      <c r="A11" s="146">
        <v>2</v>
      </c>
      <c r="B11" s="52" t="s">
        <v>56</v>
      </c>
      <c r="C11" s="50" t="s">
        <v>57</v>
      </c>
      <c r="D11" s="147">
        <v>9084</v>
      </c>
      <c r="E11" s="147">
        <v>0</v>
      </c>
      <c r="F11" s="147">
        <v>0</v>
      </c>
      <c r="H11" s="32"/>
    </row>
    <row r="12" spans="1:8" s="149" customFormat="1" x14ac:dyDescent="0.25">
      <c r="A12" s="146">
        <v>3</v>
      </c>
      <c r="B12" s="167" t="s">
        <v>16</v>
      </c>
      <c r="C12" s="50" t="s">
        <v>17</v>
      </c>
      <c r="D12" s="147">
        <v>29285</v>
      </c>
      <c r="E12" s="147">
        <v>0</v>
      </c>
      <c r="F12" s="147">
        <v>0</v>
      </c>
      <c r="H12" s="32"/>
    </row>
    <row r="13" spans="1:8" s="27" customFormat="1" x14ac:dyDescent="0.25">
      <c r="A13" s="146">
        <v>4</v>
      </c>
      <c r="B13" s="49" t="s">
        <v>58</v>
      </c>
      <c r="C13" s="50" t="s">
        <v>59</v>
      </c>
      <c r="D13" s="147">
        <v>9498</v>
      </c>
      <c r="E13" s="147">
        <v>0</v>
      </c>
      <c r="F13" s="147">
        <v>0</v>
      </c>
      <c r="H13" s="32"/>
    </row>
    <row r="14" spans="1:8" s="27" customFormat="1" x14ac:dyDescent="0.25">
      <c r="A14" s="146">
        <v>5</v>
      </c>
      <c r="B14" s="49" t="s">
        <v>60</v>
      </c>
      <c r="C14" s="50" t="s">
        <v>61</v>
      </c>
      <c r="D14" s="147">
        <v>10855</v>
      </c>
      <c r="E14" s="147">
        <v>0</v>
      </c>
      <c r="F14" s="147">
        <v>0</v>
      </c>
      <c r="H14" s="32"/>
    </row>
    <row r="15" spans="1:8" s="149" customFormat="1" x14ac:dyDescent="0.25">
      <c r="A15" s="146">
        <v>6</v>
      </c>
      <c r="B15" s="167" t="s">
        <v>18</v>
      </c>
      <c r="C15" s="50" t="s">
        <v>19</v>
      </c>
      <c r="D15" s="147">
        <v>81986</v>
      </c>
      <c r="E15" s="147">
        <v>0</v>
      </c>
      <c r="F15" s="147">
        <v>0</v>
      </c>
      <c r="H15" s="32"/>
    </row>
    <row r="16" spans="1:8" s="27" customFormat="1" x14ac:dyDescent="0.25">
      <c r="A16" s="146">
        <v>7</v>
      </c>
      <c r="B16" s="49" t="s">
        <v>62</v>
      </c>
      <c r="C16" s="50" t="s">
        <v>63</v>
      </c>
      <c r="D16" s="147">
        <v>28539</v>
      </c>
      <c r="E16" s="147">
        <v>0</v>
      </c>
      <c r="F16" s="147">
        <v>0</v>
      </c>
      <c r="H16" s="32"/>
    </row>
    <row r="17" spans="1:8" s="27" customFormat="1" x14ac:dyDescent="0.25">
      <c r="A17" s="146">
        <v>8</v>
      </c>
      <c r="B17" s="167" t="s">
        <v>64</v>
      </c>
      <c r="C17" s="50" t="s">
        <v>65</v>
      </c>
      <c r="D17" s="147">
        <v>11433</v>
      </c>
      <c r="E17" s="147">
        <v>0</v>
      </c>
      <c r="F17" s="147">
        <v>0</v>
      </c>
      <c r="H17" s="32"/>
    </row>
    <row r="18" spans="1:8" s="27" customFormat="1" x14ac:dyDescent="0.25">
      <c r="A18" s="146">
        <v>9</v>
      </c>
      <c r="B18" s="167" t="s">
        <v>66</v>
      </c>
      <c r="C18" s="50" t="s">
        <v>67</v>
      </c>
      <c r="D18" s="147">
        <v>10091</v>
      </c>
      <c r="E18" s="147">
        <v>0</v>
      </c>
      <c r="F18" s="147">
        <v>0</v>
      </c>
      <c r="H18" s="32"/>
    </row>
    <row r="19" spans="1:8" s="27" customFormat="1" x14ac:dyDescent="0.25">
      <c r="A19" s="146">
        <v>10</v>
      </c>
      <c r="B19" s="167" t="s">
        <v>68</v>
      </c>
      <c r="C19" s="50" t="s">
        <v>69</v>
      </c>
      <c r="D19" s="147">
        <v>13813</v>
      </c>
      <c r="E19" s="147">
        <v>0</v>
      </c>
      <c r="F19" s="147">
        <v>0</v>
      </c>
      <c r="H19" s="32"/>
    </row>
    <row r="20" spans="1:8" s="27" customFormat="1" x14ac:dyDescent="0.25">
      <c r="A20" s="146">
        <v>11</v>
      </c>
      <c r="B20" s="167" t="s">
        <v>70</v>
      </c>
      <c r="C20" s="50" t="s">
        <v>71</v>
      </c>
      <c r="D20" s="147">
        <v>10285</v>
      </c>
      <c r="E20" s="147">
        <v>0</v>
      </c>
      <c r="F20" s="147">
        <v>0</v>
      </c>
      <c r="H20" s="32"/>
    </row>
    <row r="21" spans="1:8" s="27" customFormat="1" x14ac:dyDescent="0.25">
      <c r="A21" s="146">
        <v>12</v>
      </c>
      <c r="B21" s="167" t="s">
        <v>72</v>
      </c>
      <c r="C21" s="50" t="s">
        <v>73</v>
      </c>
      <c r="D21" s="147">
        <v>21260</v>
      </c>
      <c r="E21" s="147">
        <v>0</v>
      </c>
      <c r="F21" s="147">
        <v>0</v>
      </c>
      <c r="H21" s="32"/>
    </row>
    <row r="22" spans="1:8" s="27" customFormat="1" x14ac:dyDescent="0.25">
      <c r="A22" s="146">
        <v>13</v>
      </c>
      <c r="B22" s="167" t="s">
        <v>74</v>
      </c>
      <c r="C22" s="50" t="s">
        <v>75</v>
      </c>
      <c r="D22" s="147">
        <v>0</v>
      </c>
      <c r="E22" s="147">
        <v>0</v>
      </c>
      <c r="F22" s="147">
        <v>0</v>
      </c>
      <c r="H22" s="32"/>
    </row>
    <row r="23" spans="1:8" s="27" customFormat="1" x14ac:dyDescent="0.25">
      <c r="A23" s="146">
        <v>14</v>
      </c>
      <c r="B23" s="167" t="s">
        <v>76</v>
      </c>
      <c r="C23" s="50" t="s">
        <v>77</v>
      </c>
      <c r="D23" s="147">
        <v>13652</v>
      </c>
      <c r="E23" s="147">
        <v>0</v>
      </c>
      <c r="F23" s="147">
        <v>0</v>
      </c>
      <c r="H23" s="32"/>
    </row>
    <row r="24" spans="1:8" s="27" customFormat="1" x14ac:dyDescent="0.25">
      <c r="A24" s="146">
        <v>15</v>
      </c>
      <c r="B24" s="167" t="s">
        <v>78</v>
      </c>
      <c r="C24" s="50" t="s">
        <v>79</v>
      </c>
      <c r="D24" s="147">
        <v>20803</v>
      </c>
      <c r="E24" s="147">
        <v>0</v>
      </c>
      <c r="F24" s="147">
        <v>0</v>
      </c>
      <c r="H24" s="32"/>
    </row>
    <row r="25" spans="1:8" s="27" customFormat="1" x14ac:dyDescent="0.25">
      <c r="A25" s="146">
        <v>16</v>
      </c>
      <c r="B25" s="167" t="s">
        <v>80</v>
      </c>
      <c r="C25" s="50" t="s">
        <v>81</v>
      </c>
      <c r="D25" s="147">
        <v>26425</v>
      </c>
      <c r="E25" s="147">
        <v>0</v>
      </c>
      <c r="F25" s="147">
        <v>0</v>
      </c>
      <c r="H25" s="32"/>
    </row>
    <row r="26" spans="1:8" s="149" customFormat="1" x14ac:dyDescent="0.25">
      <c r="A26" s="146">
        <v>17</v>
      </c>
      <c r="B26" s="167" t="s">
        <v>20</v>
      </c>
      <c r="C26" s="50" t="s">
        <v>21</v>
      </c>
      <c r="D26" s="147">
        <v>49248</v>
      </c>
      <c r="E26" s="147">
        <v>0</v>
      </c>
      <c r="F26" s="147">
        <v>0</v>
      </c>
      <c r="H26" s="32"/>
    </row>
    <row r="27" spans="1:8" s="27" customFormat="1" x14ac:dyDescent="0.25">
      <c r="A27" s="146">
        <v>18</v>
      </c>
      <c r="B27" s="49" t="s">
        <v>82</v>
      </c>
      <c r="C27" s="50" t="s">
        <v>83</v>
      </c>
      <c r="D27" s="147">
        <v>8624</v>
      </c>
      <c r="E27" s="147">
        <v>0</v>
      </c>
      <c r="F27" s="147">
        <v>0</v>
      </c>
      <c r="H27" s="32"/>
    </row>
    <row r="28" spans="1:8" s="27" customFormat="1" x14ac:dyDescent="0.25">
      <c r="A28" s="146">
        <v>19</v>
      </c>
      <c r="B28" s="49" t="s">
        <v>84</v>
      </c>
      <c r="C28" s="50" t="s">
        <v>85</v>
      </c>
      <c r="D28" s="147">
        <v>6614</v>
      </c>
      <c r="E28" s="147">
        <v>0</v>
      </c>
      <c r="F28" s="147">
        <v>0</v>
      </c>
      <c r="H28" s="32"/>
    </row>
    <row r="29" spans="1:8" x14ac:dyDescent="0.25">
      <c r="A29" s="146">
        <v>20</v>
      </c>
      <c r="B29" s="49" t="s">
        <v>86</v>
      </c>
      <c r="C29" s="50" t="s">
        <v>87</v>
      </c>
      <c r="D29" s="147">
        <v>34951</v>
      </c>
      <c r="E29" s="147">
        <v>0</v>
      </c>
      <c r="F29" s="147">
        <v>0</v>
      </c>
      <c r="H29" s="32"/>
    </row>
    <row r="30" spans="1:8" s="149" customFormat="1" x14ac:dyDescent="0.25">
      <c r="A30" s="146">
        <v>21</v>
      </c>
      <c r="B30" s="49" t="s">
        <v>22</v>
      </c>
      <c r="C30" s="50" t="s">
        <v>23</v>
      </c>
      <c r="D30" s="147">
        <v>30253</v>
      </c>
      <c r="E30" s="147">
        <v>0</v>
      </c>
      <c r="F30" s="147">
        <v>0</v>
      </c>
      <c r="H30" s="32"/>
    </row>
    <row r="31" spans="1:8" s="149" customFormat="1" x14ac:dyDescent="0.25">
      <c r="A31" s="146">
        <v>22</v>
      </c>
      <c r="B31" s="167" t="s">
        <v>24</v>
      </c>
      <c r="C31" s="50" t="s">
        <v>25</v>
      </c>
      <c r="D31" s="147">
        <v>6984</v>
      </c>
      <c r="E31" s="147">
        <v>0</v>
      </c>
      <c r="F31" s="147">
        <v>0</v>
      </c>
      <c r="H31" s="32"/>
    </row>
    <row r="32" spans="1:8" s="27" customFormat="1" x14ac:dyDescent="0.25">
      <c r="A32" s="146">
        <v>23</v>
      </c>
      <c r="B32" s="167" t="s">
        <v>88</v>
      </c>
      <c r="C32" s="50" t="s">
        <v>89</v>
      </c>
      <c r="D32" s="147">
        <v>0</v>
      </c>
      <c r="E32" s="147">
        <v>0</v>
      </c>
      <c r="F32" s="147">
        <v>0</v>
      </c>
      <c r="H32" s="32"/>
    </row>
    <row r="33" spans="1:8" s="27" customFormat="1" x14ac:dyDescent="0.25">
      <c r="A33" s="146">
        <v>24</v>
      </c>
      <c r="B33" s="167" t="s">
        <v>90</v>
      </c>
      <c r="C33" s="50" t="s">
        <v>91</v>
      </c>
      <c r="D33" s="147">
        <v>0</v>
      </c>
      <c r="E33" s="147">
        <v>0</v>
      </c>
      <c r="F33" s="147">
        <v>0</v>
      </c>
      <c r="H33" s="32"/>
    </row>
    <row r="34" spans="1:8" s="27" customFormat="1" ht="24" x14ac:dyDescent="0.25">
      <c r="A34" s="1181">
        <v>25</v>
      </c>
      <c r="B34" s="49" t="s">
        <v>92</v>
      </c>
      <c r="C34" s="57" t="s">
        <v>792</v>
      </c>
      <c r="D34" s="147">
        <v>148761</v>
      </c>
      <c r="E34" s="147">
        <v>36279</v>
      </c>
      <c r="F34" s="147">
        <v>0</v>
      </c>
      <c r="H34" s="32"/>
    </row>
    <row r="35" spans="1:8" s="27" customFormat="1" x14ac:dyDescent="0.25">
      <c r="A35" s="1183"/>
      <c r="B35" s="167" t="s">
        <v>94</v>
      </c>
      <c r="C35" s="50" t="s">
        <v>95</v>
      </c>
      <c r="D35" s="147">
        <v>8691</v>
      </c>
      <c r="E35" s="147">
        <v>4308</v>
      </c>
      <c r="F35" s="147">
        <v>0</v>
      </c>
      <c r="H35" s="32"/>
    </row>
    <row r="36" spans="1:8" s="27" customFormat="1" x14ac:dyDescent="0.25">
      <c r="A36" s="146">
        <v>26</v>
      </c>
      <c r="B36" s="52" t="s">
        <v>96</v>
      </c>
      <c r="C36" s="50" t="s">
        <v>97</v>
      </c>
      <c r="D36" s="147">
        <v>11000</v>
      </c>
      <c r="E36" s="147">
        <v>0</v>
      </c>
      <c r="F36" s="147">
        <v>0</v>
      </c>
      <c r="H36" s="32"/>
    </row>
    <row r="37" spans="1:8" s="149" customFormat="1" x14ac:dyDescent="0.25">
      <c r="A37" s="146">
        <v>27</v>
      </c>
      <c r="B37" s="52" t="s">
        <v>26</v>
      </c>
      <c r="C37" s="50" t="s">
        <v>27</v>
      </c>
      <c r="D37" s="147">
        <v>40724</v>
      </c>
      <c r="E37" s="147">
        <v>0</v>
      </c>
      <c r="F37" s="147">
        <v>0</v>
      </c>
      <c r="H37" s="32"/>
    </row>
    <row r="38" spans="1:8" x14ac:dyDescent="0.25">
      <c r="A38" s="146">
        <v>28</v>
      </c>
      <c r="B38" s="49" t="s">
        <v>98</v>
      </c>
      <c r="C38" s="50" t="s">
        <v>99</v>
      </c>
      <c r="D38" s="147">
        <v>63646</v>
      </c>
      <c r="E38" s="147">
        <v>0</v>
      </c>
      <c r="F38" s="147">
        <v>0</v>
      </c>
      <c r="H38" s="32"/>
    </row>
    <row r="39" spans="1:8" s="27" customFormat="1" x14ac:dyDescent="0.25">
      <c r="A39" s="146">
        <v>29</v>
      </c>
      <c r="B39" s="52" t="s">
        <v>100</v>
      </c>
      <c r="C39" s="50" t="s">
        <v>101</v>
      </c>
      <c r="D39" s="147">
        <v>11776</v>
      </c>
      <c r="E39" s="147">
        <v>0</v>
      </c>
      <c r="F39" s="147">
        <v>0</v>
      </c>
      <c r="H39" s="32"/>
    </row>
    <row r="40" spans="1:8" s="27" customFormat="1" x14ac:dyDescent="0.25">
      <c r="A40" s="146">
        <v>30</v>
      </c>
      <c r="B40" s="167" t="s">
        <v>102</v>
      </c>
      <c r="C40" s="50" t="s">
        <v>103</v>
      </c>
      <c r="D40" s="147">
        <v>42260</v>
      </c>
      <c r="E40" s="147">
        <v>0</v>
      </c>
      <c r="F40" s="147">
        <v>0</v>
      </c>
      <c r="H40" s="32"/>
    </row>
    <row r="41" spans="1:8" s="27" customFormat="1" x14ac:dyDescent="0.25">
      <c r="A41" s="146">
        <v>31</v>
      </c>
      <c r="B41" s="52" t="s">
        <v>104</v>
      </c>
      <c r="C41" s="50" t="s">
        <v>105</v>
      </c>
      <c r="D41" s="147">
        <v>15636</v>
      </c>
      <c r="E41" s="147">
        <v>0</v>
      </c>
      <c r="F41" s="147">
        <v>0</v>
      </c>
      <c r="H41" s="32"/>
    </row>
    <row r="42" spans="1:8" x14ac:dyDescent="0.25">
      <c r="A42" s="146">
        <v>32</v>
      </c>
      <c r="B42" s="49" t="s">
        <v>106</v>
      </c>
      <c r="C42" s="50" t="s">
        <v>107</v>
      </c>
      <c r="D42" s="147">
        <v>41020</v>
      </c>
      <c r="E42" s="147">
        <v>0</v>
      </c>
      <c r="F42" s="147">
        <v>0</v>
      </c>
      <c r="H42" s="32"/>
    </row>
    <row r="43" spans="1:8" s="27" customFormat="1" x14ac:dyDescent="0.25">
      <c r="A43" s="146">
        <v>33</v>
      </c>
      <c r="B43" s="150" t="s">
        <v>108</v>
      </c>
      <c r="C43" s="151" t="s">
        <v>109</v>
      </c>
      <c r="D43" s="147">
        <v>13846</v>
      </c>
      <c r="E43" s="147">
        <v>0</v>
      </c>
      <c r="F43" s="147">
        <v>0</v>
      </c>
      <c r="H43" s="32"/>
    </row>
    <row r="44" spans="1:8" s="27" customFormat="1" x14ac:dyDescent="0.25">
      <c r="A44" s="146">
        <v>34</v>
      </c>
      <c r="B44" s="49" t="s">
        <v>110</v>
      </c>
      <c r="C44" s="50" t="s">
        <v>111</v>
      </c>
      <c r="D44" s="147">
        <v>8514</v>
      </c>
      <c r="E44" s="147">
        <v>0</v>
      </c>
      <c r="F44" s="147">
        <v>0</v>
      </c>
      <c r="H44" s="32"/>
    </row>
    <row r="45" spans="1:8" s="27" customFormat="1" x14ac:dyDescent="0.25">
      <c r="A45" s="146">
        <v>35</v>
      </c>
      <c r="B45" s="49" t="s">
        <v>112</v>
      </c>
      <c r="C45" s="50" t="s">
        <v>113</v>
      </c>
      <c r="D45" s="147">
        <v>15145</v>
      </c>
      <c r="E45" s="147">
        <v>0</v>
      </c>
      <c r="F45" s="147">
        <v>0</v>
      </c>
      <c r="H45" s="32"/>
    </row>
    <row r="46" spans="1:8" s="27" customFormat="1" x14ac:dyDescent="0.25">
      <c r="A46" s="146">
        <v>36</v>
      </c>
      <c r="B46" s="167" t="s">
        <v>114</v>
      </c>
      <c r="C46" s="50" t="s">
        <v>115</v>
      </c>
      <c r="D46" s="147">
        <v>6645</v>
      </c>
      <c r="E46" s="147">
        <v>0</v>
      </c>
      <c r="F46" s="147">
        <v>0</v>
      </c>
      <c r="H46" s="32"/>
    </row>
    <row r="47" spans="1:8" s="27" customFormat="1" x14ac:dyDescent="0.25">
      <c r="A47" s="146">
        <v>37</v>
      </c>
      <c r="B47" s="52" t="s">
        <v>116</v>
      </c>
      <c r="C47" s="50" t="s">
        <v>117</v>
      </c>
      <c r="D47" s="147">
        <v>5216</v>
      </c>
      <c r="E47" s="147">
        <v>0</v>
      </c>
      <c r="F47" s="147">
        <v>0</v>
      </c>
      <c r="H47" s="32"/>
    </row>
    <row r="48" spans="1:8" s="149" customFormat="1" x14ac:dyDescent="0.25">
      <c r="A48" s="146">
        <v>38</v>
      </c>
      <c r="B48" s="167" t="s">
        <v>28</v>
      </c>
      <c r="C48" s="50" t="s">
        <v>29</v>
      </c>
      <c r="D48" s="147">
        <v>55986</v>
      </c>
      <c r="E48" s="147">
        <v>0</v>
      </c>
      <c r="F48" s="147">
        <v>0</v>
      </c>
      <c r="H48" s="32"/>
    </row>
    <row r="49" spans="1:8" s="27" customFormat="1" x14ac:dyDescent="0.25">
      <c r="A49" s="146">
        <v>39</v>
      </c>
      <c r="B49" s="49" t="s">
        <v>118</v>
      </c>
      <c r="C49" s="50" t="s">
        <v>119</v>
      </c>
      <c r="D49" s="147">
        <v>12236</v>
      </c>
      <c r="E49" s="147">
        <v>0</v>
      </c>
      <c r="F49" s="147">
        <v>0</v>
      </c>
      <c r="H49" s="32"/>
    </row>
    <row r="50" spans="1:8" s="27" customFormat="1" x14ac:dyDescent="0.25">
      <c r="A50" s="146">
        <v>40</v>
      </c>
      <c r="B50" s="49" t="s">
        <v>120</v>
      </c>
      <c r="C50" s="50" t="s">
        <v>121</v>
      </c>
      <c r="D50" s="147">
        <v>43750</v>
      </c>
      <c r="E50" s="147">
        <v>0</v>
      </c>
      <c r="F50" s="147">
        <v>0</v>
      </c>
      <c r="H50" s="32"/>
    </row>
    <row r="51" spans="1:8" s="27" customFormat="1" x14ac:dyDescent="0.25">
      <c r="A51" s="146">
        <v>41</v>
      </c>
      <c r="B51" s="167" t="s">
        <v>122</v>
      </c>
      <c r="C51" s="50" t="s">
        <v>123</v>
      </c>
      <c r="D51" s="147">
        <v>9316</v>
      </c>
      <c r="E51" s="147">
        <v>0</v>
      </c>
      <c r="F51" s="147">
        <v>0</v>
      </c>
      <c r="H51" s="32"/>
    </row>
    <row r="52" spans="1:8" s="27" customFormat="1" x14ac:dyDescent="0.25">
      <c r="A52" s="146">
        <v>42</v>
      </c>
      <c r="B52" s="52" t="s">
        <v>124</v>
      </c>
      <c r="C52" s="50" t="s">
        <v>125</v>
      </c>
      <c r="D52" s="147">
        <v>12521</v>
      </c>
      <c r="E52" s="147">
        <v>0</v>
      </c>
      <c r="F52" s="147">
        <v>0</v>
      </c>
      <c r="H52" s="32"/>
    </row>
    <row r="53" spans="1:8" s="27" customFormat="1" x14ac:dyDescent="0.25">
      <c r="A53" s="146">
        <v>43</v>
      </c>
      <c r="B53" s="167" t="s">
        <v>126</v>
      </c>
      <c r="C53" s="50" t="s">
        <v>127</v>
      </c>
      <c r="D53" s="147">
        <v>15027</v>
      </c>
      <c r="E53" s="147">
        <v>0</v>
      </c>
      <c r="F53" s="147">
        <v>0</v>
      </c>
      <c r="H53" s="32"/>
    </row>
    <row r="54" spans="1:8" s="27" customFormat="1" x14ac:dyDescent="0.25">
      <c r="A54" s="146">
        <v>44</v>
      </c>
      <c r="B54" s="52" t="s">
        <v>128</v>
      </c>
      <c r="C54" s="50" t="s">
        <v>129</v>
      </c>
      <c r="D54" s="147">
        <v>18054</v>
      </c>
      <c r="E54" s="147">
        <v>0</v>
      </c>
      <c r="F54" s="147">
        <v>0</v>
      </c>
      <c r="H54" s="32"/>
    </row>
    <row r="55" spans="1:8" s="27" customFormat="1" x14ac:dyDescent="0.25">
      <c r="A55" s="146">
        <v>45</v>
      </c>
      <c r="B55" s="167" t="s">
        <v>130</v>
      </c>
      <c r="C55" s="50" t="s">
        <v>131</v>
      </c>
      <c r="D55" s="147">
        <v>6011</v>
      </c>
      <c r="E55" s="147">
        <v>0</v>
      </c>
      <c r="F55" s="147">
        <v>0</v>
      </c>
      <c r="H55" s="32"/>
    </row>
    <row r="56" spans="1:8" s="27" customFormat="1" x14ac:dyDescent="0.25">
      <c r="A56" s="146">
        <v>46</v>
      </c>
      <c r="B56" s="52" t="s">
        <v>132</v>
      </c>
      <c r="C56" s="50" t="s">
        <v>133</v>
      </c>
      <c r="D56" s="147">
        <v>11628</v>
      </c>
      <c r="E56" s="147">
        <v>0</v>
      </c>
      <c r="F56" s="147">
        <v>0</v>
      </c>
      <c r="H56" s="32"/>
    </row>
    <row r="57" spans="1:8" s="27" customFormat="1" x14ac:dyDescent="0.25">
      <c r="A57" s="146">
        <v>47</v>
      </c>
      <c r="B57" s="167" t="s">
        <v>134</v>
      </c>
      <c r="C57" s="50" t="s">
        <v>135</v>
      </c>
      <c r="D57" s="147">
        <v>18181</v>
      </c>
      <c r="E57" s="147">
        <v>0</v>
      </c>
      <c r="F57" s="147">
        <v>0</v>
      </c>
      <c r="H57" s="32"/>
    </row>
    <row r="58" spans="1:8" s="27" customFormat="1" x14ac:dyDescent="0.25">
      <c r="A58" s="146">
        <v>48</v>
      </c>
      <c r="B58" s="167" t="s">
        <v>136</v>
      </c>
      <c r="C58" s="50" t="s">
        <v>137</v>
      </c>
      <c r="D58" s="147">
        <v>65143</v>
      </c>
      <c r="E58" s="147">
        <v>0</v>
      </c>
      <c r="F58" s="147">
        <v>0</v>
      </c>
      <c r="H58" s="32"/>
    </row>
    <row r="59" spans="1:8" s="27" customFormat="1" x14ac:dyDescent="0.25">
      <c r="A59" s="146">
        <v>49</v>
      </c>
      <c r="B59" s="167" t="s">
        <v>138</v>
      </c>
      <c r="C59" s="50" t="s">
        <v>139</v>
      </c>
      <c r="D59" s="147">
        <v>13048</v>
      </c>
      <c r="E59" s="147">
        <v>0</v>
      </c>
      <c r="F59" s="147">
        <v>0</v>
      </c>
      <c r="H59" s="32"/>
    </row>
    <row r="60" spans="1:8" s="27" customFormat="1" x14ac:dyDescent="0.25">
      <c r="A60" s="146">
        <v>50</v>
      </c>
      <c r="B60" s="167" t="s">
        <v>140</v>
      </c>
      <c r="C60" s="50" t="s">
        <v>141</v>
      </c>
      <c r="D60" s="147">
        <v>9537</v>
      </c>
      <c r="E60" s="147">
        <v>0</v>
      </c>
      <c r="F60" s="147">
        <v>0</v>
      </c>
      <c r="H60" s="32"/>
    </row>
    <row r="61" spans="1:8" s="27" customFormat="1" x14ac:dyDescent="0.25">
      <c r="A61" s="146">
        <v>51</v>
      </c>
      <c r="B61" s="52" t="s">
        <v>142</v>
      </c>
      <c r="C61" s="50" t="s">
        <v>143</v>
      </c>
      <c r="D61" s="147">
        <v>10509</v>
      </c>
      <c r="E61" s="147">
        <v>0</v>
      </c>
      <c r="F61" s="147">
        <v>0</v>
      </c>
      <c r="H61" s="32"/>
    </row>
    <row r="62" spans="1:8" s="27" customFormat="1" x14ac:dyDescent="0.25">
      <c r="A62" s="146">
        <v>52</v>
      </c>
      <c r="B62" s="167" t="s">
        <v>144</v>
      </c>
      <c r="C62" s="50" t="s">
        <v>145</v>
      </c>
      <c r="D62" s="147">
        <v>400</v>
      </c>
      <c r="E62" s="147">
        <v>0</v>
      </c>
      <c r="F62" s="147">
        <v>0</v>
      </c>
      <c r="H62" s="32"/>
    </row>
    <row r="63" spans="1:8" s="27" customFormat="1" x14ac:dyDescent="0.25">
      <c r="A63" s="146">
        <v>53</v>
      </c>
      <c r="B63" s="167" t="s">
        <v>146</v>
      </c>
      <c r="C63" s="50" t="s">
        <v>147</v>
      </c>
      <c r="D63" s="147">
        <v>0</v>
      </c>
      <c r="E63" s="147">
        <v>0</v>
      </c>
      <c r="F63" s="147">
        <v>0</v>
      </c>
      <c r="H63" s="32"/>
    </row>
    <row r="64" spans="1:8" s="27" customFormat="1" x14ac:dyDescent="0.25">
      <c r="A64" s="146">
        <v>54</v>
      </c>
      <c r="B64" s="167" t="s">
        <v>148</v>
      </c>
      <c r="C64" s="50" t="s">
        <v>149</v>
      </c>
      <c r="D64" s="147">
        <v>10269</v>
      </c>
      <c r="E64" s="147">
        <v>0</v>
      </c>
      <c r="F64" s="147">
        <v>0</v>
      </c>
      <c r="H64" s="32"/>
    </row>
    <row r="65" spans="1:8" s="27" customFormat="1" x14ac:dyDescent="0.25">
      <c r="A65" s="146">
        <v>55</v>
      </c>
      <c r="B65" s="52" t="s">
        <v>150</v>
      </c>
      <c r="C65" s="50" t="s">
        <v>151</v>
      </c>
      <c r="D65" s="147">
        <v>7878</v>
      </c>
      <c r="E65" s="147">
        <v>0</v>
      </c>
      <c r="F65" s="147">
        <v>0</v>
      </c>
      <c r="H65" s="32"/>
    </row>
    <row r="66" spans="1:8" s="27" customFormat="1" x14ac:dyDescent="0.25">
      <c r="A66" s="146">
        <v>56</v>
      </c>
      <c r="B66" s="52" t="s">
        <v>154</v>
      </c>
      <c r="C66" s="50" t="s">
        <v>155</v>
      </c>
      <c r="D66" s="147">
        <v>31055</v>
      </c>
      <c r="E66" s="147">
        <v>16485</v>
      </c>
      <c r="F66" s="147">
        <v>0</v>
      </c>
      <c r="H66" s="32"/>
    </row>
    <row r="67" spans="1:8" s="27" customFormat="1" x14ac:dyDescent="0.25">
      <c r="A67" s="146">
        <v>57</v>
      </c>
      <c r="B67" s="49" t="s">
        <v>158</v>
      </c>
      <c r="C67" s="50" t="s">
        <v>159</v>
      </c>
      <c r="D67" s="147">
        <v>0</v>
      </c>
      <c r="E67" s="147">
        <v>0</v>
      </c>
      <c r="F67" s="147">
        <v>0</v>
      </c>
      <c r="H67" s="32"/>
    </row>
    <row r="68" spans="1:8" s="27" customFormat="1" x14ac:dyDescent="0.25">
      <c r="A68" s="146">
        <v>58</v>
      </c>
      <c r="B68" s="49" t="s">
        <v>160</v>
      </c>
      <c r="C68" s="50" t="s">
        <v>161</v>
      </c>
      <c r="D68" s="147">
        <v>9725</v>
      </c>
      <c r="E68" s="147">
        <v>0</v>
      </c>
      <c r="F68" s="147">
        <v>0</v>
      </c>
      <c r="H68" s="32"/>
    </row>
    <row r="69" spans="1:8" s="27" customFormat="1" x14ac:dyDescent="0.25">
      <c r="A69" s="146">
        <v>59</v>
      </c>
      <c r="B69" s="52" t="s">
        <v>162</v>
      </c>
      <c r="C69" s="50" t="s">
        <v>163</v>
      </c>
      <c r="D69" s="147">
        <v>28379</v>
      </c>
      <c r="E69" s="147">
        <v>0</v>
      </c>
      <c r="F69" s="147">
        <v>0</v>
      </c>
      <c r="H69" s="32"/>
    </row>
    <row r="70" spans="1:8" s="27" customFormat="1" x14ac:dyDescent="0.25">
      <c r="A70" s="146">
        <v>60</v>
      </c>
      <c r="B70" s="52" t="s">
        <v>164</v>
      </c>
      <c r="C70" s="50" t="s">
        <v>165</v>
      </c>
      <c r="D70" s="147">
        <v>16435</v>
      </c>
      <c r="E70" s="147">
        <v>0</v>
      </c>
      <c r="F70" s="147">
        <v>0</v>
      </c>
      <c r="H70" s="32"/>
    </row>
    <row r="71" spans="1:8" s="27" customFormat="1" x14ac:dyDescent="0.25">
      <c r="A71" s="146">
        <v>61</v>
      </c>
      <c r="B71" s="52" t="s">
        <v>166</v>
      </c>
      <c r="C71" s="50" t="s">
        <v>167</v>
      </c>
      <c r="D71" s="147">
        <v>37729</v>
      </c>
      <c r="E71" s="147">
        <v>0</v>
      </c>
      <c r="F71" s="147">
        <v>0</v>
      </c>
      <c r="H71" s="32"/>
    </row>
    <row r="72" spans="1:8" s="27" customFormat="1" ht="24" x14ac:dyDescent="0.25">
      <c r="A72" s="1181">
        <v>62</v>
      </c>
      <c r="B72" s="49" t="s">
        <v>170</v>
      </c>
      <c r="C72" s="57" t="s">
        <v>793</v>
      </c>
      <c r="D72" s="147">
        <v>23001</v>
      </c>
      <c r="E72" s="147">
        <v>0</v>
      </c>
      <c r="F72" s="147">
        <v>0</v>
      </c>
      <c r="H72" s="32"/>
    </row>
    <row r="73" spans="1:8" s="27" customFormat="1" x14ac:dyDescent="0.25">
      <c r="A73" s="1182"/>
      <c r="B73" s="49" t="s">
        <v>168</v>
      </c>
      <c r="C73" s="50" t="s">
        <v>169</v>
      </c>
      <c r="D73" s="147">
        <v>0</v>
      </c>
      <c r="E73" s="147">
        <v>0</v>
      </c>
      <c r="F73" s="147">
        <v>0</v>
      </c>
      <c r="H73" s="32"/>
    </row>
    <row r="74" spans="1:8" s="27" customFormat="1" x14ac:dyDescent="0.25">
      <c r="A74" s="1183"/>
      <c r="B74" s="49" t="s">
        <v>174</v>
      </c>
      <c r="C74" s="50" t="s">
        <v>175</v>
      </c>
      <c r="D74" s="147">
        <v>0</v>
      </c>
      <c r="E74" s="147">
        <v>0</v>
      </c>
      <c r="F74" s="147">
        <v>0</v>
      </c>
      <c r="H74" s="32"/>
    </row>
    <row r="75" spans="1:8" s="27" customFormat="1" ht="24" x14ac:dyDescent="0.25">
      <c r="A75" s="1181">
        <v>63</v>
      </c>
      <c r="B75" s="49" t="s">
        <v>176</v>
      </c>
      <c r="C75" s="57" t="s">
        <v>796</v>
      </c>
      <c r="D75" s="147">
        <v>0</v>
      </c>
      <c r="E75" s="147">
        <v>0</v>
      </c>
      <c r="F75" s="147">
        <v>0</v>
      </c>
      <c r="H75" s="32"/>
    </row>
    <row r="76" spans="1:8" s="27" customFormat="1" x14ac:dyDescent="0.25">
      <c r="A76" s="1182"/>
      <c r="B76" s="52" t="s">
        <v>172</v>
      </c>
      <c r="C76" s="50" t="s">
        <v>173</v>
      </c>
      <c r="D76" s="147">
        <v>0</v>
      </c>
      <c r="E76" s="147">
        <v>0</v>
      </c>
      <c r="F76" s="147">
        <v>0</v>
      </c>
      <c r="H76" s="32"/>
    </row>
    <row r="77" spans="1:8" s="27" customFormat="1" x14ac:dyDescent="0.25">
      <c r="A77" s="1182"/>
      <c r="B77" s="49" t="s">
        <v>178</v>
      </c>
      <c r="C77" s="50" t="s">
        <v>179</v>
      </c>
      <c r="D77" s="147">
        <v>0</v>
      </c>
      <c r="E77" s="147">
        <v>0</v>
      </c>
      <c r="F77" s="147">
        <v>0</v>
      </c>
      <c r="H77" s="32"/>
    </row>
    <row r="78" spans="1:8" s="27" customFormat="1" x14ac:dyDescent="0.25">
      <c r="A78" s="1183"/>
      <c r="B78" s="49" t="s">
        <v>180</v>
      </c>
      <c r="C78" s="50" t="s">
        <v>181</v>
      </c>
      <c r="D78" s="147">
        <v>0</v>
      </c>
      <c r="E78" s="147">
        <v>0</v>
      </c>
      <c r="F78" s="147">
        <v>0</v>
      </c>
      <c r="H78" s="32"/>
    </row>
    <row r="79" spans="1:8" s="27" customFormat="1" x14ac:dyDescent="0.25">
      <c r="A79" s="146">
        <v>64</v>
      </c>
      <c r="B79" s="167" t="s">
        <v>182</v>
      </c>
      <c r="C79" s="50" t="s">
        <v>183</v>
      </c>
      <c r="D79" s="147">
        <v>46640</v>
      </c>
      <c r="E79" s="147">
        <v>12607</v>
      </c>
      <c r="F79" s="147">
        <v>0</v>
      </c>
      <c r="H79" s="32"/>
    </row>
    <row r="80" spans="1:8" s="27" customFormat="1" x14ac:dyDescent="0.25">
      <c r="A80" s="146">
        <v>65</v>
      </c>
      <c r="B80" s="49" t="s">
        <v>184</v>
      </c>
      <c r="C80" s="50" t="s">
        <v>185</v>
      </c>
      <c r="D80" s="147">
        <v>74493</v>
      </c>
      <c r="E80" s="147">
        <v>20608</v>
      </c>
      <c r="F80" s="147">
        <v>0</v>
      </c>
      <c r="H80" s="32"/>
    </row>
    <row r="81" spans="1:8" s="27" customFormat="1" x14ac:dyDescent="0.25">
      <c r="A81" s="146">
        <v>66</v>
      </c>
      <c r="B81" s="167" t="s">
        <v>186</v>
      </c>
      <c r="C81" s="50" t="s">
        <v>187</v>
      </c>
      <c r="D81" s="147">
        <v>73775</v>
      </c>
      <c r="E81" s="147">
        <v>25005</v>
      </c>
      <c r="F81" s="147">
        <v>19893</v>
      </c>
      <c r="H81" s="32"/>
    </row>
    <row r="82" spans="1:8" s="27" customFormat="1" ht="24" x14ac:dyDescent="0.25">
      <c r="A82" s="1181">
        <v>67</v>
      </c>
      <c r="B82" s="49" t="s">
        <v>188</v>
      </c>
      <c r="C82" s="57" t="s">
        <v>795</v>
      </c>
      <c r="D82" s="147">
        <v>28088</v>
      </c>
      <c r="E82" s="147">
        <v>0</v>
      </c>
      <c r="F82" s="147">
        <v>0</v>
      </c>
      <c r="H82" s="32"/>
    </row>
    <row r="83" spans="1:8" s="27" customFormat="1" x14ac:dyDescent="0.25">
      <c r="A83" s="1183"/>
      <c r="B83" s="167" t="s">
        <v>156</v>
      </c>
      <c r="C83" s="50" t="s">
        <v>157</v>
      </c>
      <c r="D83" s="147">
        <v>2830</v>
      </c>
      <c r="E83" s="147">
        <v>0</v>
      </c>
      <c r="F83" s="147">
        <v>0</v>
      </c>
      <c r="H83" s="32"/>
    </row>
    <row r="84" spans="1:8" s="27" customFormat="1" x14ac:dyDescent="0.25">
      <c r="A84" s="146">
        <v>68</v>
      </c>
      <c r="B84" s="49" t="s">
        <v>190</v>
      </c>
      <c r="C84" s="50" t="s">
        <v>191</v>
      </c>
      <c r="D84" s="147">
        <v>48906</v>
      </c>
      <c r="E84" s="147">
        <v>0</v>
      </c>
      <c r="F84" s="147">
        <v>0</v>
      </c>
      <c r="H84" s="32"/>
    </row>
    <row r="85" spans="1:8" s="27" customFormat="1" ht="24" x14ac:dyDescent="0.25">
      <c r="A85" s="1181">
        <v>69</v>
      </c>
      <c r="B85" s="49" t="s">
        <v>192</v>
      </c>
      <c r="C85" s="57" t="s">
        <v>794</v>
      </c>
      <c r="D85" s="147">
        <v>54516</v>
      </c>
      <c r="E85" s="147">
        <v>15524</v>
      </c>
      <c r="F85" s="147">
        <v>0</v>
      </c>
      <c r="H85" s="32"/>
    </row>
    <row r="86" spans="1:8" s="27" customFormat="1" x14ac:dyDescent="0.25">
      <c r="A86" s="1183"/>
      <c r="B86" s="49" t="s">
        <v>152</v>
      </c>
      <c r="C86" s="50" t="s">
        <v>549</v>
      </c>
      <c r="D86" s="147">
        <v>8153</v>
      </c>
      <c r="E86" s="147">
        <v>4575</v>
      </c>
      <c r="F86" s="147"/>
      <c r="H86" s="32"/>
    </row>
    <row r="87" spans="1:8" s="27" customFormat="1" x14ac:dyDescent="0.25">
      <c r="A87" s="146">
        <v>70</v>
      </c>
      <c r="B87" s="49" t="s">
        <v>194</v>
      </c>
      <c r="C87" s="50" t="s">
        <v>195</v>
      </c>
      <c r="D87" s="147">
        <v>39354</v>
      </c>
      <c r="E87" s="147">
        <v>0</v>
      </c>
      <c r="F87" s="147">
        <v>0</v>
      </c>
      <c r="H87" s="32"/>
    </row>
    <row r="88" spans="1:8" s="27" customFormat="1" x14ac:dyDescent="0.25">
      <c r="A88" s="146">
        <v>71</v>
      </c>
      <c r="B88" s="49" t="s">
        <v>196</v>
      </c>
      <c r="C88" s="50" t="s">
        <v>197</v>
      </c>
      <c r="D88" s="147">
        <v>0</v>
      </c>
      <c r="E88" s="147">
        <v>0</v>
      </c>
      <c r="F88" s="147">
        <v>0</v>
      </c>
      <c r="H88" s="32"/>
    </row>
    <row r="89" spans="1:8" s="27" customFormat="1" x14ac:dyDescent="0.25">
      <c r="A89" s="146">
        <v>72</v>
      </c>
      <c r="B89" s="52" t="s">
        <v>30</v>
      </c>
      <c r="C89" s="50" t="s">
        <v>198</v>
      </c>
      <c r="D89" s="147">
        <v>0</v>
      </c>
      <c r="E89" s="147">
        <v>0</v>
      </c>
      <c r="F89" s="147">
        <v>0</v>
      </c>
      <c r="H89" s="32"/>
    </row>
    <row r="90" spans="1:8" s="27" customFormat="1" x14ac:dyDescent="0.25">
      <c r="A90" s="1181">
        <v>73</v>
      </c>
      <c r="B90" s="904" t="s">
        <v>199</v>
      </c>
      <c r="C90" s="57" t="s">
        <v>200</v>
      </c>
      <c r="D90" s="147">
        <f>D91+D93</f>
        <v>10095</v>
      </c>
      <c r="E90" s="147">
        <v>0</v>
      </c>
      <c r="F90" s="147">
        <f t="shared" ref="F90" si="2">F91+F92+F93</f>
        <v>6928</v>
      </c>
      <c r="H90" s="32"/>
    </row>
    <row r="91" spans="1:8" s="27" customFormat="1" ht="24" x14ac:dyDescent="0.25">
      <c r="A91" s="1182"/>
      <c r="B91" s="905"/>
      <c r="C91" s="50" t="s">
        <v>201</v>
      </c>
      <c r="D91" s="147">
        <v>3167</v>
      </c>
      <c r="E91" s="147">
        <v>0</v>
      </c>
      <c r="F91" s="147">
        <v>0</v>
      </c>
      <c r="H91" s="32"/>
    </row>
    <row r="92" spans="1:8" s="27" customFormat="1" x14ac:dyDescent="0.25">
      <c r="A92" s="1182"/>
      <c r="B92" s="905"/>
      <c r="C92" s="50" t="s">
        <v>202</v>
      </c>
      <c r="D92" s="147">
        <v>0</v>
      </c>
      <c r="E92" s="147">
        <v>0</v>
      </c>
      <c r="F92" s="147">
        <v>0</v>
      </c>
      <c r="H92" s="32"/>
    </row>
    <row r="93" spans="1:8" s="27" customFormat="1" ht="24" x14ac:dyDescent="0.25">
      <c r="A93" s="1183"/>
      <c r="B93" s="906"/>
      <c r="C93" s="58" t="s">
        <v>203</v>
      </c>
      <c r="D93" s="147">
        <v>6928</v>
      </c>
      <c r="E93" s="147">
        <v>0</v>
      </c>
      <c r="F93" s="147">
        <v>6928</v>
      </c>
      <c r="H93" s="32"/>
    </row>
    <row r="94" spans="1:8" s="27" customFormat="1" x14ac:dyDescent="0.25">
      <c r="A94" s="146">
        <v>74</v>
      </c>
      <c r="B94" s="52" t="s">
        <v>204</v>
      </c>
      <c r="C94" s="50" t="s">
        <v>205</v>
      </c>
      <c r="D94" s="147">
        <v>0</v>
      </c>
      <c r="E94" s="147">
        <v>0</v>
      </c>
      <c r="F94" s="147">
        <v>0</v>
      </c>
      <c r="H94" s="32"/>
    </row>
    <row r="95" spans="1:8" s="27" customFormat="1" x14ac:dyDescent="0.25">
      <c r="A95" s="146">
        <v>75</v>
      </c>
      <c r="B95" s="52" t="s">
        <v>206</v>
      </c>
      <c r="C95" s="50" t="s">
        <v>207</v>
      </c>
      <c r="D95" s="147">
        <v>2630</v>
      </c>
      <c r="E95" s="147">
        <v>0</v>
      </c>
      <c r="F95" s="147">
        <v>0</v>
      </c>
      <c r="H95" s="32"/>
    </row>
    <row r="96" spans="1:8" s="27" customFormat="1" x14ac:dyDescent="0.25">
      <c r="A96" s="146">
        <v>76</v>
      </c>
      <c r="B96" s="167" t="s">
        <v>208</v>
      </c>
      <c r="C96" s="50" t="s">
        <v>209</v>
      </c>
      <c r="D96" s="147">
        <v>10660</v>
      </c>
      <c r="E96" s="147">
        <v>0</v>
      </c>
      <c r="F96" s="147">
        <v>0</v>
      </c>
      <c r="H96" s="32"/>
    </row>
    <row r="97" spans="1:8" s="27" customFormat="1" x14ac:dyDescent="0.25">
      <c r="A97" s="146">
        <v>77</v>
      </c>
      <c r="B97" s="52" t="s">
        <v>210</v>
      </c>
      <c r="C97" s="50" t="s">
        <v>211</v>
      </c>
      <c r="D97" s="147">
        <v>8128</v>
      </c>
      <c r="E97" s="147">
        <v>0</v>
      </c>
      <c r="F97" s="147">
        <v>0</v>
      </c>
      <c r="H97" s="32"/>
    </row>
    <row r="98" spans="1:8" s="27" customFormat="1" x14ac:dyDescent="0.25">
      <c r="A98" s="146">
        <v>78</v>
      </c>
      <c r="B98" s="167" t="s">
        <v>212</v>
      </c>
      <c r="C98" s="50" t="s">
        <v>213</v>
      </c>
      <c r="D98" s="147">
        <v>8608</v>
      </c>
      <c r="E98" s="147">
        <v>0</v>
      </c>
      <c r="F98" s="147">
        <v>0</v>
      </c>
      <c r="H98" s="32"/>
    </row>
    <row r="99" spans="1:8" s="27" customFormat="1" x14ac:dyDescent="0.25">
      <c r="A99" s="146">
        <v>79</v>
      </c>
      <c r="B99" s="167" t="s">
        <v>214</v>
      </c>
      <c r="C99" s="50" t="s">
        <v>215</v>
      </c>
      <c r="D99" s="147">
        <v>24579</v>
      </c>
      <c r="E99" s="147">
        <v>0</v>
      </c>
      <c r="F99" s="147">
        <v>0</v>
      </c>
      <c r="H99" s="32"/>
    </row>
    <row r="100" spans="1:8" s="27" customFormat="1" x14ac:dyDescent="0.25">
      <c r="A100" s="146">
        <v>80</v>
      </c>
      <c r="B100" s="52" t="s">
        <v>216</v>
      </c>
      <c r="C100" s="50" t="s">
        <v>217</v>
      </c>
      <c r="D100" s="147">
        <v>10053</v>
      </c>
      <c r="E100" s="147">
        <v>0</v>
      </c>
      <c r="F100" s="147">
        <v>0</v>
      </c>
      <c r="H100" s="32"/>
    </row>
    <row r="101" spans="1:8" s="27" customFormat="1" x14ac:dyDescent="0.25">
      <c r="A101" s="146">
        <v>81</v>
      </c>
      <c r="B101" s="49" t="s">
        <v>218</v>
      </c>
      <c r="C101" s="50" t="s">
        <v>219</v>
      </c>
      <c r="D101" s="147">
        <v>32172</v>
      </c>
      <c r="E101" s="147">
        <v>0</v>
      </c>
      <c r="F101" s="147">
        <v>0</v>
      </c>
      <c r="H101" s="32"/>
    </row>
    <row r="102" spans="1:8" s="27" customFormat="1" x14ac:dyDescent="0.25">
      <c r="A102" s="146">
        <v>82</v>
      </c>
      <c r="B102" s="49" t="s">
        <v>220</v>
      </c>
      <c r="C102" s="50" t="s">
        <v>221</v>
      </c>
      <c r="D102" s="147">
        <v>22947</v>
      </c>
      <c r="E102" s="147">
        <v>0</v>
      </c>
      <c r="F102" s="147">
        <v>0</v>
      </c>
      <c r="H102" s="32"/>
    </row>
    <row r="103" spans="1:8" s="27" customFormat="1" x14ac:dyDescent="0.25">
      <c r="A103" s="146">
        <v>83</v>
      </c>
      <c r="B103" s="167" t="s">
        <v>222</v>
      </c>
      <c r="C103" s="50" t="s">
        <v>223</v>
      </c>
      <c r="D103" s="147">
        <v>7799</v>
      </c>
      <c r="E103" s="147">
        <v>0</v>
      </c>
      <c r="F103" s="147">
        <v>0</v>
      </c>
      <c r="H103" s="32"/>
    </row>
    <row r="104" spans="1:8" s="149" customFormat="1" x14ac:dyDescent="0.25">
      <c r="A104" s="146">
        <v>84</v>
      </c>
      <c r="B104" s="49" t="s">
        <v>224</v>
      </c>
      <c r="C104" s="50" t="s">
        <v>225</v>
      </c>
      <c r="D104" s="147">
        <v>12281</v>
      </c>
      <c r="E104" s="147">
        <v>0</v>
      </c>
      <c r="F104" s="147">
        <v>0</v>
      </c>
      <c r="H104" s="32"/>
    </row>
    <row r="105" spans="1:8" s="27" customFormat="1" x14ac:dyDescent="0.25">
      <c r="A105" s="146">
        <v>85</v>
      </c>
      <c r="B105" s="49" t="s">
        <v>226</v>
      </c>
      <c r="C105" s="50" t="s">
        <v>227</v>
      </c>
      <c r="D105" s="147">
        <v>11687</v>
      </c>
      <c r="E105" s="147">
        <v>0</v>
      </c>
      <c r="F105" s="147">
        <v>0</v>
      </c>
      <c r="H105" s="32"/>
    </row>
    <row r="106" spans="1:8" s="27" customFormat="1" x14ac:dyDescent="0.25">
      <c r="A106" s="146">
        <v>86</v>
      </c>
      <c r="B106" s="52" t="s">
        <v>32</v>
      </c>
      <c r="C106" s="50" t="s">
        <v>33</v>
      </c>
      <c r="D106" s="147">
        <v>14436</v>
      </c>
      <c r="E106" s="147">
        <v>0</v>
      </c>
      <c r="F106" s="147">
        <v>0</v>
      </c>
      <c r="H106" s="32"/>
    </row>
    <row r="107" spans="1:8" s="27" customFormat="1" x14ac:dyDescent="0.25">
      <c r="A107" s="146">
        <v>87</v>
      </c>
      <c r="B107" s="167" t="s">
        <v>228</v>
      </c>
      <c r="C107" s="50" t="s">
        <v>229</v>
      </c>
      <c r="D107" s="147">
        <v>9001</v>
      </c>
      <c r="E107" s="147">
        <v>0</v>
      </c>
      <c r="F107" s="147">
        <v>0</v>
      </c>
      <c r="H107" s="32"/>
    </row>
    <row r="108" spans="1:8" s="27" customFormat="1" x14ac:dyDescent="0.25">
      <c r="A108" s="146">
        <v>88</v>
      </c>
      <c r="B108" s="49" t="s">
        <v>230</v>
      </c>
      <c r="C108" s="50" t="s">
        <v>231</v>
      </c>
      <c r="D108" s="147">
        <v>23389</v>
      </c>
      <c r="E108" s="147">
        <v>0</v>
      </c>
      <c r="F108" s="147">
        <v>0</v>
      </c>
      <c r="H108" s="32"/>
    </row>
    <row r="109" spans="1:8" s="27" customFormat="1" x14ac:dyDescent="0.25">
      <c r="A109" s="146">
        <v>89</v>
      </c>
      <c r="B109" s="49" t="s">
        <v>232</v>
      </c>
      <c r="C109" s="50" t="s">
        <v>233</v>
      </c>
      <c r="D109" s="147">
        <v>0</v>
      </c>
      <c r="E109" s="147">
        <v>0</v>
      </c>
      <c r="F109" s="147">
        <v>0</v>
      </c>
      <c r="H109" s="32"/>
    </row>
    <row r="110" spans="1:8" s="27" customFormat="1" x14ac:dyDescent="0.25">
      <c r="A110" s="146">
        <v>90</v>
      </c>
      <c r="B110" s="49" t="s">
        <v>234</v>
      </c>
      <c r="C110" s="50" t="s">
        <v>235</v>
      </c>
      <c r="D110" s="147">
        <v>0</v>
      </c>
      <c r="E110" s="147">
        <v>0</v>
      </c>
      <c r="F110" s="147">
        <v>0</v>
      </c>
      <c r="H110" s="32"/>
    </row>
    <row r="111" spans="1:8" s="27" customFormat="1" x14ac:dyDescent="0.25">
      <c r="A111" s="146">
        <v>91</v>
      </c>
      <c r="B111" s="167" t="s">
        <v>236</v>
      </c>
      <c r="C111" s="50" t="s">
        <v>237</v>
      </c>
      <c r="D111" s="147">
        <v>0</v>
      </c>
      <c r="E111" s="147">
        <v>0</v>
      </c>
      <c r="F111" s="147">
        <v>0</v>
      </c>
      <c r="H111" s="32"/>
    </row>
    <row r="112" spans="1:8" s="27" customFormat="1" x14ac:dyDescent="0.25">
      <c r="A112" s="146">
        <v>92</v>
      </c>
      <c r="B112" s="167" t="s">
        <v>238</v>
      </c>
      <c r="C112" s="50" t="s">
        <v>239</v>
      </c>
      <c r="D112" s="147">
        <v>0</v>
      </c>
      <c r="E112" s="147">
        <v>0</v>
      </c>
      <c r="F112" s="147">
        <v>0</v>
      </c>
      <c r="H112" s="32"/>
    </row>
    <row r="113" spans="1:8" s="27" customFormat="1" x14ac:dyDescent="0.25">
      <c r="A113" s="146">
        <v>93</v>
      </c>
      <c r="B113" s="167" t="s">
        <v>240</v>
      </c>
      <c r="C113" s="50" t="s">
        <v>241</v>
      </c>
      <c r="D113" s="147">
        <v>0</v>
      </c>
      <c r="E113" s="147">
        <v>0</v>
      </c>
      <c r="F113" s="147">
        <v>0</v>
      </c>
      <c r="H113" s="32"/>
    </row>
    <row r="114" spans="1:8" s="27" customFormat="1" x14ac:dyDescent="0.25">
      <c r="A114" s="146">
        <v>94</v>
      </c>
      <c r="B114" s="167" t="s">
        <v>242</v>
      </c>
      <c r="C114" s="50" t="s">
        <v>243</v>
      </c>
      <c r="D114" s="147">
        <v>0</v>
      </c>
      <c r="E114" s="147">
        <v>0</v>
      </c>
      <c r="F114" s="147">
        <v>0</v>
      </c>
      <c r="H114" s="32"/>
    </row>
    <row r="115" spans="1:8" s="27" customFormat="1" x14ac:dyDescent="0.25">
      <c r="A115" s="146">
        <v>95</v>
      </c>
      <c r="B115" s="167" t="s">
        <v>244</v>
      </c>
      <c r="C115" s="50" t="s">
        <v>245</v>
      </c>
      <c r="D115" s="147">
        <v>0</v>
      </c>
      <c r="E115" s="147">
        <v>0</v>
      </c>
      <c r="F115" s="147">
        <v>0</v>
      </c>
      <c r="H115" s="32"/>
    </row>
    <row r="116" spans="1:8" s="27" customFormat="1" x14ac:dyDescent="0.25">
      <c r="A116" s="146">
        <v>96</v>
      </c>
      <c r="B116" s="152" t="s">
        <v>246</v>
      </c>
      <c r="C116" s="151" t="s">
        <v>247</v>
      </c>
      <c r="D116" s="147">
        <v>0</v>
      </c>
      <c r="E116" s="147">
        <v>0</v>
      </c>
      <c r="F116" s="147">
        <v>0</v>
      </c>
      <c r="H116" s="32"/>
    </row>
    <row r="117" spans="1:8" s="27" customFormat="1" x14ac:dyDescent="0.25">
      <c r="A117" s="146">
        <v>97</v>
      </c>
      <c r="B117" s="52" t="s">
        <v>248</v>
      </c>
      <c r="C117" s="50" t="s">
        <v>249</v>
      </c>
      <c r="D117" s="147">
        <v>0</v>
      </c>
      <c r="E117" s="147">
        <v>0</v>
      </c>
      <c r="F117" s="147">
        <v>0</v>
      </c>
      <c r="H117" s="32"/>
    </row>
    <row r="118" spans="1:8" s="27" customFormat="1" x14ac:dyDescent="0.25">
      <c r="A118" s="146">
        <v>98</v>
      </c>
      <c r="B118" s="167" t="s">
        <v>250</v>
      </c>
      <c r="C118" s="50" t="s">
        <v>251</v>
      </c>
      <c r="D118" s="147">
        <v>0</v>
      </c>
      <c r="E118" s="147">
        <v>0</v>
      </c>
      <c r="F118" s="147">
        <v>0</v>
      </c>
      <c r="H118" s="32"/>
    </row>
    <row r="119" spans="1:8" s="27" customFormat="1" x14ac:dyDescent="0.25">
      <c r="A119" s="146">
        <v>99</v>
      </c>
      <c r="B119" s="49" t="s">
        <v>252</v>
      </c>
      <c r="C119" s="60" t="s">
        <v>253</v>
      </c>
      <c r="D119" s="147">
        <v>0</v>
      </c>
      <c r="E119" s="147">
        <v>0</v>
      </c>
      <c r="F119" s="147">
        <v>0</v>
      </c>
      <c r="H119" s="32"/>
    </row>
    <row r="120" spans="1:8" s="27" customFormat="1" x14ac:dyDescent="0.25">
      <c r="A120" s="146">
        <v>100</v>
      </c>
      <c r="B120" s="167" t="s">
        <v>254</v>
      </c>
      <c r="C120" s="50" t="s">
        <v>255</v>
      </c>
      <c r="D120" s="147">
        <v>0</v>
      </c>
      <c r="E120" s="147">
        <v>0</v>
      </c>
      <c r="F120" s="147">
        <v>0</v>
      </c>
      <c r="H120" s="32"/>
    </row>
    <row r="121" spans="1:8" s="27" customFormat="1" x14ac:dyDescent="0.25">
      <c r="A121" s="146">
        <v>101</v>
      </c>
      <c r="B121" s="52" t="s">
        <v>256</v>
      </c>
      <c r="C121" s="50" t="s">
        <v>257</v>
      </c>
      <c r="D121" s="147">
        <v>0</v>
      </c>
      <c r="E121" s="147">
        <v>0</v>
      </c>
      <c r="F121" s="147">
        <v>0</v>
      </c>
      <c r="H121" s="32"/>
    </row>
    <row r="122" spans="1:8" s="27" customFormat="1" x14ac:dyDescent="0.25">
      <c r="A122" s="146">
        <v>102</v>
      </c>
      <c r="B122" s="49" t="s">
        <v>258</v>
      </c>
      <c r="C122" s="50" t="s">
        <v>259</v>
      </c>
      <c r="D122" s="147">
        <v>0</v>
      </c>
      <c r="E122" s="147">
        <v>0</v>
      </c>
      <c r="F122" s="147">
        <v>0</v>
      </c>
      <c r="H122" s="32"/>
    </row>
    <row r="123" spans="1:8" s="27" customFormat="1" x14ac:dyDescent="0.25">
      <c r="A123" s="146">
        <v>103</v>
      </c>
      <c r="B123" s="156" t="s">
        <v>543</v>
      </c>
      <c r="C123" s="151" t="s">
        <v>544</v>
      </c>
      <c r="D123" s="147">
        <v>0</v>
      </c>
      <c r="E123" s="147">
        <v>0</v>
      </c>
      <c r="F123" s="147">
        <v>0</v>
      </c>
      <c r="H123" s="32"/>
    </row>
    <row r="124" spans="1:8" s="27" customFormat="1" x14ac:dyDescent="0.25">
      <c r="A124" s="146">
        <v>104</v>
      </c>
      <c r="B124" s="52" t="s">
        <v>260</v>
      </c>
      <c r="C124" s="50" t="s">
        <v>261</v>
      </c>
      <c r="D124" s="147">
        <v>0</v>
      </c>
      <c r="E124" s="147">
        <v>0</v>
      </c>
      <c r="F124" s="147">
        <v>0</v>
      </c>
      <c r="H124" s="32"/>
    </row>
    <row r="125" spans="1:8" s="27" customFormat="1" x14ac:dyDescent="0.25">
      <c r="A125" s="146">
        <v>105</v>
      </c>
      <c r="B125" s="167" t="s">
        <v>262</v>
      </c>
      <c r="C125" s="50" t="s">
        <v>263</v>
      </c>
      <c r="D125" s="147">
        <v>0</v>
      </c>
      <c r="E125" s="147">
        <v>0</v>
      </c>
      <c r="F125" s="147">
        <v>0</v>
      </c>
      <c r="H125" s="32"/>
    </row>
    <row r="126" spans="1:8" s="27" customFormat="1" x14ac:dyDescent="0.25">
      <c r="A126" s="146">
        <v>106</v>
      </c>
      <c r="B126" s="167" t="s">
        <v>264</v>
      </c>
      <c r="C126" s="54" t="s">
        <v>265</v>
      </c>
      <c r="D126" s="147">
        <v>0</v>
      </c>
      <c r="E126" s="147">
        <v>0</v>
      </c>
      <c r="F126" s="147">
        <v>0</v>
      </c>
      <c r="H126" s="32"/>
    </row>
    <row r="127" spans="1:8" s="27" customFormat="1" x14ac:dyDescent="0.25">
      <c r="A127" s="146">
        <v>107</v>
      </c>
      <c r="B127" s="167" t="s">
        <v>266</v>
      </c>
      <c r="C127" s="50" t="s">
        <v>267</v>
      </c>
      <c r="D127" s="147">
        <v>0</v>
      </c>
      <c r="E127" s="147">
        <v>0</v>
      </c>
      <c r="F127" s="147">
        <v>0</v>
      </c>
      <c r="H127" s="32"/>
    </row>
    <row r="128" spans="1:8" x14ac:dyDescent="0.25">
      <c r="A128" s="146">
        <v>108</v>
      </c>
      <c r="B128" s="167" t="s">
        <v>268</v>
      </c>
      <c r="C128" s="50" t="s">
        <v>269</v>
      </c>
      <c r="D128" s="147">
        <v>0</v>
      </c>
      <c r="E128" s="147">
        <v>0</v>
      </c>
      <c r="F128" s="147">
        <v>0</v>
      </c>
      <c r="H128" s="32"/>
    </row>
    <row r="129" spans="1:8" s="27" customFormat="1" x14ac:dyDescent="0.25">
      <c r="A129" s="146">
        <v>109</v>
      </c>
      <c r="B129" s="167" t="s">
        <v>270</v>
      </c>
      <c r="C129" s="50" t="s">
        <v>271</v>
      </c>
      <c r="D129" s="147">
        <v>500</v>
      </c>
      <c r="E129" s="147">
        <v>0</v>
      </c>
      <c r="F129" s="147">
        <v>0</v>
      </c>
      <c r="H129" s="32"/>
    </row>
    <row r="130" spans="1:8" s="27" customFormat="1" x14ac:dyDescent="0.25">
      <c r="A130" s="146">
        <v>110</v>
      </c>
      <c r="B130" s="49" t="s">
        <v>272</v>
      </c>
      <c r="C130" s="50" t="s">
        <v>273</v>
      </c>
      <c r="D130" s="147">
        <v>30555</v>
      </c>
      <c r="E130" s="147">
        <v>26379</v>
      </c>
      <c r="F130" s="147">
        <v>0</v>
      </c>
      <c r="H130" s="32"/>
    </row>
    <row r="131" spans="1:8" s="27" customFormat="1" x14ac:dyDescent="0.25">
      <c r="A131" s="146">
        <v>111</v>
      </c>
      <c r="B131" s="49" t="s">
        <v>274</v>
      </c>
      <c r="C131" s="50" t="s">
        <v>275</v>
      </c>
      <c r="D131" s="147">
        <v>0</v>
      </c>
      <c r="E131" s="147">
        <v>0</v>
      </c>
      <c r="F131" s="147">
        <v>0</v>
      </c>
      <c r="H131" s="32"/>
    </row>
    <row r="132" spans="1:8" s="27" customFormat="1" x14ac:dyDescent="0.25">
      <c r="A132" s="146">
        <v>112</v>
      </c>
      <c r="B132" s="49" t="s">
        <v>276</v>
      </c>
      <c r="C132" s="50" t="s">
        <v>277</v>
      </c>
      <c r="D132" s="147">
        <v>0</v>
      </c>
      <c r="E132" s="147">
        <v>0</v>
      </c>
      <c r="F132" s="147">
        <v>0</v>
      </c>
      <c r="H132" s="32"/>
    </row>
    <row r="133" spans="1:8" s="27" customFormat="1" x14ac:dyDescent="0.25">
      <c r="A133" s="146">
        <v>113</v>
      </c>
      <c r="B133" s="167" t="s">
        <v>278</v>
      </c>
      <c r="C133" s="50" t="s">
        <v>279</v>
      </c>
      <c r="D133" s="147">
        <v>0</v>
      </c>
      <c r="E133" s="147">
        <v>0</v>
      </c>
      <c r="F133" s="147">
        <v>0</v>
      </c>
      <c r="H133" s="32"/>
    </row>
    <row r="134" spans="1:8" s="27" customFormat="1" x14ac:dyDescent="0.25">
      <c r="A134" s="146">
        <v>114</v>
      </c>
      <c r="B134" s="167" t="s">
        <v>280</v>
      </c>
      <c r="C134" s="50" t="s">
        <v>281</v>
      </c>
      <c r="D134" s="147">
        <v>0</v>
      </c>
      <c r="E134" s="147">
        <v>0</v>
      </c>
      <c r="F134" s="147">
        <v>0</v>
      </c>
      <c r="H134" s="32"/>
    </row>
    <row r="135" spans="1:8" s="27" customFormat="1" x14ac:dyDescent="0.25">
      <c r="A135" s="146">
        <v>115</v>
      </c>
      <c r="B135" s="167" t="s">
        <v>282</v>
      </c>
      <c r="C135" s="50" t="s">
        <v>772</v>
      </c>
      <c r="D135" s="147">
        <v>1000</v>
      </c>
      <c r="E135" s="147">
        <v>0</v>
      </c>
      <c r="F135" s="147">
        <v>0</v>
      </c>
      <c r="H135" s="32"/>
    </row>
    <row r="136" spans="1:8" s="27" customFormat="1" x14ac:dyDescent="0.25">
      <c r="A136" s="146">
        <v>116</v>
      </c>
      <c r="B136" s="49" t="s">
        <v>283</v>
      </c>
      <c r="C136" s="50" t="s">
        <v>284</v>
      </c>
      <c r="D136" s="147">
        <v>50317</v>
      </c>
      <c r="E136" s="147">
        <v>0</v>
      </c>
      <c r="F136" s="147">
        <v>0</v>
      </c>
      <c r="H136" s="32"/>
    </row>
    <row r="137" spans="1:8" s="27" customFormat="1" x14ac:dyDescent="0.25">
      <c r="A137" s="146">
        <v>117</v>
      </c>
      <c r="B137" s="52" t="s">
        <v>285</v>
      </c>
      <c r="C137" s="50" t="s">
        <v>728</v>
      </c>
      <c r="D137" s="147">
        <v>68135</v>
      </c>
      <c r="E137" s="147">
        <v>24346</v>
      </c>
      <c r="F137" s="147">
        <v>0</v>
      </c>
      <c r="H137" s="32"/>
    </row>
    <row r="138" spans="1:8" x14ac:dyDescent="0.25">
      <c r="A138" s="146">
        <v>118</v>
      </c>
      <c r="B138" s="167" t="s">
        <v>286</v>
      </c>
      <c r="C138" s="50" t="s">
        <v>287</v>
      </c>
      <c r="D138" s="147">
        <v>4000</v>
      </c>
      <c r="E138" s="147">
        <v>0</v>
      </c>
      <c r="F138" s="147">
        <v>0</v>
      </c>
      <c r="H138" s="32"/>
    </row>
    <row r="139" spans="1:8" x14ac:dyDescent="0.25">
      <c r="A139" s="146">
        <v>119</v>
      </c>
      <c r="B139" s="49" t="s">
        <v>288</v>
      </c>
      <c r="C139" s="50" t="s">
        <v>289</v>
      </c>
      <c r="D139" s="147">
        <v>0</v>
      </c>
      <c r="E139" s="147">
        <v>0</v>
      </c>
      <c r="F139" s="147">
        <v>0</v>
      </c>
      <c r="H139" s="32"/>
    </row>
    <row r="140" spans="1:8" x14ac:dyDescent="0.25">
      <c r="A140" s="146">
        <v>120</v>
      </c>
      <c r="B140" s="167" t="s">
        <v>290</v>
      </c>
      <c r="C140" s="50" t="s">
        <v>291</v>
      </c>
      <c r="D140" s="147">
        <v>0</v>
      </c>
      <c r="E140" s="147">
        <v>0</v>
      </c>
      <c r="F140" s="147">
        <v>0</v>
      </c>
      <c r="H140" s="32"/>
    </row>
    <row r="141" spans="1:8" x14ac:dyDescent="0.25">
      <c r="A141" s="146">
        <v>121</v>
      </c>
      <c r="B141" s="61" t="s">
        <v>292</v>
      </c>
      <c r="C141" s="153" t="s">
        <v>293</v>
      </c>
      <c r="D141" s="147">
        <v>0</v>
      </c>
      <c r="E141" s="147">
        <v>0</v>
      </c>
      <c r="F141" s="147">
        <v>0</v>
      </c>
      <c r="H141" s="32"/>
    </row>
    <row r="142" spans="1:8" x14ac:dyDescent="0.25">
      <c r="A142" s="146">
        <v>122</v>
      </c>
      <c r="B142" s="63" t="s">
        <v>294</v>
      </c>
      <c r="C142" s="154" t="s">
        <v>295</v>
      </c>
      <c r="D142" s="147">
        <v>0</v>
      </c>
      <c r="E142" s="147">
        <v>0</v>
      </c>
      <c r="F142" s="147">
        <v>0</v>
      </c>
      <c r="H142" s="32"/>
    </row>
    <row r="143" spans="1:8" x14ac:dyDescent="0.2">
      <c r="A143" s="146">
        <v>123</v>
      </c>
      <c r="B143" s="64" t="s">
        <v>296</v>
      </c>
      <c r="C143" s="620" t="s">
        <v>461</v>
      </c>
      <c r="D143" s="147">
        <v>0</v>
      </c>
      <c r="E143" s="147">
        <v>0</v>
      </c>
      <c r="F143" s="147">
        <v>0</v>
      </c>
      <c r="H143" s="32"/>
    </row>
    <row r="144" spans="1:8" x14ac:dyDescent="0.25">
      <c r="A144" s="146">
        <v>124</v>
      </c>
      <c r="B144" s="146" t="s">
        <v>298</v>
      </c>
      <c r="C144" s="155" t="s">
        <v>299</v>
      </c>
      <c r="D144" s="147">
        <v>0</v>
      </c>
      <c r="E144" s="147">
        <v>0</v>
      </c>
      <c r="F144" s="147">
        <v>0</v>
      </c>
      <c r="H144" s="32"/>
    </row>
    <row r="145" spans="1:57" x14ac:dyDescent="0.25">
      <c r="A145" s="146">
        <v>125</v>
      </c>
      <c r="B145" s="156" t="s">
        <v>300</v>
      </c>
      <c r="C145" s="155" t="s">
        <v>301</v>
      </c>
      <c r="D145" s="147">
        <v>0</v>
      </c>
      <c r="E145" s="147">
        <v>0</v>
      </c>
      <c r="F145" s="147">
        <v>0</v>
      </c>
      <c r="H145" s="32"/>
    </row>
    <row r="146" spans="1:57" s="32" customFormat="1" x14ac:dyDescent="0.25">
      <c r="A146" s="146">
        <v>126</v>
      </c>
      <c r="B146" s="156" t="s">
        <v>302</v>
      </c>
      <c r="C146" s="155" t="s">
        <v>303</v>
      </c>
      <c r="D146" s="147">
        <v>0</v>
      </c>
      <c r="E146" s="147">
        <v>0</v>
      </c>
      <c r="F146" s="147">
        <v>0</v>
      </c>
      <c r="G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</row>
    <row r="147" spans="1:57" x14ac:dyDescent="0.25">
      <c r="A147" s="146">
        <v>127</v>
      </c>
      <c r="B147" s="156" t="s">
        <v>304</v>
      </c>
      <c r="C147" s="151" t="s">
        <v>305</v>
      </c>
      <c r="D147" s="147">
        <v>0</v>
      </c>
      <c r="E147" s="147">
        <v>0</v>
      </c>
      <c r="F147" s="147">
        <v>0</v>
      </c>
      <c r="H147" s="32"/>
    </row>
  </sheetData>
  <mergeCells count="15">
    <mergeCell ref="A2:F2"/>
    <mergeCell ref="A9:C9"/>
    <mergeCell ref="A90:A93"/>
    <mergeCell ref="B90:B93"/>
    <mergeCell ref="D4:D5"/>
    <mergeCell ref="E4:F4"/>
    <mergeCell ref="A4:A5"/>
    <mergeCell ref="B4:B5"/>
    <mergeCell ref="C4:C5"/>
    <mergeCell ref="A6:C6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23"/>
  <sheetViews>
    <sheetView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Q23" sqref="Q23"/>
    </sheetView>
  </sheetViews>
  <sheetFormatPr defaultRowHeight="11.25" x14ac:dyDescent="0.2"/>
  <cols>
    <col min="1" max="1" width="3.7109375" style="297" customWidth="1"/>
    <col min="2" max="2" width="9.140625" style="297"/>
    <col min="3" max="3" width="27.7109375" style="297" customWidth="1"/>
    <col min="4" max="4" width="9.140625" style="297"/>
    <col min="5" max="6" width="12" style="297" customWidth="1"/>
    <col min="7" max="8" width="11.140625" style="312" customWidth="1"/>
    <col min="9" max="9" width="12" style="297" customWidth="1"/>
    <col min="10" max="10" width="11" style="297" customWidth="1"/>
    <col min="11" max="11" width="11.7109375" style="297" customWidth="1"/>
    <col min="12" max="13" width="11.42578125" style="297" customWidth="1"/>
    <col min="14" max="15" width="12.7109375" style="297" customWidth="1"/>
    <col min="16" max="16" width="12.28515625" style="297" customWidth="1"/>
    <col min="17" max="17" width="11.28515625" style="297" customWidth="1"/>
    <col min="18" max="18" width="8.28515625" style="297" customWidth="1"/>
    <col min="19" max="19" width="13.28515625" style="297" customWidth="1"/>
    <col min="20" max="20" width="11" style="297" customWidth="1"/>
    <col min="21" max="21" width="9.140625" style="296"/>
    <col min="22" max="16384" width="9.140625" style="297"/>
  </cols>
  <sheetData>
    <row r="1" spans="1:21" s="295" customFormat="1" ht="15.75" x14ac:dyDescent="0.25">
      <c r="A1" s="1191" t="s">
        <v>649</v>
      </c>
      <c r="B1" s="1191"/>
      <c r="C1" s="1191"/>
      <c r="D1" s="1191"/>
      <c r="E1" s="1191"/>
      <c r="F1" s="1191"/>
      <c r="G1" s="1191"/>
      <c r="H1" s="1191"/>
      <c r="I1" s="1191"/>
      <c r="J1" s="1191"/>
      <c r="K1" s="1191"/>
      <c r="L1" s="1191"/>
      <c r="M1" s="1191"/>
      <c r="N1" s="1191"/>
      <c r="O1" s="1191"/>
      <c r="P1" s="1191"/>
      <c r="Q1" s="1191"/>
      <c r="R1" s="1191"/>
      <c r="S1" s="1191"/>
      <c r="T1" s="1191"/>
      <c r="U1" s="294"/>
    </row>
    <row r="3" spans="1:21" x14ac:dyDescent="0.2">
      <c r="A3" s="1192" t="s">
        <v>0</v>
      </c>
      <c r="B3" s="1193" t="s">
        <v>326</v>
      </c>
      <c r="C3" s="1196" t="s">
        <v>309</v>
      </c>
      <c r="D3" s="1199" t="s">
        <v>650</v>
      </c>
      <c r="E3" s="1202" t="s">
        <v>651</v>
      </c>
      <c r="F3" s="1203"/>
      <c r="G3" s="1203"/>
      <c r="H3" s="1203"/>
      <c r="I3" s="1203"/>
      <c r="J3" s="1203"/>
      <c r="K3" s="1204"/>
      <c r="L3" s="1205" t="s">
        <v>652</v>
      </c>
      <c r="M3" s="1205"/>
      <c r="N3" s="1205"/>
      <c r="O3" s="1205"/>
      <c r="P3" s="1205"/>
      <c r="Q3" s="1205"/>
      <c r="R3" s="1205"/>
      <c r="S3" s="1205"/>
      <c r="T3" s="1205"/>
    </row>
    <row r="4" spans="1:21" ht="16.5" customHeight="1" x14ac:dyDescent="0.2">
      <c r="A4" s="1192"/>
      <c r="B4" s="1194"/>
      <c r="C4" s="1197"/>
      <c r="D4" s="1200"/>
      <c r="E4" s="1206" t="s">
        <v>653</v>
      </c>
      <c r="F4" s="1207"/>
      <c r="G4" s="1210" t="s">
        <v>654</v>
      </c>
      <c r="H4" s="1210"/>
      <c r="I4" s="1210"/>
      <c r="J4" s="1210"/>
      <c r="K4" s="1210"/>
      <c r="L4" s="1211" t="s">
        <v>655</v>
      </c>
      <c r="M4" s="1211"/>
      <c r="N4" s="1211"/>
      <c r="O4" s="1211"/>
      <c r="P4" s="1212" t="s">
        <v>653</v>
      </c>
      <c r="Q4" s="1213"/>
      <c r="R4" s="1213"/>
      <c r="S4" s="1213"/>
      <c r="T4" s="1214"/>
    </row>
    <row r="5" spans="1:21" ht="20.25" customHeight="1" x14ac:dyDescent="0.2">
      <c r="A5" s="1192"/>
      <c r="B5" s="1194"/>
      <c r="C5" s="1197"/>
      <c r="D5" s="1200"/>
      <c r="E5" s="1208"/>
      <c r="F5" s="1209"/>
      <c r="G5" s="1210"/>
      <c r="H5" s="1210"/>
      <c r="I5" s="1210"/>
      <c r="J5" s="1210"/>
      <c r="K5" s="1210"/>
      <c r="L5" s="523" t="s">
        <v>656</v>
      </c>
      <c r="M5" s="1218" t="s">
        <v>654</v>
      </c>
      <c r="N5" s="1219"/>
      <c r="O5" s="1220"/>
      <c r="P5" s="1215"/>
      <c r="Q5" s="1216"/>
      <c r="R5" s="1216"/>
      <c r="S5" s="1216"/>
      <c r="T5" s="1217"/>
    </row>
    <row r="6" spans="1:21" ht="15" customHeight="1" x14ac:dyDescent="0.2">
      <c r="A6" s="1192"/>
      <c r="B6" s="1194"/>
      <c r="C6" s="1197"/>
      <c r="D6" s="1200"/>
      <c r="E6" s="1189" t="s">
        <v>657</v>
      </c>
      <c r="F6" s="1187" t="s">
        <v>658</v>
      </c>
      <c r="G6" s="1189" t="s">
        <v>659</v>
      </c>
      <c r="H6" s="1187" t="s">
        <v>658</v>
      </c>
      <c r="I6" s="1186" t="s">
        <v>657</v>
      </c>
      <c r="J6" s="1186" t="s">
        <v>660</v>
      </c>
      <c r="K6" s="1186"/>
      <c r="L6" s="1187" t="s">
        <v>657</v>
      </c>
      <c r="M6" s="1187" t="s">
        <v>658</v>
      </c>
      <c r="N6" s="1187" t="s">
        <v>661</v>
      </c>
      <c r="O6" s="1189" t="s">
        <v>659</v>
      </c>
      <c r="P6" s="1187" t="s">
        <v>658</v>
      </c>
      <c r="Q6" s="1187" t="s">
        <v>661</v>
      </c>
      <c r="R6" s="1187" t="s">
        <v>662</v>
      </c>
      <c r="S6" s="1186" t="s">
        <v>663</v>
      </c>
      <c r="T6" s="1189" t="s">
        <v>659</v>
      </c>
    </row>
    <row r="7" spans="1:21" ht="33.75" customHeight="1" x14ac:dyDescent="0.2">
      <c r="A7" s="1192"/>
      <c r="B7" s="1195"/>
      <c r="C7" s="1198"/>
      <c r="D7" s="1201"/>
      <c r="E7" s="1190"/>
      <c r="F7" s="1188"/>
      <c r="G7" s="1190"/>
      <c r="H7" s="1188"/>
      <c r="I7" s="1186"/>
      <c r="J7" s="524" t="s">
        <v>664</v>
      </c>
      <c r="K7" s="524" t="s">
        <v>665</v>
      </c>
      <c r="L7" s="1188"/>
      <c r="M7" s="1188"/>
      <c r="N7" s="1188"/>
      <c r="O7" s="1190"/>
      <c r="P7" s="1188"/>
      <c r="Q7" s="1188"/>
      <c r="R7" s="1188"/>
      <c r="S7" s="1186"/>
      <c r="T7" s="1190"/>
    </row>
    <row r="8" spans="1:21" ht="15" customHeight="1" x14ac:dyDescent="0.2">
      <c r="A8" s="298">
        <v>1</v>
      </c>
      <c r="B8" s="299" t="s">
        <v>266</v>
      </c>
      <c r="C8" s="300" t="s">
        <v>666</v>
      </c>
      <c r="D8" s="301">
        <f t="shared" ref="D8:D20" si="0">SUM(E8:T8)</f>
        <v>3292</v>
      </c>
      <c r="E8" s="523"/>
      <c r="F8" s="523"/>
      <c r="G8" s="302"/>
      <c r="H8" s="302"/>
      <c r="I8" s="523">
        <v>450</v>
      </c>
      <c r="J8" s="523">
        <v>100</v>
      </c>
      <c r="K8" s="523">
        <v>12</v>
      </c>
      <c r="L8" s="303">
        <v>630</v>
      </c>
      <c r="M8" s="303"/>
      <c r="N8" s="523">
        <v>970</v>
      </c>
      <c r="O8" s="523">
        <v>50</v>
      </c>
      <c r="P8" s="523"/>
      <c r="Q8" s="523"/>
      <c r="R8" s="523"/>
      <c r="S8" s="523"/>
      <c r="T8" s="523">
        <v>1080</v>
      </c>
    </row>
    <row r="9" spans="1:21" ht="15" customHeight="1" x14ac:dyDescent="0.2">
      <c r="A9" s="298">
        <v>2</v>
      </c>
      <c r="B9" s="304" t="s">
        <v>272</v>
      </c>
      <c r="C9" s="305" t="s">
        <v>273</v>
      </c>
      <c r="D9" s="301">
        <f t="shared" si="0"/>
        <v>2786</v>
      </c>
      <c r="E9" s="523"/>
      <c r="F9" s="523"/>
      <c r="G9" s="302">
        <v>40</v>
      </c>
      <c r="H9" s="302"/>
      <c r="I9" s="523">
        <v>10</v>
      </c>
      <c r="J9" s="523"/>
      <c r="K9" s="523"/>
      <c r="L9" s="303"/>
      <c r="M9" s="303"/>
      <c r="N9" s="523"/>
      <c r="O9" s="523"/>
      <c r="P9" s="523"/>
      <c r="Q9" s="523">
        <v>804</v>
      </c>
      <c r="R9" s="523">
        <v>288</v>
      </c>
      <c r="S9" s="523">
        <v>150</v>
      </c>
      <c r="T9" s="523">
        <v>1494</v>
      </c>
    </row>
    <row r="10" spans="1:21" ht="12" x14ac:dyDescent="0.2">
      <c r="A10" s="298">
        <v>3</v>
      </c>
      <c r="B10" s="304" t="s">
        <v>268</v>
      </c>
      <c r="C10" s="539" t="s">
        <v>269</v>
      </c>
      <c r="D10" s="301">
        <f t="shared" si="0"/>
        <v>6</v>
      </c>
      <c r="E10" s="523"/>
      <c r="F10" s="523"/>
      <c r="G10" s="302"/>
      <c r="H10" s="302"/>
      <c r="I10" s="523"/>
      <c r="J10" s="523">
        <v>6</v>
      </c>
      <c r="K10" s="523"/>
      <c r="L10" s="306"/>
      <c r="M10" s="306"/>
      <c r="N10" s="306"/>
      <c r="O10" s="306"/>
      <c r="P10" s="523"/>
      <c r="Q10" s="523"/>
      <c r="R10" s="523"/>
      <c r="S10" s="523"/>
      <c r="T10" s="523"/>
    </row>
    <row r="11" spans="1:21" x14ac:dyDescent="0.2">
      <c r="A11" s="298">
        <v>4</v>
      </c>
      <c r="B11" s="299" t="s">
        <v>270</v>
      </c>
      <c r="C11" s="305" t="s">
        <v>271</v>
      </c>
      <c r="D11" s="301">
        <f t="shared" si="0"/>
        <v>90</v>
      </c>
      <c r="E11" s="523"/>
      <c r="F11" s="523"/>
      <c r="G11" s="302"/>
      <c r="H11" s="302"/>
      <c r="I11" s="523"/>
      <c r="J11" s="523">
        <v>90</v>
      </c>
      <c r="K11" s="523"/>
      <c r="L11" s="306"/>
      <c r="M11" s="306"/>
      <c r="N11" s="306"/>
      <c r="O11" s="306"/>
      <c r="P11" s="523"/>
      <c r="Q11" s="523"/>
      <c r="R11" s="523"/>
      <c r="S11" s="523"/>
      <c r="T11" s="523"/>
    </row>
    <row r="12" spans="1:21" x14ac:dyDescent="0.2">
      <c r="A12" s="298">
        <v>5</v>
      </c>
      <c r="B12" s="307" t="s">
        <v>283</v>
      </c>
      <c r="C12" s="305" t="s">
        <v>284</v>
      </c>
      <c r="D12" s="301">
        <f t="shared" si="0"/>
        <v>32</v>
      </c>
      <c r="E12" s="523"/>
      <c r="F12" s="523"/>
      <c r="G12" s="302"/>
      <c r="H12" s="302"/>
      <c r="I12" s="523"/>
      <c r="J12" s="523">
        <v>30</v>
      </c>
      <c r="K12" s="523">
        <v>2</v>
      </c>
      <c r="L12" s="306"/>
      <c r="M12" s="306"/>
      <c r="N12" s="306"/>
      <c r="O12" s="306"/>
      <c r="P12" s="523"/>
      <c r="Q12" s="523"/>
      <c r="R12" s="523"/>
      <c r="S12" s="523"/>
      <c r="T12" s="523"/>
    </row>
    <row r="13" spans="1:21" ht="22.5" x14ac:dyDescent="0.2">
      <c r="A13" s="298">
        <v>6</v>
      </c>
      <c r="B13" s="308" t="s">
        <v>285</v>
      </c>
      <c r="C13" s="300" t="s">
        <v>728</v>
      </c>
      <c r="D13" s="301">
        <f t="shared" si="0"/>
        <v>30</v>
      </c>
      <c r="E13" s="523"/>
      <c r="F13" s="523"/>
      <c r="G13" s="302"/>
      <c r="H13" s="302"/>
      <c r="I13" s="523"/>
      <c r="J13" s="523">
        <v>30</v>
      </c>
      <c r="K13" s="523"/>
      <c r="L13" s="306"/>
      <c r="M13" s="306"/>
      <c r="N13" s="306"/>
      <c r="O13" s="306"/>
      <c r="P13" s="523"/>
      <c r="Q13" s="523"/>
      <c r="R13" s="523"/>
      <c r="S13" s="523"/>
      <c r="T13" s="523"/>
    </row>
    <row r="14" spans="1:21" x14ac:dyDescent="0.2">
      <c r="A14" s="298">
        <v>7</v>
      </c>
      <c r="B14" s="304" t="s">
        <v>194</v>
      </c>
      <c r="C14" s="305" t="s">
        <v>667</v>
      </c>
      <c r="D14" s="301">
        <f t="shared" si="0"/>
        <v>105</v>
      </c>
      <c r="E14" s="523"/>
      <c r="F14" s="523"/>
      <c r="G14" s="302"/>
      <c r="H14" s="302"/>
      <c r="I14" s="523"/>
      <c r="J14" s="523">
        <v>100</v>
      </c>
      <c r="K14" s="523">
        <v>5</v>
      </c>
      <c r="L14" s="306"/>
      <c r="M14" s="306"/>
      <c r="N14" s="306"/>
      <c r="O14" s="306"/>
      <c r="P14" s="523"/>
      <c r="Q14" s="523"/>
      <c r="R14" s="523"/>
      <c r="S14" s="523"/>
      <c r="T14" s="523"/>
    </row>
    <row r="15" spans="1:21" x14ac:dyDescent="0.2">
      <c r="A15" s="298">
        <v>8</v>
      </c>
      <c r="B15" s="299" t="s">
        <v>18</v>
      </c>
      <c r="C15" s="305" t="s">
        <v>668</v>
      </c>
      <c r="D15" s="301">
        <f t="shared" si="0"/>
        <v>30</v>
      </c>
      <c r="E15" s="523"/>
      <c r="F15" s="523"/>
      <c r="G15" s="302"/>
      <c r="H15" s="302"/>
      <c r="I15" s="523"/>
      <c r="J15" s="523">
        <v>30</v>
      </c>
      <c r="K15" s="523"/>
      <c r="L15" s="306"/>
      <c r="M15" s="306"/>
      <c r="N15" s="306"/>
      <c r="O15" s="306"/>
      <c r="P15" s="523"/>
      <c r="Q15" s="523"/>
      <c r="R15" s="523"/>
      <c r="S15" s="523"/>
      <c r="T15" s="523"/>
    </row>
    <row r="16" spans="1:21" ht="13.5" customHeight="1" x14ac:dyDescent="0.2">
      <c r="A16" s="298">
        <v>9</v>
      </c>
      <c r="B16" s="304" t="s">
        <v>92</v>
      </c>
      <c r="C16" s="300" t="s">
        <v>669</v>
      </c>
      <c r="D16" s="301">
        <f t="shared" si="0"/>
        <v>250</v>
      </c>
      <c r="E16" s="523"/>
      <c r="F16" s="523"/>
      <c r="G16" s="523"/>
      <c r="H16" s="523"/>
      <c r="I16" s="523">
        <v>150</v>
      </c>
      <c r="J16" s="523"/>
      <c r="K16" s="523"/>
      <c r="L16" s="306"/>
      <c r="M16" s="306"/>
      <c r="N16" s="306">
        <v>100</v>
      </c>
      <c r="O16" s="306"/>
      <c r="P16" s="523"/>
      <c r="Q16" s="523"/>
      <c r="R16" s="523"/>
      <c r="S16" s="523"/>
      <c r="T16" s="523"/>
    </row>
    <row r="17" spans="1:20" s="296" customFormat="1" ht="13.5" customHeight="1" x14ac:dyDescent="0.2">
      <c r="A17" s="298">
        <v>10</v>
      </c>
      <c r="B17" s="540" t="s">
        <v>32</v>
      </c>
      <c r="C17" s="539" t="s">
        <v>33</v>
      </c>
      <c r="D17" s="301">
        <f t="shared" si="0"/>
        <v>25</v>
      </c>
      <c r="E17" s="523"/>
      <c r="F17" s="523"/>
      <c r="G17" s="523"/>
      <c r="H17" s="523">
        <v>5</v>
      </c>
      <c r="I17" s="523">
        <v>9</v>
      </c>
      <c r="J17" s="523"/>
      <c r="K17" s="523"/>
      <c r="L17" s="306"/>
      <c r="M17" s="306">
        <v>6</v>
      </c>
      <c r="N17" s="306">
        <v>5</v>
      </c>
      <c r="O17" s="306"/>
      <c r="P17" s="523"/>
      <c r="Q17" s="523"/>
      <c r="R17" s="523"/>
      <c r="S17" s="523"/>
      <c r="T17" s="523"/>
    </row>
    <row r="18" spans="1:20" s="296" customFormat="1" ht="12" customHeight="1" x14ac:dyDescent="0.2">
      <c r="A18" s="298">
        <v>11</v>
      </c>
      <c r="B18" s="299" t="s">
        <v>244</v>
      </c>
      <c r="C18" s="300" t="s">
        <v>245</v>
      </c>
      <c r="D18" s="301">
        <f t="shared" si="0"/>
        <v>158068</v>
      </c>
      <c r="E18" s="523">
        <v>837</v>
      </c>
      <c r="F18" s="523"/>
      <c r="G18" s="523"/>
      <c r="H18" s="523"/>
      <c r="I18" s="523"/>
      <c r="J18" s="523"/>
      <c r="K18" s="523"/>
      <c r="L18" s="306"/>
      <c r="M18" s="306"/>
      <c r="N18" s="306"/>
      <c r="O18" s="306"/>
      <c r="P18" s="523"/>
      <c r="Q18" s="523">
        <v>121946</v>
      </c>
      <c r="R18" s="523">
        <v>26916</v>
      </c>
      <c r="S18" s="523">
        <v>7724</v>
      </c>
      <c r="T18" s="523">
        <v>645</v>
      </c>
    </row>
    <row r="19" spans="1:20" s="296" customFormat="1" x14ac:dyDescent="0.2">
      <c r="A19" s="298">
        <v>12</v>
      </c>
      <c r="B19" s="304" t="s">
        <v>232</v>
      </c>
      <c r="C19" s="305" t="s">
        <v>670</v>
      </c>
      <c r="D19" s="301">
        <f t="shared" si="0"/>
        <v>36268</v>
      </c>
      <c r="E19" s="523">
        <v>50</v>
      </c>
      <c r="F19" s="523"/>
      <c r="G19" s="523"/>
      <c r="H19" s="523"/>
      <c r="I19" s="523"/>
      <c r="J19" s="523"/>
      <c r="K19" s="523"/>
      <c r="L19" s="306"/>
      <c r="M19" s="306"/>
      <c r="N19" s="306"/>
      <c r="O19" s="306"/>
      <c r="P19" s="523"/>
      <c r="Q19" s="523">
        <v>28573</v>
      </c>
      <c r="R19" s="523">
        <v>7645</v>
      </c>
      <c r="S19" s="523"/>
      <c r="T19" s="523"/>
    </row>
    <row r="20" spans="1:20" s="296" customFormat="1" x14ac:dyDescent="0.2">
      <c r="A20" s="298">
        <v>13</v>
      </c>
      <c r="B20" s="299" t="s">
        <v>262</v>
      </c>
      <c r="C20" s="305" t="s">
        <v>263</v>
      </c>
      <c r="D20" s="301">
        <f t="shared" si="0"/>
        <v>41740</v>
      </c>
      <c r="E20" s="523">
        <v>120</v>
      </c>
      <c r="F20" s="523">
        <v>120</v>
      </c>
      <c r="G20" s="523"/>
      <c r="H20" s="523"/>
      <c r="I20" s="523"/>
      <c r="J20" s="523"/>
      <c r="K20" s="523"/>
      <c r="L20" s="306"/>
      <c r="M20" s="306"/>
      <c r="N20" s="306"/>
      <c r="O20" s="306"/>
      <c r="P20" s="523">
        <v>7379</v>
      </c>
      <c r="Q20" s="523">
        <f>25300+2496</f>
        <v>27796</v>
      </c>
      <c r="R20" s="523">
        <v>6325</v>
      </c>
      <c r="S20" s="523"/>
      <c r="T20" s="523"/>
    </row>
    <row r="21" spans="1:20" s="296" customFormat="1" x14ac:dyDescent="0.2">
      <c r="A21" s="298"/>
      <c r="B21" s="309"/>
      <c r="C21" s="310" t="s">
        <v>413</v>
      </c>
      <c r="D21" s="301">
        <f t="shared" ref="D21:T21" si="1">SUM(D8:D20)</f>
        <v>242722</v>
      </c>
      <c r="E21" s="301">
        <f t="shared" si="1"/>
        <v>1007</v>
      </c>
      <c r="F21" s="301">
        <f t="shared" si="1"/>
        <v>120</v>
      </c>
      <c r="G21" s="301">
        <f t="shared" si="1"/>
        <v>40</v>
      </c>
      <c r="H21" s="301">
        <f t="shared" si="1"/>
        <v>5</v>
      </c>
      <c r="I21" s="301">
        <f t="shared" si="1"/>
        <v>619</v>
      </c>
      <c r="J21" s="301">
        <f t="shared" si="1"/>
        <v>386</v>
      </c>
      <c r="K21" s="301">
        <f t="shared" si="1"/>
        <v>19</v>
      </c>
      <c r="L21" s="301">
        <f t="shared" si="1"/>
        <v>630</v>
      </c>
      <c r="M21" s="301"/>
      <c r="N21" s="301">
        <f t="shared" si="1"/>
        <v>1075</v>
      </c>
      <c r="O21" s="301">
        <f t="shared" si="1"/>
        <v>50</v>
      </c>
      <c r="P21" s="301">
        <f t="shared" si="1"/>
        <v>7379</v>
      </c>
      <c r="Q21" s="301">
        <f t="shared" si="1"/>
        <v>179119</v>
      </c>
      <c r="R21" s="301">
        <f t="shared" si="1"/>
        <v>41174</v>
      </c>
      <c r="S21" s="301">
        <f t="shared" si="1"/>
        <v>7874</v>
      </c>
      <c r="T21" s="301">
        <f t="shared" si="1"/>
        <v>3219</v>
      </c>
    </row>
    <row r="22" spans="1:20" s="296" customFormat="1" ht="22.5" x14ac:dyDescent="0.2">
      <c r="A22" s="297"/>
      <c r="B22" s="297"/>
      <c r="C22" s="300" t="s">
        <v>671</v>
      </c>
      <c r="D22" s="301">
        <f>SUM(E22:T22)</f>
        <v>5495</v>
      </c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6">
        <v>5495</v>
      </c>
      <c r="R22" s="301"/>
      <c r="S22" s="301"/>
      <c r="T22" s="301"/>
    </row>
    <row r="23" spans="1:20" s="296" customFormat="1" ht="21" x14ac:dyDescent="0.2">
      <c r="A23" s="297"/>
      <c r="B23" s="297"/>
      <c r="C23" s="311" t="s">
        <v>672</v>
      </c>
      <c r="D23" s="301">
        <f>D21+D22</f>
        <v>248217</v>
      </c>
      <c r="E23" s="301">
        <f t="shared" ref="E23:T23" si="2">E21+E22</f>
        <v>1007</v>
      </c>
      <c r="F23" s="301">
        <f t="shared" si="2"/>
        <v>120</v>
      </c>
      <c r="G23" s="301">
        <f t="shared" si="2"/>
        <v>40</v>
      </c>
      <c r="H23" s="301">
        <f t="shared" si="2"/>
        <v>5</v>
      </c>
      <c r="I23" s="301">
        <f t="shared" si="2"/>
        <v>619</v>
      </c>
      <c r="J23" s="301">
        <f t="shared" si="2"/>
        <v>386</v>
      </c>
      <c r="K23" s="301">
        <f t="shared" si="2"/>
        <v>19</v>
      </c>
      <c r="L23" s="301">
        <f t="shared" si="2"/>
        <v>630</v>
      </c>
      <c r="M23" s="301"/>
      <c r="N23" s="301">
        <f t="shared" si="2"/>
        <v>1075</v>
      </c>
      <c r="O23" s="301">
        <f t="shared" si="2"/>
        <v>50</v>
      </c>
      <c r="P23" s="301">
        <f t="shared" si="2"/>
        <v>7379</v>
      </c>
      <c r="Q23" s="301">
        <f t="shared" si="2"/>
        <v>184614</v>
      </c>
      <c r="R23" s="301">
        <f t="shared" si="2"/>
        <v>41174</v>
      </c>
      <c r="S23" s="301">
        <f t="shared" si="2"/>
        <v>7874</v>
      </c>
      <c r="T23" s="301">
        <f t="shared" si="2"/>
        <v>3219</v>
      </c>
    </row>
  </sheetData>
  <mergeCells count="27">
    <mergeCell ref="A1:T1"/>
    <mergeCell ref="A3:A7"/>
    <mergeCell ref="B3:B7"/>
    <mergeCell ref="C3:C7"/>
    <mergeCell ref="D3:D7"/>
    <mergeCell ref="E3:K3"/>
    <mergeCell ref="L3:T3"/>
    <mergeCell ref="E4:F5"/>
    <mergeCell ref="G4:K5"/>
    <mergeCell ref="L4:O4"/>
    <mergeCell ref="P4:T5"/>
    <mergeCell ref="M5:O5"/>
    <mergeCell ref="E6:E7"/>
    <mergeCell ref="F6:F7"/>
    <mergeCell ref="G6:G7"/>
    <mergeCell ref="H6:H7"/>
    <mergeCell ref="I6:I7"/>
    <mergeCell ref="J6:K6"/>
    <mergeCell ref="L6:L7"/>
    <mergeCell ref="M6:M7"/>
    <mergeCell ref="T6:T7"/>
    <mergeCell ref="N6:N7"/>
    <mergeCell ref="O6:O7"/>
    <mergeCell ref="P6:P7"/>
    <mergeCell ref="Q6:Q7"/>
    <mergeCell ref="R6:R7"/>
    <mergeCell ref="S6:S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3"/>
  <sheetViews>
    <sheetView workbookViewId="0">
      <selection activeCell="C22" sqref="C22"/>
    </sheetView>
  </sheetViews>
  <sheetFormatPr defaultRowHeight="12.75" x14ac:dyDescent="0.25"/>
  <cols>
    <col min="1" max="1" width="7.28515625" style="334" customWidth="1"/>
    <col min="2" max="2" width="11.28515625" style="334" customWidth="1"/>
    <col min="3" max="3" width="51.85546875" style="348" customWidth="1"/>
    <col min="4" max="4" width="14.140625" style="334" customWidth="1"/>
    <col min="5" max="5" width="13.7109375" style="334" customWidth="1"/>
    <col min="6" max="16384" width="9.140625" style="334"/>
  </cols>
  <sheetData>
    <row r="1" spans="1:7" ht="39.75" customHeight="1" x14ac:dyDescent="0.25">
      <c r="A1" s="1221" t="s">
        <v>685</v>
      </c>
      <c r="B1" s="1222"/>
      <c r="C1" s="1222"/>
      <c r="D1" s="1222"/>
      <c r="E1" s="1222"/>
      <c r="F1" s="333"/>
      <c r="G1" s="333"/>
    </row>
    <row r="3" spans="1:7" ht="31.5" customHeight="1" x14ac:dyDescent="0.25">
      <c r="A3" s="335" t="s">
        <v>0</v>
      </c>
      <c r="B3" s="335" t="s">
        <v>1</v>
      </c>
      <c r="C3" s="335" t="s">
        <v>2</v>
      </c>
      <c r="D3" s="335" t="s">
        <v>686</v>
      </c>
      <c r="E3" s="335" t="s">
        <v>687</v>
      </c>
    </row>
    <row r="4" spans="1:7" ht="45" customHeight="1" x14ac:dyDescent="0.25">
      <c r="A4" s="1223" t="s">
        <v>688</v>
      </c>
      <c r="B4" s="1224"/>
      <c r="C4" s="1225"/>
      <c r="D4" s="336">
        <f>SUM(D5:D6)</f>
        <v>2717</v>
      </c>
      <c r="E4" s="337"/>
    </row>
    <row r="5" spans="1:7" ht="18.75" customHeight="1" x14ac:dyDescent="0.25">
      <c r="A5" s="338">
        <v>1</v>
      </c>
      <c r="B5" s="332" t="s">
        <v>258</v>
      </c>
      <c r="C5" s="339" t="s">
        <v>259</v>
      </c>
      <c r="D5" s="340">
        <v>1708</v>
      </c>
      <c r="E5" s="338"/>
    </row>
    <row r="6" spans="1:7" ht="18.75" customHeight="1" x14ac:dyDescent="0.25">
      <c r="A6" s="338">
        <v>2</v>
      </c>
      <c r="B6" s="341" t="s">
        <v>543</v>
      </c>
      <c r="C6" s="339" t="s">
        <v>544</v>
      </c>
      <c r="D6" s="340">
        <v>1009</v>
      </c>
      <c r="E6" s="338"/>
    </row>
    <row r="7" spans="1:7" ht="35.25" customHeight="1" x14ac:dyDescent="0.25">
      <c r="A7" s="1226" t="s">
        <v>689</v>
      </c>
      <c r="B7" s="1226"/>
      <c r="C7" s="1226"/>
      <c r="D7" s="338"/>
      <c r="E7" s="342">
        <f>SUM(E9:E10)</f>
        <v>363</v>
      </c>
    </row>
    <row r="8" spans="1:7" ht="20.25" customHeight="1" x14ac:dyDescent="0.25">
      <c r="A8" s="1227">
        <v>1</v>
      </c>
      <c r="B8" s="1228" t="s">
        <v>290</v>
      </c>
      <c r="C8" s="339" t="s">
        <v>291</v>
      </c>
      <c r="D8" s="342"/>
      <c r="E8" s="338"/>
    </row>
    <row r="9" spans="1:7" ht="20.25" customHeight="1" x14ac:dyDescent="0.25">
      <c r="A9" s="1227"/>
      <c r="B9" s="1229"/>
      <c r="C9" s="343" t="s">
        <v>690</v>
      </c>
      <c r="D9" s="338"/>
      <c r="E9" s="338">
        <v>57</v>
      </c>
    </row>
    <row r="10" spans="1:7" ht="20.25" customHeight="1" x14ac:dyDescent="0.25">
      <c r="A10" s="1227"/>
      <c r="B10" s="1230"/>
      <c r="C10" s="343" t="s">
        <v>691</v>
      </c>
      <c r="D10" s="338"/>
      <c r="E10" s="338">
        <v>306</v>
      </c>
    </row>
    <row r="11" spans="1:7" x14ac:dyDescent="0.2">
      <c r="A11" s="344"/>
      <c r="B11" s="345"/>
      <c r="C11" s="345"/>
      <c r="D11" s="346"/>
      <c r="E11" s="347"/>
    </row>
    <row r="12" spans="1:7" x14ac:dyDescent="0.25">
      <c r="D12" s="349"/>
      <c r="E12" s="349"/>
    </row>
    <row r="13" spans="1:7" x14ac:dyDescent="0.25">
      <c r="D13" s="349"/>
      <c r="E13" s="349"/>
    </row>
  </sheetData>
  <mergeCells count="5">
    <mergeCell ref="A1:E1"/>
    <mergeCell ref="A4:C4"/>
    <mergeCell ref="A7:C7"/>
    <mergeCell ref="A8:A10"/>
    <mergeCell ref="B8:B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45"/>
  <sheetViews>
    <sheetView workbookViewId="0">
      <pane xSplit="3" ySplit="7" topLeftCell="G130" activePane="bottomRight" state="frozen"/>
      <selection pane="topRight" activeCell="D1" sqref="D1"/>
      <selection pane="bottomLeft" activeCell="A8" sqref="A8"/>
      <selection pane="bottomRight" activeCell="P142" sqref="P142"/>
    </sheetView>
  </sheetViews>
  <sheetFormatPr defaultRowHeight="15" x14ac:dyDescent="0.25"/>
  <cols>
    <col min="1" max="1" width="4.28515625" style="108" customWidth="1"/>
    <col min="2" max="2" width="9.140625" style="108"/>
    <col min="3" max="3" width="34.140625" style="108" customWidth="1"/>
    <col min="4" max="4" width="19.7109375" style="108" customWidth="1"/>
    <col min="5" max="5" width="16.42578125" style="108" customWidth="1"/>
    <col min="6" max="6" width="12.5703125" style="108" customWidth="1"/>
    <col min="7" max="7" width="11.28515625" style="108" customWidth="1"/>
    <col min="8" max="8" width="11.5703125" style="108" customWidth="1"/>
    <col min="9" max="9" width="12.28515625" style="108" customWidth="1"/>
    <col min="10" max="16384" width="9.140625" style="108"/>
  </cols>
  <sheetData>
    <row r="1" spans="1:9" ht="24.75" customHeight="1" x14ac:dyDescent="0.25">
      <c r="A1" s="1240" t="s">
        <v>692</v>
      </c>
      <c r="B1" s="1241"/>
      <c r="C1" s="1241"/>
      <c r="D1" s="1241"/>
      <c r="E1" s="1241"/>
      <c r="F1" s="1241"/>
      <c r="G1" s="1241"/>
      <c r="H1" s="1241"/>
      <c r="I1" s="1241"/>
    </row>
    <row r="2" spans="1:9" ht="15.75" thickBot="1" x14ac:dyDescent="0.3">
      <c r="A2" s="350"/>
      <c r="B2" s="350"/>
      <c r="C2" s="350"/>
      <c r="D2" s="351"/>
      <c r="E2" s="351"/>
      <c r="F2" s="352"/>
      <c r="G2" s="351"/>
      <c r="H2" s="351"/>
      <c r="I2" s="351"/>
    </row>
    <row r="3" spans="1:9" x14ac:dyDescent="0.25">
      <c r="A3" s="1242" t="s">
        <v>0</v>
      </c>
      <c r="B3" s="1245" t="s">
        <v>693</v>
      </c>
      <c r="C3" s="1248" t="s">
        <v>2</v>
      </c>
      <c r="D3" s="1251" t="s">
        <v>694</v>
      </c>
      <c r="E3" s="1252"/>
      <c r="F3" s="1255" t="s">
        <v>695</v>
      </c>
      <c r="G3" s="1256"/>
      <c r="H3" s="1258" t="s">
        <v>696</v>
      </c>
      <c r="I3" s="1256"/>
    </row>
    <row r="4" spans="1:9" x14ac:dyDescent="0.25">
      <c r="A4" s="1243"/>
      <c r="B4" s="1246"/>
      <c r="C4" s="1249"/>
      <c r="D4" s="1253"/>
      <c r="E4" s="1254"/>
      <c r="F4" s="1257"/>
      <c r="G4" s="1254"/>
      <c r="H4" s="1253"/>
      <c r="I4" s="1254"/>
    </row>
    <row r="5" spans="1:9" x14ac:dyDescent="0.25">
      <c r="A5" s="1243"/>
      <c r="B5" s="1246"/>
      <c r="C5" s="1249"/>
      <c r="D5" s="1259" t="s">
        <v>441</v>
      </c>
      <c r="E5" s="1261" t="s">
        <v>697</v>
      </c>
      <c r="F5" s="1263" t="s">
        <v>698</v>
      </c>
      <c r="G5" s="1265" t="s">
        <v>699</v>
      </c>
      <c r="H5" s="1267" t="s">
        <v>700</v>
      </c>
      <c r="I5" s="1265" t="s">
        <v>701</v>
      </c>
    </row>
    <row r="6" spans="1:9" ht="27" customHeight="1" thickBot="1" x14ac:dyDescent="0.3">
      <c r="A6" s="1244"/>
      <c r="B6" s="1247"/>
      <c r="C6" s="1250"/>
      <c r="D6" s="1260"/>
      <c r="E6" s="1262"/>
      <c r="F6" s="1264"/>
      <c r="G6" s="1266"/>
      <c r="H6" s="1268"/>
      <c r="I6" s="1266"/>
    </row>
    <row r="7" spans="1:9" x14ac:dyDescent="0.25">
      <c r="A7" s="1231" t="s">
        <v>44</v>
      </c>
      <c r="B7" s="1232"/>
      <c r="C7" s="1233"/>
      <c r="D7" s="353">
        <f t="shared" ref="D7:I7" si="0">SUM(D8:D145)</f>
        <v>301334</v>
      </c>
      <c r="E7" s="354">
        <f t="shared" si="0"/>
        <v>9338</v>
      </c>
      <c r="F7" s="355">
        <f t="shared" si="0"/>
        <v>746</v>
      </c>
      <c r="G7" s="356">
        <f t="shared" si="0"/>
        <v>11187</v>
      </c>
      <c r="H7" s="355">
        <f t="shared" si="0"/>
        <v>676</v>
      </c>
      <c r="I7" s="356">
        <f t="shared" si="0"/>
        <v>7440</v>
      </c>
    </row>
    <row r="8" spans="1:9" x14ac:dyDescent="0.25">
      <c r="A8" s="357">
        <v>1</v>
      </c>
      <c r="B8" s="358" t="s">
        <v>54</v>
      </c>
      <c r="C8" s="359" t="s">
        <v>55</v>
      </c>
      <c r="D8" s="360">
        <v>1628</v>
      </c>
      <c r="E8" s="361"/>
      <c r="F8" s="362"/>
      <c r="G8" s="363"/>
      <c r="H8" s="364"/>
      <c r="I8" s="363"/>
    </row>
    <row r="9" spans="1:9" x14ac:dyDescent="0.25">
      <c r="A9" s="357">
        <v>2</v>
      </c>
      <c r="B9" s="365" t="s">
        <v>56</v>
      </c>
      <c r="C9" s="366" t="s">
        <v>57</v>
      </c>
      <c r="D9" s="367">
        <v>2400</v>
      </c>
      <c r="E9" s="368"/>
      <c r="F9" s="362"/>
      <c r="G9" s="368"/>
      <c r="H9" s="364"/>
      <c r="I9" s="363"/>
    </row>
    <row r="10" spans="1:9" x14ac:dyDescent="0.25">
      <c r="A10" s="357">
        <v>3</v>
      </c>
      <c r="B10" s="369" t="s">
        <v>16</v>
      </c>
      <c r="C10" s="366" t="s">
        <v>17</v>
      </c>
      <c r="D10" s="367">
        <v>4717</v>
      </c>
      <c r="E10" s="368"/>
      <c r="F10" s="362"/>
      <c r="G10" s="368"/>
      <c r="H10" s="364"/>
      <c r="I10" s="363"/>
    </row>
    <row r="11" spans="1:9" x14ac:dyDescent="0.25">
      <c r="A11" s="357">
        <v>4</v>
      </c>
      <c r="B11" s="358" t="s">
        <v>58</v>
      </c>
      <c r="C11" s="366" t="s">
        <v>59</v>
      </c>
      <c r="D11" s="367">
        <v>1900</v>
      </c>
      <c r="E11" s="368"/>
      <c r="F11" s="362"/>
      <c r="G11" s="368"/>
      <c r="H11" s="364"/>
      <c r="I11" s="363"/>
    </row>
    <row r="12" spans="1:9" ht="12.75" customHeight="1" x14ac:dyDescent="0.25">
      <c r="A12" s="357">
        <v>5</v>
      </c>
      <c r="B12" s="358" t="s">
        <v>60</v>
      </c>
      <c r="C12" s="366" t="s">
        <v>61</v>
      </c>
      <c r="D12" s="367">
        <v>1530</v>
      </c>
      <c r="E12" s="368"/>
      <c r="F12" s="362"/>
      <c r="G12" s="368"/>
      <c r="H12" s="364"/>
      <c r="I12" s="363"/>
    </row>
    <row r="13" spans="1:9" x14ac:dyDescent="0.25">
      <c r="A13" s="357">
        <v>6</v>
      </c>
      <c r="B13" s="369" t="s">
        <v>18</v>
      </c>
      <c r="C13" s="366" t="s">
        <v>19</v>
      </c>
      <c r="D13" s="367">
        <v>10956</v>
      </c>
      <c r="E13" s="368">
        <v>81</v>
      </c>
      <c r="F13" s="362"/>
      <c r="G13" s="368"/>
      <c r="H13" s="364">
        <v>282</v>
      </c>
      <c r="I13" s="363">
        <v>3100</v>
      </c>
    </row>
    <row r="14" spans="1:9" x14ac:dyDescent="0.25">
      <c r="A14" s="357">
        <v>7</v>
      </c>
      <c r="B14" s="358" t="s">
        <v>62</v>
      </c>
      <c r="C14" s="366" t="s">
        <v>63</v>
      </c>
      <c r="D14" s="367">
        <v>4500</v>
      </c>
      <c r="E14" s="368"/>
      <c r="F14" s="362"/>
      <c r="G14" s="368"/>
      <c r="H14" s="364"/>
      <c r="I14" s="363"/>
    </row>
    <row r="15" spans="1:9" x14ac:dyDescent="0.25">
      <c r="A15" s="357">
        <v>8</v>
      </c>
      <c r="B15" s="369" t="s">
        <v>64</v>
      </c>
      <c r="C15" s="366" t="s">
        <v>65</v>
      </c>
      <c r="D15" s="367">
        <v>1926</v>
      </c>
      <c r="E15" s="368"/>
      <c r="F15" s="362"/>
      <c r="G15" s="368"/>
      <c r="H15" s="364"/>
      <c r="I15" s="363"/>
    </row>
    <row r="16" spans="1:9" x14ac:dyDescent="0.25">
      <c r="A16" s="357">
        <v>9</v>
      </c>
      <c r="B16" s="369" t="s">
        <v>66</v>
      </c>
      <c r="C16" s="366" t="s">
        <v>67</v>
      </c>
      <c r="D16" s="367">
        <v>2369</v>
      </c>
      <c r="E16" s="368"/>
      <c r="F16" s="362"/>
      <c r="G16" s="368"/>
      <c r="H16" s="364"/>
      <c r="I16" s="363"/>
    </row>
    <row r="17" spans="1:9" x14ac:dyDescent="0.25">
      <c r="A17" s="357">
        <v>10</v>
      </c>
      <c r="B17" s="369" t="s">
        <v>68</v>
      </c>
      <c r="C17" s="366" t="s">
        <v>69</v>
      </c>
      <c r="D17" s="367">
        <v>2344</v>
      </c>
      <c r="E17" s="368"/>
      <c r="F17" s="362"/>
      <c r="G17" s="368"/>
      <c r="H17" s="364"/>
      <c r="I17" s="363"/>
    </row>
    <row r="18" spans="1:9" x14ac:dyDescent="0.25">
      <c r="A18" s="357">
        <v>11</v>
      </c>
      <c r="B18" s="369" t="s">
        <v>70</v>
      </c>
      <c r="C18" s="366" t="s">
        <v>71</v>
      </c>
      <c r="D18" s="367">
        <v>1675</v>
      </c>
      <c r="E18" s="368"/>
      <c r="F18" s="362"/>
      <c r="G18" s="368"/>
      <c r="H18" s="364"/>
      <c r="I18" s="363"/>
    </row>
    <row r="19" spans="1:9" x14ac:dyDescent="0.25">
      <c r="A19" s="357">
        <v>12</v>
      </c>
      <c r="B19" s="369" t="s">
        <v>72</v>
      </c>
      <c r="C19" s="366" t="s">
        <v>73</v>
      </c>
      <c r="D19" s="367">
        <v>3183</v>
      </c>
      <c r="E19" s="368"/>
      <c r="F19" s="362"/>
      <c r="G19" s="368"/>
      <c r="H19" s="364"/>
      <c r="I19" s="363"/>
    </row>
    <row r="20" spans="1:9" ht="12.75" customHeight="1" x14ac:dyDescent="0.25">
      <c r="A20" s="357">
        <v>13</v>
      </c>
      <c r="B20" s="369" t="s">
        <v>74</v>
      </c>
      <c r="C20" s="366" t="s">
        <v>75</v>
      </c>
      <c r="D20" s="367"/>
      <c r="E20" s="368"/>
      <c r="F20" s="362"/>
      <c r="G20" s="368"/>
      <c r="H20" s="364"/>
      <c r="I20" s="363"/>
    </row>
    <row r="21" spans="1:9" x14ac:dyDescent="0.25">
      <c r="A21" s="357">
        <v>14</v>
      </c>
      <c r="B21" s="369" t="s">
        <v>76</v>
      </c>
      <c r="C21" s="366" t="s">
        <v>77</v>
      </c>
      <c r="D21" s="367">
        <v>2755</v>
      </c>
      <c r="E21" s="368"/>
      <c r="F21" s="362"/>
      <c r="G21" s="368"/>
      <c r="H21" s="364"/>
      <c r="I21" s="363"/>
    </row>
    <row r="22" spans="1:9" x14ac:dyDescent="0.25">
      <c r="A22" s="357">
        <v>15</v>
      </c>
      <c r="B22" s="369" t="s">
        <v>78</v>
      </c>
      <c r="C22" s="366" t="s">
        <v>79</v>
      </c>
      <c r="D22" s="367">
        <v>4455</v>
      </c>
      <c r="E22" s="368"/>
      <c r="F22" s="362"/>
      <c r="G22" s="368"/>
      <c r="H22" s="364"/>
      <c r="I22" s="363"/>
    </row>
    <row r="23" spans="1:9" x14ac:dyDescent="0.25">
      <c r="A23" s="357">
        <v>16</v>
      </c>
      <c r="B23" s="369" t="s">
        <v>80</v>
      </c>
      <c r="C23" s="366" t="s">
        <v>81</v>
      </c>
      <c r="D23" s="367">
        <v>3845</v>
      </c>
      <c r="E23" s="368"/>
      <c r="F23" s="362"/>
      <c r="G23" s="368"/>
      <c r="H23" s="364"/>
      <c r="I23" s="363"/>
    </row>
    <row r="24" spans="1:9" x14ac:dyDescent="0.25">
      <c r="A24" s="357">
        <v>17</v>
      </c>
      <c r="B24" s="369" t="s">
        <v>20</v>
      </c>
      <c r="C24" s="366" t="s">
        <v>21</v>
      </c>
      <c r="D24" s="367">
        <v>10114</v>
      </c>
      <c r="E24" s="368">
        <v>81</v>
      </c>
      <c r="F24" s="362"/>
      <c r="G24" s="368"/>
      <c r="H24" s="364">
        <v>113</v>
      </c>
      <c r="I24" s="363">
        <v>1240</v>
      </c>
    </row>
    <row r="25" spans="1:9" x14ac:dyDescent="0.25">
      <c r="A25" s="357">
        <v>18</v>
      </c>
      <c r="B25" s="358" t="s">
        <v>82</v>
      </c>
      <c r="C25" s="366" t="s">
        <v>83</v>
      </c>
      <c r="D25" s="367">
        <v>1051</v>
      </c>
      <c r="E25" s="368"/>
      <c r="F25" s="362"/>
      <c r="G25" s="368"/>
      <c r="H25" s="364"/>
      <c r="I25" s="363"/>
    </row>
    <row r="26" spans="1:9" x14ac:dyDescent="0.25">
      <c r="A26" s="357">
        <v>19</v>
      </c>
      <c r="B26" s="358" t="s">
        <v>84</v>
      </c>
      <c r="C26" s="366" t="s">
        <v>85</v>
      </c>
      <c r="D26" s="367">
        <v>1970</v>
      </c>
      <c r="E26" s="368"/>
      <c r="F26" s="362"/>
      <c r="G26" s="368"/>
      <c r="H26" s="364"/>
      <c r="I26" s="363"/>
    </row>
    <row r="27" spans="1:9" x14ac:dyDescent="0.25">
      <c r="A27" s="357">
        <v>20</v>
      </c>
      <c r="B27" s="358" t="s">
        <v>86</v>
      </c>
      <c r="C27" s="366" t="s">
        <v>87</v>
      </c>
      <c r="D27" s="367">
        <v>6944</v>
      </c>
      <c r="E27" s="368"/>
      <c r="F27" s="362"/>
      <c r="G27" s="368"/>
      <c r="H27" s="364">
        <v>28</v>
      </c>
      <c r="I27" s="363">
        <v>310</v>
      </c>
    </row>
    <row r="28" spans="1:9" x14ac:dyDescent="0.25">
      <c r="A28" s="357">
        <v>21</v>
      </c>
      <c r="B28" s="358" t="s">
        <v>22</v>
      </c>
      <c r="C28" s="366" t="s">
        <v>23</v>
      </c>
      <c r="D28" s="367">
        <v>4592</v>
      </c>
      <c r="E28" s="368">
        <v>81</v>
      </c>
      <c r="F28" s="362"/>
      <c r="G28" s="368"/>
      <c r="H28" s="364"/>
      <c r="I28" s="363"/>
    </row>
    <row r="29" spans="1:9" ht="13.5" customHeight="1" x14ac:dyDescent="0.25">
      <c r="A29" s="370">
        <v>22</v>
      </c>
      <c r="B29" s="369" t="s">
        <v>24</v>
      </c>
      <c r="C29" s="366" t="s">
        <v>25</v>
      </c>
      <c r="D29" s="367"/>
      <c r="E29" s="368"/>
      <c r="F29" s="362"/>
      <c r="G29" s="368"/>
      <c r="H29" s="364"/>
      <c r="I29" s="363"/>
    </row>
    <row r="30" spans="1:9" x14ac:dyDescent="0.25">
      <c r="A30" s="357">
        <v>23</v>
      </c>
      <c r="B30" s="369" t="s">
        <v>88</v>
      </c>
      <c r="C30" s="366" t="s">
        <v>89</v>
      </c>
      <c r="D30" s="367"/>
      <c r="E30" s="368"/>
      <c r="F30" s="362"/>
      <c r="G30" s="368"/>
      <c r="H30" s="364"/>
      <c r="I30" s="363"/>
    </row>
    <row r="31" spans="1:9" ht="25.5" x14ac:dyDescent="0.25">
      <c r="A31" s="357">
        <v>24</v>
      </c>
      <c r="B31" s="369" t="s">
        <v>90</v>
      </c>
      <c r="C31" s="366" t="s">
        <v>91</v>
      </c>
      <c r="D31" s="367"/>
      <c r="E31" s="368"/>
      <c r="F31" s="362"/>
      <c r="G31" s="368"/>
      <c r="H31" s="364"/>
      <c r="I31" s="363"/>
    </row>
    <row r="32" spans="1:9" x14ac:dyDescent="0.25">
      <c r="A32" s="357">
        <v>25</v>
      </c>
      <c r="B32" s="358" t="s">
        <v>92</v>
      </c>
      <c r="C32" s="366" t="s">
        <v>93</v>
      </c>
      <c r="D32" s="367">
        <v>6514</v>
      </c>
      <c r="E32" s="368"/>
      <c r="F32" s="362"/>
      <c r="G32" s="368"/>
      <c r="H32" s="364"/>
      <c r="I32" s="363"/>
    </row>
    <row r="33" spans="1:9" x14ac:dyDescent="0.25">
      <c r="A33" s="357">
        <v>26</v>
      </c>
      <c r="B33" s="369" t="s">
        <v>94</v>
      </c>
      <c r="C33" s="366" t="s">
        <v>95</v>
      </c>
      <c r="D33" s="367"/>
      <c r="E33" s="368"/>
      <c r="F33" s="362"/>
      <c r="G33" s="368"/>
      <c r="H33" s="364"/>
      <c r="I33" s="363"/>
    </row>
    <row r="34" spans="1:9" x14ac:dyDescent="0.25">
      <c r="A34" s="357">
        <v>27</v>
      </c>
      <c r="B34" s="365" t="s">
        <v>96</v>
      </c>
      <c r="C34" s="366" t="s">
        <v>97</v>
      </c>
      <c r="D34" s="367"/>
      <c r="E34" s="368"/>
      <c r="F34" s="362"/>
      <c r="G34" s="368"/>
      <c r="H34" s="364"/>
      <c r="I34" s="363"/>
    </row>
    <row r="35" spans="1:9" x14ac:dyDescent="0.25">
      <c r="A35" s="331">
        <v>28</v>
      </c>
      <c r="B35" s="365" t="s">
        <v>26</v>
      </c>
      <c r="C35" s="366" t="s">
        <v>27</v>
      </c>
      <c r="D35" s="367">
        <v>6325</v>
      </c>
      <c r="E35" s="368">
        <v>81</v>
      </c>
      <c r="F35" s="362"/>
      <c r="G35" s="368"/>
      <c r="H35" s="364"/>
      <c r="I35" s="363"/>
    </row>
    <row r="36" spans="1:9" x14ac:dyDescent="0.25">
      <c r="A36" s="331">
        <v>29</v>
      </c>
      <c r="B36" s="358" t="s">
        <v>98</v>
      </c>
      <c r="C36" s="366" t="s">
        <v>99</v>
      </c>
      <c r="D36" s="367"/>
      <c r="E36" s="368"/>
      <c r="F36" s="362"/>
      <c r="G36" s="368"/>
      <c r="H36" s="364"/>
      <c r="I36" s="363"/>
    </row>
    <row r="37" spans="1:9" x14ac:dyDescent="0.25">
      <c r="A37" s="331">
        <v>30</v>
      </c>
      <c r="B37" s="365" t="s">
        <v>100</v>
      </c>
      <c r="C37" s="366" t="s">
        <v>101</v>
      </c>
      <c r="D37" s="367">
        <v>2866</v>
      </c>
      <c r="E37" s="368"/>
      <c r="F37" s="362"/>
      <c r="G37" s="368"/>
      <c r="H37" s="364"/>
      <c r="I37" s="363"/>
    </row>
    <row r="38" spans="1:9" x14ac:dyDescent="0.25">
      <c r="A38" s="331">
        <v>31</v>
      </c>
      <c r="B38" s="369" t="s">
        <v>102</v>
      </c>
      <c r="C38" s="366" t="s">
        <v>103</v>
      </c>
      <c r="D38" s="367">
        <v>8011</v>
      </c>
      <c r="E38" s="368"/>
      <c r="F38" s="362"/>
      <c r="G38" s="368"/>
      <c r="H38" s="364"/>
      <c r="I38" s="363"/>
    </row>
    <row r="39" spans="1:9" x14ac:dyDescent="0.25">
      <c r="A39" s="331">
        <v>32</v>
      </c>
      <c r="B39" s="365" t="s">
        <v>104</v>
      </c>
      <c r="C39" s="366" t="s">
        <v>105</v>
      </c>
      <c r="D39" s="367">
        <v>2539</v>
      </c>
      <c r="E39" s="368"/>
      <c r="F39" s="362"/>
      <c r="G39" s="368"/>
      <c r="H39" s="364"/>
      <c r="I39" s="363"/>
    </row>
    <row r="40" spans="1:9" x14ac:dyDescent="0.25">
      <c r="A40" s="331">
        <v>33</v>
      </c>
      <c r="B40" s="358" t="s">
        <v>106</v>
      </c>
      <c r="C40" s="366" t="s">
        <v>107</v>
      </c>
      <c r="D40" s="367">
        <v>5969</v>
      </c>
      <c r="E40" s="368"/>
      <c r="F40" s="362"/>
      <c r="G40" s="368"/>
      <c r="H40" s="364"/>
      <c r="I40" s="363"/>
    </row>
    <row r="41" spans="1:9" x14ac:dyDescent="0.25">
      <c r="A41" s="331">
        <v>34</v>
      </c>
      <c r="B41" s="371" t="s">
        <v>108</v>
      </c>
      <c r="C41" s="330" t="s">
        <v>109</v>
      </c>
      <c r="D41" s="367">
        <v>2541</v>
      </c>
      <c r="E41" s="368"/>
      <c r="F41" s="362"/>
      <c r="G41" s="368"/>
      <c r="H41" s="364"/>
      <c r="I41" s="363"/>
    </row>
    <row r="42" spans="1:9" x14ac:dyDescent="0.25">
      <c r="A42" s="331">
        <v>35</v>
      </c>
      <c r="B42" s="358" t="s">
        <v>110</v>
      </c>
      <c r="C42" s="366" t="s">
        <v>111</v>
      </c>
      <c r="D42" s="367">
        <v>1291</v>
      </c>
      <c r="E42" s="368"/>
      <c r="F42" s="362"/>
      <c r="G42" s="368"/>
      <c r="H42" s="364"/>
      <c r="I42" s="363"/>
    </row>
    <row r="43" spans="1:9" x14ac:dyDescent="0.25">
      <c r="A43" s="331">
        <v>36</v>
      </c>
      <c r="B43" s="358" t="s">
        <v>112</v>
      </c>
      <c r="C43" s="366" t="s">
        <v>113</v>
      </c>
      <c r="D43" s="367">
        <v>2271</v>
      </c>
      <c r="E43" s="368"/>
      <c r="F43" s="362"/>
      <c r="G43" s="368"/>
      <c r="H43" s="364"/>
      <c r="I43" s="363"/>
    </row>
    <row r="44" spans="1:9" x14ac:dyDescent="0.25">
      <c r="A44" s="331">
        <v>37</v>
      </c>
      <c r="B44" s="369" t="s">
        <v>114</v>
      </c>
      <c r="C44" s="366" t="s">
        <v>115</v>
      </c>
      <c r="D44" s="367">
        <v>2065</v>
      </c>
      <c r="E44" s="368"/>
      <c r="F44" s="362"/>
      <c r="G44" s="368"/>
      <c r="H44" s="364"/>
      <c r="I44" s="363"/>
    </row>
    <row r="45" spans="1:9" x14ac:dyDescent="0.25">
      <c r="A45" s="331">
        <v>38</v>
      </c>
      <c r="B45" s="365" t="s">
        <v>116</v>
      </c>
      <c r="C45" s="366" t="s">
        <v>117</v>
      </c>
      <c r="D45" s="367"/>
      <c r="E45" s="368"/>
      <c r="F45" s="362"/>
      <c r="G45" s="368"/>
      <c r="H45" s="364"/>
      <c r="I45" s="363"/>
    </row>
    <row r="46" spans="1:9" x14ac:dyDescent="0.25">
      <c r="A46" s="331">
        <v>39</v>
      </c>
      <c r="B46" s="369" t="s">
        <v>28</v>
      </c>
      <c r="C46" s="366" t="s">
        <v>29</v>
      </c>
      <c r="D46" s="367">
        <v>8497</v>
      </c>
      <c r="E46" s="368">
        <v>81</v>
      </c>
      <c r="F46" s="362"/>
      <c r="G46" s="368"/>
      <c r="H46" s="364"/>
      <c r="I46" s="363"/>
    </row>
    <row r="47" spans="1:9" x14ac:dyDescent="0.25">
      <c r="A47" s="331">
        <v>40</v>
      </c>
      <c r="B47" s="358" t="s">
        <v>118</v>
      </c>
      <c r="C47" s="366" t="s">
        <v>119</v>
      </c>
      <c r="D47" s="367">
        <v>2701</v>
      </c>
      <c r="E47" s="368"/>
      <c r="F47" s="362"/>
      <c r="G47" s="368"/>
      <c r="H47" s="364"/>
      <c r="I47" s="363"/>
    </row>
    <row r="48" spans="1:9" x14ac:dyDescent="0.25">
      <c r="A48" s="331">
        <v>41</v>
      </c>
      <c r="B48" s="358" t="s">
        <v>120</v>
      </c>
      <c r="C48" s="366" t="s">
        <v>121</v>
      </c>
      <c r="D48" s="367">
        <v>7435</v>
      </c>
      <c r="E48" s="368"/>
      <c r="F48" s="362"/>
      <c r="G48" s="368"/>
      <c r="H48" s="364">
        <v>56</v>
      </c>
      <c r="I48" s="363">
        <v>620</v>
      </c>
    </row>
    <row r="49" spans="1:9" x14ac:dyDescent="0.25">
      <c r="A49" s="331">
        <v>42</v>
      </c>
      <c r="B49" s="369" t="s">
        <v>122</v>
      </c>
      <c r="C49" s="366" t="s">
        <v>123</v>
      </c>
      <c r="D49" s="367">
        <v>2316</v>
      </c>
      <c r="E49" s="368"/>
      <c r="F49" s="362"/>
      <c r="G49" s="368"/>
      <c r="H49" s="364"/>
      <c r="I49" s="363"/>
    </row>
    <row r="50" spans="1:9" x14ac:dyDescent="0.25">
      <c r="A50" s="331">
        <v>43</v>
      </c>
      <c r="B50" s="372" t="s">
        <v>124</v>
      </c>
      <c r="C50" s="272" t="s">
        <v>125</v>
      </c>
      <c r="D50" s="367">
        <v>2440</v>
      </c>
      <c r="E50" s="368"/>
      <c r="F50" s="362"/>
      <c r="G50" s="368"/>
      <c r="H50" s="364"/>
      <c r="I50" s="363"/>
    </row>
    <row r="51" spans="1:9" x14ac:dyDescent="0.25">
      <c r="A51" s="331">
        <v>87</v>
      </c>
      <c r="B51" s="369" t="s">
        <v>126</v>
      </c>
      <c r="C51" s="366" t="s">
        <v>127</v>
      </c>
      <c r="D51" s="367">
        <v>2536</v>
      </c>
      <c r="E51" s="368"/>
      <c r="F51" s="362"/>
      <c r="G51" s="368"/>
      <c r="H51" s="364"/>
      <c r="I51" s="363"/>
    </row>
    <row r="52" spans="1:9" x14ac:dyDescent="0.25">
      <c r="A52" s="331">
        <v>44</v>
      </c>
      <c r="B52" s="365" t="s">
        <v>128</v>
      </c>
      <c r="C52" s="366" t="s">
        <v>129</v>
      </c>
      <c r="D52" s="367">
        <v>2282</v>
      </c>
      <c r="E52" s="368"/>
      <c r="F52" s="362"/>
      <c r="G52" s="368"/>
      <c r="H52" s="364"/>
      <c r="I52" s="363"/>
    </row>
    <row r="53" spans="1:9" x14ac:dyDescent="0.25">
      <c r="A53" s="331">
        <v>45</v>
      </c>
      <c r="B53" s="369" t="s">
        <v>130</v>
      </c>
      <c r="C53" s="366" t="s">
        <v>131</v>
      </c>
      <c r="D53" s="367">
        <v>1260</v>
      </c>
      <c r="E53" s="368"/>
      <c r="F53" s="362"/>
      <c r="G53" s="368"/>
      <c r="H53" s="364"/>
      <c r="I53" s="363"/>
    </row>
    <row r="54" spans="1:9" x14ac:dyDescent="0.25">
      <c r="A54" s="331">
        <v>46</v>
      </c>
      <c r="B54" s="365" t="s">
        <v>132</v>
      </c>
      <c r="C54" s="366" t="s">
        <v>133</v>
      </c>
      <c r="D54" s="367">
        <v>2544</v>
      </c>
      <c r="E54" s="368"/>
      <c r="F54" s="362"/>
      <c r="G54" s="368"/>
      <c r="H54" s="364"/>
      <c r="I54" s="363"/>
    </row>
    <row r="55" spans="1:9" x14ac:dyDescent="0.25">
      <c r="A55" s="331">
        <v>47</v>
      </c>
      <c r="B55" s="369" t="s">
        <v>134</v>
      </c>
      <c r="C55" s="366" t="s">
        <v>135</v>
      </c>
      <c r="D55" s="367">
        <v>2799</v>
      </c>
      <c r="E55" s="368"/>
      <c r="F55" s="362"/>
      <c r="G55" s="368"/>
      <c r="H55" s="364"/>
      <c r="I55" s="363"/>
    </row>
    <row r="56" spans="1:9" x14ac:dyDescent="0.25">
      <c r="A56" s="331">
        <v>48</v>
      </c>
      <c r="B56" s="369" t="s">
        <v>136</v>
      </c>
      <c r="C56" s="366" t="s">
        <v>137</v>
      </c>
      <c r="D56" s="367">
        <v>10783</v>
      </c>
      <c r="E56" s="368"/>
      <c r="F56" s="362"/>
      <c r="G56" s="368"/>
      <c r="H56" s="364"/>
      <c r="I56" s="363"/>
    </row>
    <row r="57" spans="1:9" x14ac:dyDescent="0.25">
      <c r="A57" s="331">
        <v>49</v>
      </c>
      <c r="B57" s="271" t="s">
        <v>138</v>
      </c>
      <c r="C57" s="272" t="s">
        <v>139</v>
      </c>
      <c r="D57" s="367">
        <v>2076</v>
      </c>
      <c r="E57" s="368"/>
      <c r="F57" s="362"/>
      <c r="G57" s="368"/>
      <c r="H57" s="364"/>
      <c r="I57" s="363"/>
    </row>
    <row r="58" spans="1:9" x14ac:dyDescent="0.25">
      <c r="A58" s="331">
        <v>95</v>
      </c>
      <c r="B58" s="369" t="s">
        <v>140</v>
      </c>
      <c r="C58" s="366" t="s">
        <v>141</v>
      </c>
      <c r="D58" s="367">
        <v>2097</v>
      </c>
      <c r="E58" s="368"/>
      <c r="F58" s="362"/>
      <c r="G58" s="368"/>
      <c r="H58" s="364"/>
      <c r="I58" s="363"/>
    </row>
    <row r="59" spans="1:9" x14ac:dyDescent="0.25">
      <c r="A59" s="331">
        <v>50</v>
      </c>
      <c r="B59" s="372" t="s">
        <v>142</v>
      </c>
      <c r="C59" s="272" t="s">
        <v>143</v>
      </c>
      <c r="D59" s="367">
        <v>1853</v>
      </c>
      <c r="E59" s="368"/>
      <c r="F59" s="362"/>
      <c r="G59" s="368"/>
      <c r="H59" s="364"/>
      <c r="I59" s="363"/>
    </row>
    <row r="60" spans="1:9" x14ac:dyDescent="0.25">
      <c r="A60" s="331">
        <v>97</v>
      </c>
      <c r="B60" s="369" t="s">
        <v>144</v>
      </c>
      <c r="C60" s="366" t="s">
        <v>145</v>
      </c>
      <c r="D60" s="367"/>
      <c r="E60" s="368"/>
      <c r="F60" s="362"/>
      <c r="G60" s="368"/>
      <c r="H60" s="364"/>
      <c r="I60" s="363"/>
    </row>
    <row r="61" spans="1:9" ht="14.25" customHeight="1" x14ac:dyDescent="0.25">
      <c r="A61" s="331">
        <v>51</v>
      </c>
      <c r="B61" s="369" t="s">
        <v>146</v>
      </c>
      <c r="C61" s="366" t="s">
        <v>147</v>
      </c>
      <c r="D61" s="367"/>
      <c r="E61" s="368"/>
      <c r="F61" s="362"/>
      <c r="G61" s="368"/>
      <c r="H61" s="364"/>
      <c r="I61" s="363"/>
    </row>
    <row r="62" spans="1:9" ht="14.25" customHeight="1" x14ac:dyDescent="0.25">
      <c r="A62" s="331">
        <v>52</v>
      </c>
      <c r="B62" s="369" t="s">
        <v>148</v>
      </c>
      <c r="C62" s="366" t="s">
        <v>149</v>
      </c>
      <c r="D62" s="367"/>
      <c r="E62" s="368"/>
      <c r="F62" s="362"/>
      <c r="G62" s="368"/>
      <c r="H62" s="364"/>
      <c r="I62" s="363"/>
    </row>
    <row r="63" spans="1:9" ht="14.25" customHeight="1" x14ac:dyDescent="0.25">
      <c r="A63" s="331">
        <v>53</v>
      </c>
      <c r="B63" s="365" t="s">
        <v>150</v>
      </c>
      <c r="C63" s="366" t="s">
        <v>151</v>
      </c>
      <c r="D63" s="367"/>
      <c r="E63" s="368"/>
      <c r="F63" s="362"/>
      <c r="G63" s="368"/>
      <c r="H63" s="364"/>
      <c r="I63" s="363"/>
    </row>
    <row r="64" spans="1:9" ht="14.25" customHeight="1" x14ac:dyDescent="0.25">
      <c r="A64" s="331">
        <v>54</v>
      </c>
      <c r="B64" s="358" t="s">
        <v>152</v>
      </c>
      <c r="C64" s="366" t="s">
        <v>153</v>
      </c>
      <c r="D64" s="367"/>
      <c r="E64" s="368"/>
      <c r="F64" s="362"/>
      <c r="G64" s="368"/>
      <c r="H64" s="364"/>
      <c r="I64" s="363"/>
    </row>
    <row r="65" spans="1:9" ht="14.25" customHeight="1" x14ac:dyDescent="0.25">
      <c r="A65" s="331">
        <v>55</v>
      </c>
      <c r="B65" s="365" t="s">
        <v>154</v>
      </c>
      <c r="C65" s="366" t="s">
        <v>155</v>
      </c>
      <c r="D65" s="367"/>
      <c r="E65" s="368"/>
      <c r="F65" s="362"/>
      <c r="G65" s="368"/>
      <c r="H65" s="364"/>
      <c r="I65" s="363"/>
    </row>
    <row r="66" spans="1:9" ht="14.25" customHeight="1" x14ac:dyDescent="0.25">
      <c r="A66" s="331">
        <v>56</v>
      </c>
      <c r="B66" s="369" t="s">
        <v>156</v>
      </c>
      <c r="C66" s="366" t="s">
        <v>157</v>
      </c>
      <c r="D66" s="367"/>
      <c r="E66" s="368"/>
      <c r="F66" s="362"/>
      <c r="G66" s="368"/>
      <c r="H66" s="364"/>
      <c r="I66" s="363"/>
    </row>
    <row r="67" spans="1:9" ht="27.75" customHeight="1" x14ac:dyDescent="0.25">
      <c r="A67" s="331">
        <v>57</v>
      </c>
      <c r="B67" s="358" t="s">
        <v>158</v>
      </c>
      <c r="C67" s="366" t="s">
        <v>159</v>
      </c>
      <c r="D67" s="367"/>
      <c r="E67" s="368"/>
      <c r="F67" s="362"/>
      <c r="G67" s="368"/>
      <c r="H67" s="364"/>
      <c r="I67" s="363"/>
    </row>
    <row r="68" spans="1:9" ht="27.75" customHeight="1" x14ac:dyDescent="0.25">
      <c r="A68" s="331">
        <v>58</v>
      </c>
      <c r="B68" s="358" t="s">
        <v>160</v>
      </c>
      <c r="C68" s="366" t="s">
        <v>161</v>
      </c>
      <c r="D68" s="367"/>
      <c r="E68" s="368"/>
      <c r="F68" s="362"/>
      <c r="G68" s="368"/>
      <c r="H68" s="364"/>
      <c r="I68" s="363"/>
    </row>
    <row r="69" spans="1:9" ht="15.75" customHeight="1" x14ac:dyDescent="0.25">
      <c r="A69" s="331">
        <v>59</v>
      </c>
      <c r="B69" s="365" t="s">
        <v>162</v>
      </c>
      <c r="C69" s="366" t="s">
        <v>163</v>
      </c>
      <c r="D69" s="367"/>
      <c r="E69" s="368"/>
      <c r="F69" s="362"/>
      <c r="G69" s="368"/>
      <c r="H69" s="364"/>
      <c r="I69" s="363"/>
    </row>
    <row r="70" spans="1:9" ht="15.75" customHeight="1" x14ac:dyDescent="0.25">
      <c r="A70" s="331">
        <v>60</v>
      </c>
      <c r="B70" s="365" t="s">
        <v>164</v>
      </c>
      <c r="C70" s="366" t="s">
        <v>165</v>
      </c>
      <c r="D70" s="367"/>
      <c r="E70" s="368"/>
      <c r="F70" s="362"/>
      <c r="G70" s="368"/>
      <c r="H70" s="364"/>
      <c r="I70" s="363"/>
    </row>
    <row r="71" spans="1:9" ht="15.75" customHeight="1" x14ac:dyDescent="0.25">
      <c r="A71" s="331">
        <v>61</v>
      </c>
      <c r="B71" s="365" t="s">
        <v>166</v>
      </c>
      <c r="C71" s="366" t="s">
        <v>167</v>
      </c>
      <c r="D71" s="367"/>
      <c r="E71" s="368"/>
      <c r="F71" s="362"/>
      <c r="G71" s="368"/>
      <c r="H71" s="364"/>
      <c r="I71" s="363"/>
    </row>
    <row r="72" spans="1:9" ht="25.5" x14ac:dyDescent="0.25">
      <c r="A72" s="331">
        <v>62</v>
      </c>
      <c r="B72" s="365" t="s">
        <v>168</v>
      </c>
      <c r="C72" s="366" t="s">
        <v>169</v>
      </c>
      <c r="D72" s="367"/>
      <c r="E72" s="368"/>
      <c r="F72" s="362"/>
      <c r="G72" s="368"/>
      <c r="H72" s="364"/>
      <c r="I72" s="363"/>
    </row>
    <row r="73" spans="1:9" ht="25.5" x14ac:dyDescent="0.25">
      <c r="A73" s="331">
        <v>63</v>
      </c>
      <c r="B73" s="358" t="s">
        <v>170</v>
      </c>
      <c r="C73" s="366" t="s">
        <v>171</v>
      </c>
      <c r="D73" s="367"/>
      <c r="E73" s="368"/>
      <c r="F73" s="362"/>
      <c r="G73" s="368"/>
      <c r="H73" s="364"/>
      <c r="I73" s="363"/>
    </row>
    <row r="74" spans="1:9" ht="25.5" x14ac:dyDescent="0.25">
      <c r="A74" s="331">
        <v>64</v>
      </c>
      <c r="B74" s="365" t="s">
        <v>172</v>
      </c>
      <c r="C74" s="366" t="s">
        <v>173</v>
      </c>
      <c r="D74" s="367"/>
      <c r="E74" s="368"/>
      <c r="F74" s="362"/>
      <c r="G74" s="368"/>
      <c r="H74" s="364"/>
      <c r="I74" s="363"/>
    </row>
    <row r="75" spans="1:9" ht="25.5" x14ac:dyDescent="0.25">
      <c r="A75" s="331">
        <v>65</v>
      </c>
      <c r="B75" s="365" t="s">
        <v>174</v>
      </c>
      <c r="C75" s="366" t="s">
        <v>175</v>
      </c>
      <c r="D75" s="367"/>
      <c r="E75" s="368"/>
      <c r="F75" s="362"/>
      <c r="G75" s="368"/>
      <c r="H75" s="364"/>
      <c r="I75" s="363"/>
    </row>
    <row r="76" spans="1:9" ht="25.5" x14ac:dyDescent="0.25">
      <c r="A76" s="331">
        <v>66</v>
      </c>
      <c r="B76" s="358" t="s">
        <v>176</v>
      </c>
      <c r="C76" s="366" t="s">
        <v>177</v>
      </c>
      <c r="D76" s="367"/>
      <c r="E76" s="368"/>
      <c r="F76" s="362"/>
      <c r="G76" s="368"/>
      <c r="H76" s="364"/>
      <c r="I76" s="363"/>
    </row>
    <row r="77" spans="1:9" ht="25.5" x14ac:dyDescent="0.25">
      <c r="A77" s="331">
        <v>67</v>
      </c>
      <c r="B77" s="358" t="s">
        <v>178</v>
      </c>
      <c r="C77" s="366" t="s">
        <v>179</v>
      </c>
      <c r="D77" s="367"/>
      <c r="E77" s="368"/>
      <c r="F77" s="362"/>
      <c r="G77" s="368"/>
      <c r="H77" s="364"/>
      <c r="I77" s="363"/>
    </row>
    <row r="78" spans="1:9" ht="25.5" x14ac:dyDescent="0.25">
      <c r="A78" s="331">
        <v>68</v>
      </c>
      <c r="B78" s="358" t="s">
        <v>180</v>
      </c>
      <c r="C78" s="366" t="s">
        <v>181</v>
      </c>
      <c r="D78" s="367"/>
      <c r="E78" s="368"/>
      <c r="F78" s="362"/>
      <c r="G78" s="368"/>
      <c r="H78" s="364"/>
      <c r="I78" s="363"/>
    </row>
    <row r="79" spans="1:9" ht="14.25" customHeight="1" x14ac:dyDescent="0.25">
      <c r="A79" s="331">
        <v>69</v>
      </c>
      <c r="B79" s="369" t="s">
        <v>182</v>
      </c>
      <c r="C79" s="366" t="s">
        <v>183</v>
      </c>
      <c r="D79" s="367"/>
      <c r="E79" s="368"/>
      <c r="F79" s="362"/>
      <c r="G79" s="368"/>
      <c r="H79" s="364"/>
      <c r="I79" s="363"/>
    </row>
    <row r="80" spans="1:9" x14ac:dyDescent="0.25">
      <c r="A80" s="331">
        <v>70</v>
      </c>
      <c r="B80" s="358" t="s">
        <v>184</v>
      </c>
      <c r="C80" s="366" t="s">
        <v>185</v>
      </c>
      <c r="D80" s="367"/>
      <c r="E80" s="368"/>
      <c r="F80" s="362"/>
      <c r="G80" s="368"/>
      <c r="H80" s="364"/>
      <c r="I80" s="363"/>
    </row>
    <row r="81" spans="1:9" x14ac:dyDescent="0.25">
      <c r="A81" s="331">
        <v>71</v>
      </c>
      <c r="B81" s="369" t="s">
        <v>186</v>
      </c>
      <c r="C81" s="366" t="s">
        <v>187</v>
      </c>
      <c r="D81" s="367"/>
      <c r="E81" s="368"/>
      <c r="F81" s="362"/>
      <c r="G81" s="368"/>
      <c r="H81" s="364"/>
      <c r="I81" s="363"/>
    </row>
    <row r="82" spans="1:9" x14ac:dyDescent="0.25">
      <c r="A82" s="331">
        <v>72</v>
      </c>
      <c r="B82" s="358" t="s">
        <v>188</v>
      </c>
      <c r="C82" s="366" t="s">
        <v>460</v>
      </c>
      <c r="D82" s="367"/>
      <c r="E82" s="368"/>
      <c r="F82" s="362"/>
      <c r="G82" s="368"/>
      <c r="H82" s="364"/>
      <c r="I82" s="363"/>
    </row>
    <row r="83" spans="1:9" x14ac:dyDescent="0.25">
      <c r="A83" s="331">
        <v>73</v>
      </c>
      <c r="B83" s="358" t="s">
        <v>190</v>
      </c>
      <c r="C83" s="366" t="s">
        <v>191</v>
      </c>
      <c r="D83" s="367"/>
      <c r="E83" s="368"/>
      <c r="F83" s="362"/>
      <c r="G83" s="368"/>
      <c r="H83" s="364"/>
      <c r="I83" s="363"/>
    </row>
    <row r="84" spans="1:9" x14ac:dyDescent="0.25">
      <c r="A84" s="331">
        <v>74</v>
      </c>
      <c r="B84" s="358" t="s">
        <v>192</v>
      </c>
      <c r="C84" s="366" t="s">
        <v>193</v>
      </c>
      <c r="D84" s="367"/>
      <c r="E84" s="368"/>
      <c r="F84" s="362"/>
      <c r="G84" s="368"/>
      <c r="H84" s="364"/>
      <c r="I84" s="363"/>
    </row>
    <row r="85" spans="1:9" x14ac:dyDescent="0.25">
      <c r="A85" s="331">
        <v>75</v>
      </c>
      <c r="B85" s="358" t="s">
        <v>194</v>
      </c>
      <c r="C85" s="366" t="s">
        <v>195</v>
      </c>
      <c r="D85" s="367"/>
      <c r="E85" s="368"/>
      <c r="F85" s="362"/>
      <c r="G85" s="368"/>
      <c r="H85" s="364"/>
      <c r="I85" s="363"/>
    </row>
    <row r="86" spans="1:9" x14ac:dyDescent="0.25">
      <c r="A86" s="331">
        <v>76</v>
      </c>
      <c r="B86" s="358" t="s">
        <v>196</v>
      </c>
      <c r="C86" s="366" t="s">
        <v>197</v>
      </c>
      <c r="D86" s="367"/>
      <c r="E86" s="368"/>
      <c r="F86" s="362"/>
      <c r="G86" s="368"/>
      <c r="H86" s="364"/>
      <c r="I86" s="363"/>
    </row>
    <row r="87" spans="1:9" x14ac:dyDescent="0.25">
      <c r="A87" s="331">
        <v>77</v>
      </c>
      <c r="B87" s="365" t="s">
        <v>30</v>
      </c>
      <c r="C87" s="366" t="s">
        <v>198</v>
      </c>
      <c r="D87" s="367"/>
      <c r="E87" s="368"/>
      <c r="F87" s="362"/>
      <c r="G87" s="368"/>
      <c r="H87" s="364"/>
      <c r="I87" s="363"/>
    </row>
    <row r="88" spans="1:9" ht="25.5" x14ac:dyDescent="0.25">
      <c r="A88" s="1234">
        <v>78</v>
      </c>
      <c r="B88" s="1237" t="s">
        <v>199</v>
      </c>
      <c r="C88" s="373" t="s">
        <v>200</v>
      </c>
      <c r="D88" s="367"/>
      <c r="E88" s="368"/>
      <c r="F88" s="362"/>
      <c r="G88" s="368"/>
      <c r="H88" s="364"/>
      <c r="I88" s="363"/>
    </row>
    <row r="89" spans="1:9" ht="38.25" x14ac:dyDescent="0.25">
      <c r="A89" s="1235"/>
      <c r="B89" s="1238"/>
      <c r="C89" s="366" t="s">
        <v>201</v>
      </c>
      <c r="D89" s="367"/>
      <c r="E89" s="368"/>
      <c r="F89" s="362"/>
      <c r="G89" s="368"/>
      <c r="H89" s="364"/>
      <c r="I89" s="363"/>
    </row>
    <row r="90" spans="1:9" ht="25.5" x14ac:dyDescent="0.25">
      <c r="A90" s="1235"/>
      <c r="B90" s="1238"/>
      <c r="C90" s="366" t="s">
        <v>202</v>
      </c>
      <c r="D90" s="367"/>
      <c r="E90" s="368"/>
      <c r="F90" s="362"/>
      <c r="G90" s="368"/>
      <c r="H90" s="364"/>
      <c r="I90" s="363"/>
    </row>
    <row r="91" spans="1:9" ht="38.25" x14ac:dyDescent="0.25">
      <c r="A91" s="1236"/>
      <c r="B91" s="1239"/>
      <c r="C91" s="374" t="s">
        <v>203</v>
      </c>
      <c r="D91" s="367"/>
      <c r="E91" s="368"/>
      <c r="F91" s="362"/>
      <c r="G91" s="368"/>
      <c r="H91" s="364"/>
      <c r="I91" s="363"/>
    </row>
    <row r="92" spans="1:9" ht="25.5" x14ac:dyDescent="0.25">
      <c r="A92" s="375">
        <v>79</v>
      </c>
      <c r="B92" s="365" t="s">
        <v>204</v>
      </c>
      <c r="C92" s="366" t="s">
        <v>205</v>
      </c>
      <c r="D92" s="367"/>
      <c r="E92" s="368"/>
      <c r="F92" s="362"/>
      <c r="G92" s="368"/>
      <c r="H92" s="364"/>
      <c r="I92" s="363"/>
    </row>
    <row r="93" spans="1:9" x14ac:dyDescent="0.25">
      <c r="A93" s="331">
        <v>80</v>
      </c>
      <c r="B93" s="365" t="s">
        <v>206</v>
      </c>
      <c r="C93" s="366" t="s">
        <v>207</v>
      </c>
      <c r="D93" s="367"/>
      <c r="E93" s="368"/>
      <c r="F93" s="362"/>
      <c r="G93" s="368"/>
      <c r="H93" s="364"/>
      <c r="I93" s="363"/>
    </row>
    <row r="94" spans="1:9" ht="14.25" customHeight="1" x14ac:dyDescent="0.25">
      <c r="A94" s="331">
        <v>81</v>
      </c>
      <c r="B94" s="369" t="s">
        <v>208</v>
      </c>
      <c r="C94" s="366" t="s">
        <v>209</v>
      </c>
      <c r="D94" s="367"/>
      <c r="E94" s="368"/>
      <c r="F94" s="362"/>
      <c r="G94" s="368"/>
      <c r="H94" s="364"/>
      <c r="I94" s="363"/>
    </row>
    <row r="95" spans="1:9" x14ac:dyDescent="0.25">
      <c r="A95" s="331">
        <v>82</v>
      </c>
      <c r="B95" s="365" t="s">
        <v>210</v>
      </c>
      <c r="C95" s="366" t="s">
        <v>211</v>
      </c>
      <c r="D95" s="367">
        <v>1653</v>
      </c>
      <c r="E95" s="368"/>
      <c r="F95" s="362"/>
      <c r="G95" s="368"/>
      <c r="H95" s="364"/>
      <c r="I95" s="363"/>
    </row>
    <row r="96" spans="1:9" x14ac:dyDescent="0.25">
      <c r="A96" s="331">
        <v>83</v>
      </c>
      <c r="B96" s="369" t="s">
        <v>212</v>
      </c>
      <c r="C96" s="366" t="s">
        <v>213</v>
      </c>
      <c r="D96" s="367">
        <v>2130</v>
      </c>
      <c r="E96" s="368"/>
      <c r="F96" s="362"/>
      <c r="G96" s="368"/>
      <c r="H96" s="364"/>
      <c r="I96" s="363"/>
    </row>
    <row r="97" spans="1:9" x14ac:dyDescent="0.25">
      <c r="A97" s="331">
        <v>84</v>
      </c>
      <c r="B97" s="369" t="s">
        <v>214</v>
      </c>
      <c r="C97" s="366" t="s">
        <v>215</v>
      </c>
      <c r="D97" s="367">
        <v>3711</v>
      </c>
      <c r="E97" s="368"/>
      <c r="F97" s="362"/>
      <c r="G97" s="368"/>
      <c r="H97" s="364"/>
      <c r="I97" s="363"/>
    </row>
    <row r="98" spans="1:9" x14ac:dyDescent="0.25">
      <c r="A98" s="331">
        <v>85</v>
      </c>
      <c r="B98" s="365" t="s">
        <v>216</v>
      </c>
      <c r="C98" s="366" t="s">
        <v>217</v>
      </c>
      <c r="D98" s="367">
        <v>1644</v>
      </c>
      <c r="E98" s="368"/>
      <c r="F98" s="362"/>
      <c r="G98" s="368"/>
      <c r="H98" s="364"/>
      <c r="I98" s="363"/>
    </row>
    <row r="99" spans="1:9" x14ac:dyDescent="0.25">
      <c r="A99" s="331">
        <v>86</v>
      </c>
      <c r="B99" s="358" t="s">
        <v>218</v>
      </c>
      <c r="C99" s="366" t="s">
        <v>219</v>
      </c>
      <c r="D99" s="367">
        <v>5035</v>
      </c>
      <c r="E99" s="368"/>
      <c r="F99" s="362"/>
      <c r="G99" s="368"/>
      <c r="H99" s="364"/>
      <c r="I99" s="363"/>
    </row>
    <row r="100" spans="1:9" x14ac:dyDescent="0.25">
      <c r="A100" s="331">
        <v>88</v>
      </c>
      <c r="B100" s="358" t="s">
        <v>220</v>
      </c>
      <c r="C100" s="366" t="s">
        <v>221</v>
      </c>
      <c r="D100" s="367">
        <v>3611</v>
      </c>
      <c r="E100" s="368"/>
      <c r="F100" s="362"/>
      <c r="G100" s="368"/>
      <c r="H100" s="364"/>
      <c r="I100" s="363"/>
    </row>
    <row r="101" spans="1:9" x14ac:dyDescent="0.25">
      <c r="A101" s="331">
        <v>89</v>
      </c>
      <c r="B101" s="369" t="s">
        <v>222</v>
      </c>
      <c r="C101" s="366" t="s">
        <v>223</v>
      </c>
      <c r="D101" s="367">
        <v>1651</v>
      </c>
      <c r="E101" s="368"/>
      <c r="F101" s="362"/>
      <c r="G101" s="368"/>
      <c r="H101" s="364"/>
      <c r="I101" s="363"/>
    </row>
    <row r="102" spans="1:9" x14ac:dyDescent="0.25">
      <c r="A102" s="331">
        <v>90</v>
      </c>
      <c r="B102" s="358" t="s">
        <v>224</v>
      </c>
      <c r="C102" s="366" t="s">
        <v>225</v>
      </c>
      <c r="D102" s="367">
        <v>2232</v>
      </c>
      <c r="E102" s="368"/>
      <c r="F102" s="362"/>
      <c r="G102" s="368"/>
      <c r="H102" s="364"/>
      <c r="I102" s="363"/>
    </row>
    <row r="103" spans="1:9" x14ac:dyDescent="0.25">
      <c r="A103" s="331">
        <v>91</v>
      </c>
      <c r="B103" s="358" t="s">
        <v>226</v>
      </c>
      <c r="C103" s="366" t="s">
        <v>227</v>
      </c>
      <c r="D103" s="367">
        <v>1702</v>
      </c>
      <c r="E103" s="368"/>
      <c r="F103" s="362"/>
      <c r="G103" s="368"/>
      <c r="H103" s="364"/>
      <c r="I103" s="363"/>
    </row>
    <row r="104" spans="1:9" x14ac:dyDescent="0.25">
      <c r="A104" s="331">
        <v>92</v>
      </c>
      <c r="B104" s="365" t="s">
        <v>32</v>
      </c>
      <c r="C104" s="366" t="s">
        <v>33</v>
      </c>
      <c r="D104" s="367">
        <v>2656</v>
      </c>
      <c r="E104" s="368">
        <v>81</v>
      </c>
      <c r="F104" s="362"/>
      <c r="G104" s="368"/>
      <c r="H104" s="364"/>
      <c r="I104" s="363"/>
    </row>
    <row r="105" spans="1:9" x14ac:dyDescent="0.25">
      <c r="A105" s="331">
        <v>93</v>
      </c>
      <c r="B105" s="369" t="s">
        <v>228</v>
      </c>
      <c r="C105" s="366" t="s">
        <v>229</v>
      </c>
      <c r="D105" s="367">
        <v>4619</v>
      </c>
      <c r="E105" s="368"/>
      <c r="F105" s="362"/>
      <c r="G105" s="368"/>
      <c r="H105" s="364"/>
      <c r="I105" s="363"/>
    </row>
    <row r="106" spans="1:9" x14ac:dyDescent="0.25">
      <c r="A106" s="331">
        <v>94</v>
      </c>
      <c r="B106" s="358" t="s">
        <v>230</v>
      </c>
      <c r="C106" s="366" t="s">
        <v>231</v>
      </c>
      <c r="D106" s="367">
        <v>4678</v>
      </c>
      <c r="E106" s="368"/>
      <c r="F106" s="362"/>
      <c r="G106" s="368"/>
      <c r="H106" s="364"/>
      <c r="I106" s="363"/>
    </row>
    <row r="107" spans="1:9" x14ac:dyDescent="0.25">
      <c r="A107" s="331">
        <v>96</v>
      </c>
      <c r="B107" s="358" t="s">
        <v>232</v>
      </c>
      <c r="C107" s="366" t="s">
        <v>233</v>
      </c>
      <c r="D107" s="367"/>
      <c r="E107" s="368"/>
      <c r="F107" s="362"/>
      <c r="G107" s="368"/>
      <c r="H107" s="364"/>
      <c r="I107" s="363"/>
    </row>
    <row r="108" spans="1:9" x14ac:dyDescent="0.25">
      <c r="A108" s="331">
        <v>98</v>
      </c>
      <c r="B108" s="358" t="s">
        <v>234</v>
      </c>
      <c r="C108" s="366" t="s">
        <v>235</v>
      </c>
      <c r="D108" s="367"/>
      <c r="E108" s="368"/>
      <c r="F108" s="362"/>
      <c r="G108" s="368"/>
      <c r="H108" s="364"/>
      <c r="I108" s="363"/>
    </row>
    <row r="109" spans="1:9" x14ac:dyDescent="0.25">
      <c r="A109" s="331">
        <v>99</v>
      </c>
      <c r="B109" s="369" t="s">
        <v>236</v>
      </c>
      <c r="C109" s="366" t="s">
        <v>237</v>
      </c>
      <c r="D109" s="367"/>
      <c r="E109" s="368"/>
      <c r="F109" s="362"/>
      <c r="G109" s="368"/>
      <c r="H109" s="364"/>
      <c r="I109" s="363"/>
    </row>
    <row r="110" spans="1:9" x14ac:dyDescent="0.25">
      <c r="A110" s="331">
        <v>100</v>
      </c>
      <c r="B110" s="369" t="s">
        <v>238</v>
      </c>
      <c r="C110" s="366" t="s">
        <v>239</v>
      </c>
      <c r="D110" s="367"/>
      <c r="E110" s="368"/>
      <c r="F110" s="362"/>
      <c r="G110" s="368"/>
      <c r="H110" s="364"/>
      <c r="I110" s="363"/>
    </row>
    <row r="111" spans="1:9" ht="25.5" x14ac:dyDescent="0.25">
      <c r="A111" s="331">
        <v>101</v>
      </c>
      <c r="B111" s="369" t="s">
        <v>240</v>
      </c>
      <c r="C111" s="366" t="s">
        <v>241</v>
      </c>
      <c r="D111" s="367"/>
      <c r="E111" s="368"/>
      <c r="F111" s="362"/>
      <c r="G111" s="368"/>
      <c r="H111" s="364"/>
      <c r="I111" s="363"/>
    </row>
    <row r="112" spans="1:9" x14ac:dyDescent="0.25">
      <c r="A112" s="331">
        <v>102</v>
      </c>
      <c r="B112" s="369" t="s">
        <v>242</v>
      </c>
      <c r="C112" s="366" t="s">
        <v>243</v>
      </c>
      <c r="D112" s="367"/>
      <c r="E112" s="368"/>
      <c r="F112" s="362"/>
      <c r="G112" s="368"/>
      <c r="H112" s="364"/>
      <c r="I112" s="363"/>
    </row>
    <row r="113" spans="1:9" x14ac:dyDescent="0.25">
      <c r="A113" s="331">
        <v>103</v>
      </c>
      <c r="B113" s="369" t="s">
        <v>244</v>
      </c>
      <c r="C113" s="366" t="s">
        <v>245</v>
      </c>
      <c r="D113" s="367"/>
      <c r="E113" s="368"/>
      <c r="F113" s="362"/>
      <c r="G113" s="368"/>
      <c r="H113" s="364"/>
      <c r="I113" s="363"/>
    </row>
    <row r="114" spans="1:9" x14ac:dyDescent="0.25">
      <c r="A114" s="331">
        <v>104</v>
      </c>
      <c r="B114" s="376" t="s">
        <v>246</v>
      </c>
      <c r="C114" s="330" t="s">
        <v>247</v>
      </c>
      <c r="D114" s="367"/>
      <c r="E114" s="368"/>
      <c r="F114" s="362"/>
      <c r="G114" s="368"/>
      <c r="H114" s="364"/>
      <c r="I114" s="363"/>
    </row>
    <row r="115" spans="1:9" x14ac:dyDescent="0.25">
      <c r="A115" s="331">
        <v>105</v>
      </c>
      <c r="B115" s="365" t="s">
        <v>248</v>
      </c>
      <c r="C115" s="366" t="s">
        <v>249</v>
      </c>
      <c r="D115" s="367"/>
      <c r="E115" s="368"/>
      <c r="F115" s="362"/>
      <c r="G115" s="368"/>
      <c r="H115" s="364"/>
      <c r="I115" s="363"/>
    </row>
    <row r="116" spans="1:9" x14ac:dyDescent="0.25">
      <c r="A116" s="331">
        <v>106</v>
      </c>
      <c r="B116" s="369" t="s">
        <v>250</v>
      </c>
      <c r="C116" s="366" t="s">
        <v>251</v>
      </c>
      <c r="D116" s="367"/>
      <c r="E116" s="368"/>
      <c r="F116" s="362"/>
      <c r="G116" s="368"/>
      <c r="H116" s="364"/>
      <c r="I116" s="363"/>
    </row>
    <row r="117" spans="1:9" x14ac:dyDescent="0.25">
      <c r="A117" s="331">
        <v>107</v>
      </c>
      <c r="B117" s="358" t="s">
        <v>252</v>
      </c>
      <c r="C117" s="377" t="s">
        <v>253</v>
      </c>
      <c r="D117" s="378"/>
      <c r="E117" s="368"/>
      <c r="F117" s="362"/>
      <c r="G117" s="368"/>
      <c r="H117" s="364"/>
      <c r="I117" s="363"/>
    </row>
    <row r="118" spans="1:9" x14ac:dyDescent="0.25">
      <c r="A118" s="331">
        <v>108</v>
      </c>
      <c r="B118" s="369" t="s">
        <v>254</v>
      </c>
      <c r="C118" s="379" t="s">
        <v>255</v>
      </c>
      <c r="D118" s="378"/>
      <c r="E118" s="368"/>
      <c r="F118" s="362"/>
      <c r="G118" s="368"/>
      <c r="H118" s="364"/>
      <c r="I118" s="363"/>
    </row>
    <row r="119" spans="1:9" x14ac:dyDescent="0.25">
      <c r="A119" s="331">
        <v>109</v>
      </c>
      <c r="B119" s="365" t="s">
        <v>256</v>
      </c>
      <c r="C119" s="379" t="s">
        <v>257</v>
      </c>
      <c r="D119" s="378"/>
      <c r="E119" s="368"/>
      <c r="F119" s="362"/>
      <c r="G119" s="368"/>
      <c r="H119" s="364"/>
      <c r="I119" s="363"/>
    </row>
    <row r="120" spans="1:9" x14ac:dyDescent="0.25">
      <c r="A120" s="331">
        <v>110</v>
      </c>
      <c r="B120" s="380" t="s">
        <v>258</v>
      </c>
      <c r="C120" s="379" t="s">
        <v>259</v>
      </c>
      <c r="D120" s="378"/>
      <c r="E120" s="368"/>
      <c r="F120" s="362"/>
      <c r="G120" s="368"/>
      <c r="H120" s="364"/>
      <c r="I120" s="363"/>
    </row>
    <row r="121" spans="1:9" x14ac:dyDescent="0.25">
      <c r="A121" s="331">
        <v>111</v>
      </c>
      <c r="B121" s="369" t="s">
        <v>543</v>
      </c>
      <c r="C121" s="381" t="s">
        <v>544</v>
      </c>
      <c r="D121" s="378"/>
      <c r="E121" s="368"/>
      <c r="F121" s="362"/>
      <c r="G121" s="368"/>
      <c r="H121" s="364"/>
      <c r="I121" s="363"/>
    </row>
    <row r="122" spans="1:9" x14ac:dyDescent="0.25">
      <c r="A122" s="331">
        <v>112</v>
      </c>
      <c r="B122" s="365" t="s">
        <v>260</v>
      </c>
      <c r="C122" s="379" t="s">
        <v>261</v>
      </c>
      <c r="D122" s="378"/>
      <c r="E122" s="368"/>
      <c r="F122" s="362"/>
      <c r="G122" s="368"/>
      <c r="H122" s="364"/>
      <c r="I122" s="363"/>
    </row>
    <row r="123" spans="1:9" x14ac:dyDescent="0.25">
      <c r="A123" s="331">
        <v>113</v>
      </c>
      <c r="B123" s="369" t="s">
        <v>262</v>
      </c>
      <c r="C123" s="379" t="s">
        <v>263</v>
      </c>
      <c r="D123" s="378"/>
      <c r="E123" s="368"/>
      <c r="F123" s="362"/>
      <c r="G123" s="368"/>
      <c r="H123" s="364"/>
      <c r="I123" s="363"/>
    </row>
    <row r="124" spans="1:9" ht="25.5" x14ac:dyDescent="0.25">
      <c r="A124" s="331">
        <v>114</v>
      </c>
      <c r="B124" s="369" t="s">
        <v>264</v>
      </c>
      <c r="C124" s="382" t="s">
        <v>265</v>
      </c>
      <c r="D124" s="378"/>
      <c r="E124" s="368"/>
      <c r="F124" s="362"/>
      <c r="G124" s="368"/>
      <c r="H124" s="364"/>
      <c r="I124" s="363"/>
    </row>
    <row r="125" spans="1:9" x14ac:dyDescent="0.25">
      <c r="A125" s="331">
        <v>115</v>
      </c>
      <c r="B125" s="369" t="s">
        <v>266</v>
      </c>
      <c r="C125" s="366" t="s">
        <v>267</v>
      </c>
      <c r="D125" s="367"/>
      <c r="E125" s="368"/>
      <c r="F125" s="362"/>
      <c r="G125" s="368"/>
      <c r="H125" s="364"/>
      <c r="I125" s="363"/>
    </row>
    <row r="126" spans="1:9" x14ac:dyDescent="0.25">
      <c r="A126" s="331">
        <v>116</v>
      </c>
      <c r="B126" s="369" t="s">
        <v>268</v>
      </c>
      <c r="C126" s="366" t="s">
        <v>269</v>
      </c>
      <c r="D126" s="367"/>
      <c r="E126" s="368"/>
      <c r="F126" s="362"/>
      <c r="G126" s="368"/>
      <c r="H126" s="364"/>
      <c r="I126" s="363"/>
    </row>
    <row r="127" spans="1:9" x14ac:dyDescent="0.25">
      <c r="A127" s="331">
        <v>117</v>
      </c>
      <c r="B127" s="369" t="s">
        <v>270</v>
      </c>
      <c r="C127" s="366" t="s">
        <v>271</v>
      </c>
      <c r="D127" s="367"/>
      <c r="E127" s="368"/>
      <c r="F127" s="362"/>
      <c r="G127" s="368"/>
      <c r="H127" s="364"/>
      <c r="I127" s="363"/>
    </row>
    <row r="128" spans="1:9" x14ac:dyDescent="0.25">
      <c r="A128" s="331">
        <v>118</v>
      </c>
      <c r="B128" s="358" t="s">
        <v>272</v>
      </c>
      <c r="C128" s="366" t="s">
        <v>273</v>
      </c>
      <c r="D128" s="367"/>
      <c r="E128" s="368"/>
      <c r="F128" s="362"/>
      <c r="G128" s="368"/>
      <c r="H128" s="364"/>
      <c r="I128" s="363"/>
    </row>
    <row r="129" spans="1:9" x14ac:dyDescent="0.25">
      <c r="A129" s="331">
        <v>119</v>
      </c>
      <c r="B129" s="358" t="s">
        <v>274</v>
      </c>
      <c r="C129" s="366" t="s">
        <v>275</v>
      </c>
      <c r="D129" s="367">
        <v>93850</v>
      </c>
      <c r="E129" s="368">
        <v>8852</v>
      </c>
      <c r="F129" s="367">
        <v>746</v>
      </c>
      <c r="G129" s="368">
        <v>11187</v>
      </c>
      <c r="H129" s="364">
        <v>197</v>
      </c>
      <c r="I129" s="363">
        <v>2170</v>
      </c>
    </row>
    <row r="130" spans="1:9" x14ac:dyDescent="0.25">
      <c r="A130" s="331">
        <v>120</v>
      </c>
      <c r="B130" s="358" t="s">
        <v>276</v>
      </c>
      <c r="C130" s="366" t="s">
        <v>277</v>
      </c>
      <c r="D130" s="367"/>
      <c r="E130" s="368"/>
      <c r="F130" s="362"/>
      <c r="G130" s="368"/>
      <c r="H130" s="364"/>
      <c r="I130" s="363"/>
    </row>
    <row r="131" spans="1:9" x14ac:dyDescent="0.25">
      <c r="A131" s="331">
        <v>121</v>
      </c>
      <c r="B131" s="369" t="s">
        <v>278</v>
      </c>
      <c r="C131" s="366" t="s">
        <v>279</v>
      </c>
      <c r="D131" s="367"/>
      <c r="E131" s="368"/>
      <c r="F131" s="362"/>
      <c r="G131" s="368"/>
      <c r="H131" s="364"/>
      <c r="I131" s="363"/>
    </row>
    <row r="132" spans="1:9" x14ac:dyDescent="0.25">
      <c r="A132" s="331">
        <v>122</v>
      </c>
      <c r="B132" s="369" t="s">
        <v>280</v>
      </c>
      <c r="C132" s="366" t="s">
        <v>281</v>
      </c>
      <c r="D132" s="367"/>
      <c r="E132" s="368"/>
      <c r="F132" s="362"/>
      <c r="G132" s="368"/>
      <c r="H132" s="364"/>
      <c r="I132" s="363"/>
    </row>
    <row r="133" spans="1:9" x14ac:dyDescent="0.25">
      <c r="A133" s="331">
        <v>123</v>
      </c>
      <c r="B133" s="369" t="s">
        <v>282</v>
      </c>
      <c r="C133" s="366" t="s">
        <v>772</v>
      </c>
      <c r="D133" s="367"/>
      <c r="E133" s="368"/>
      <c r="F133" s="362"/>
      <c r="G133" s="368"/>
      <c r="H133" s="364"/>
      <c r="I133" s="363"/>
    </row>
    <row r="134" spans="1:9" x14ac:dyDescent="0.25">
      <c r="A134" s="331">
        <v>124</v>
      </c>
      <c r="B134" s="358" t="s">
        <v>283</v>
      </c>
      <c r="C134" s="366" t="s">
        <v>284</v>
      </c>
      <c r="D134" s="367"/>
      <c r="E134" s="368"/>
      <c r="F134" s="362"/>
      <c r="G134" s="368"/>
      <c r="H134" s="364"/>
      <c r="I134" s="363"/>
    </row>
    <row r="135" spans="1:9" ht="23.25" customHeight="1" x14ac:dyDescent="0.25">
      <c r="A135" s="331">
        <v>125</v>
      </c>
      <c r="B135" s="365" t="s">
        <v>285</v>
      </c>
      <c r="C135" s="366" t="s">
        <v>728</v>
      </c>
      <c r="D135" s="367">
        <v>5297</v>
      </c>
      <c r="E135" s="368"/>
      <c r="F135" s="362"/>
      <c r="G135" s="368"/>
      <c r="H135" s="364"/>
      <c r="I135" s="363"/>
    </row>
    <row r="136" spans="1:9" x14ac:dyDescent="0.25">
      <c r="A136" s="331">
        <v>126</v>
      </c>
      <c r="B136" s="369" t="s">
        <v>286</v>
      </c>
      <c r="C136" s="366" t="s">
        <v>287</v>
      </c>
      <c r="D136" s="367"/>
      <c r="E136" s="368"/>
      <c r="F136" s="367"/>
      <c r="G136" s="368"/>
      <c r="H136" s="364"/>
      <c r="I136" s="363"/>
    </row>
    <row r="137" spans="1:9" x14ac:dyDescent="0.25">
      <c r="A137" s="331">
        <v>127</v>
      </c>
      <c r="B137" s="358" t="s">
        <v>288</v>
      </c>
      <c r="C137" s="366" t="s">
        <v>289</v>
      </c>
      <c r="D137" s="367"/>
      <c r="E137" s="368"/>
      <c r="F137" s="362"/>
      <c r="G137" s="368"/>
      <c r="H137" s="364"/>
      <c r="I137" s="363"/>
    </row>
    <row r="138" spans="1:9" x14ac:dyDescent="0.25">
      <c r="A138" s="331">
        <v>128</v>
      </c>
      <c r="B138" s="369" t="s">
        <v>290</v>
      </c>
      <c r="C138" s="366" t="s">
        <v>291</v>
      </c>
      <c r="D138" s="367"/>
      <c r="E138" s="368"/>
      <c r="F138" s="362"/>
      <c r="G138" s="368"/>
      <c r="H138" s="364"/>
      <c r="I138" s="363"/>
    </row>
    <row r="139" spans="1:9" x14ac:dyDescent="0.25">
      <c r="A139" s="331">
        <v>129</v>
      </c>
      <c r="B139" s="383" t="s">
        <v>292</v>
      </c>
      <c r="C139" s="384" t="s">
        <v>293</v>
      </c>
      <c r="D139" s="367"/>
      <c r="E139" s="368"/>
      <c r="F139" s="362"/>
      <c r="G139" s="368"/>
      <c r="H139" s="364"/>
      <c r="I139" s="363"/>
    </row>
    <row r="140" spans="1:9" x14ac:dyDescent="0.25">
      <c r="A140" s="331">
        <v>130</v>
      </c>
      <c r="B140" s="385" t="s">
        <v>294</v>
      </c>
      <c r="C140" s="384" t="s">
        <v>295</v>
      </c>
      <c r="D140" s="367"/>
      <c r="E140" s="368"/>
      <c r="F140" s="362"/>
      <c r="G140" s="368"/>
      <c r="H140" s="364"/>
      <c r="I140" s="363"/>
    </row>
    <row r="141" spans="1:9" x14ac:dyDescent="0.25">
      <c r="A141" s="331">
        <v>131</v>
      </c>
      <c r="B141" s="386" t="s">
        <v>296</v>
      </c>
      <c r="C141" s="387" t="s">
        <v>461</v>
      </c>
      <c r="D141" s="367"/>
      <c r="E141" s="368"/>
      <c r="F141" s="362"/>
      <c r="G141" s="368"/>
      <c r="H141" s="364"/>
      <c r="I141" s="363"/>
    </row>
    <row r="142" spans="1:9" x14ac:dyDescent="0.25">
      <c r="A142" s="331">
        <v>132</v>
      </c>
      <c r="B142" s="388" t="s">
        <v>298</v>
      </c>
      <c r="C142" s="389" t="s">
        <v>299</v>
      </c>
      <c r="D142" s="378"/>
      <c r="E142" s="368"/>
      <c r="F142" s="362"/>
      <c r="G142" s="368"/>
      <c r="H142" s="364"/>
      <c r="I142" s="363"/>
    </row>
    <row r="143" spans="1:9" x14ac:dyDescent="0.25">
      <c r="A143" s="331">
        <v>133</v>
      </c>
      <c r="B143" s="329" t="s">
        <v>300</v>
      </c>
      <c r="C143" s="389" t="s">
        <v>301</v>
      </c>
      <c r="D143" s="378"/>
      <c r="E143" s="368"/>
      <c r="F143" s="362"/>
      <c r="G143" s="368"/>
      <c r="H143" s="364"/>
      <c r="I143" s="363"/>
    </row>
    <row r="144" spans="1:9" x14ac:dyDescent="0.25">
      <c r="A144" s="331">
        <v>134</v>
      </c>
      <c r="B144" s="329" t="s">
        <v>302</v>
      </c>
      <c r="C144" s="389" t="s">
        <v>303</v>
      </c>
      <c r="D144" s="378"/>
      <c r="E144" s="363"/>
      <c r="F144" s="390"/>
      <c r="G144" s="368"/>
      <c r="H144" s="364"/>
      <c r="I144" s="363"/>
    </row>
    <row r="145" spans="1:9" ht="15.75" thickBot="1" x14ac:dyDescent="0.3">
      <c r="A145" s="326">
        <v>135</v>
      </c>
      <c r="B145" s="391" t="s">
        <v>304</v>
      </c>
      <c r="C145" s="392" t="s">
        <v>305</v>
      </c>
      <c r="D145" s="393"/>
      <c r="E145" s="394"/>
      <c r="F145" s="395"/>
      <c r="G145" s="394"/>
      <c r="H145" s="396"/>
      <c r="I145" s="394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48"/>
  <sheetViews>
    <sheetView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20" sqref="N20"/>
    </sheetView>
  </sheetViews>
  <sheetFormatPr defaultRowHeight="12.75" x14ac:dyDescent="0.25"/>
  <cols>
    <col min="1" max="1" width="5.85546875" style="805" customWidth="1"/>
    <col min="2" max="2" width="8.7109375" style="805" customWidth="1"/>
    <col min="3" max="3" width="39.28515625" style="806" customWidth="1"/>
    <col min="4" max="4" width="19.5703125" style="807" customWidth="1"/>
    <col min="5" max="5" width="12" style="807" customWidth="1"/>
    <col min="6" max="6" width="11.5703125" style="807" customWidth="1"/>
    <col min="7" max="7" width="12.85546875" style="807" customWidth="1"/>
    <col min="8" max="8" width="14.7109375" style="808" customWidth="1"/>
    <col min="9" max="9" width="16.85546875" style="807" customWidth="1"/>
    <col min="10" max="16384" width="9.140625" style="805"/>
  </cols>
  <sheetData>
    <row r="1" spans="1:9" s="804" customFormat="1" ht="22.5" customHeight="1" x14ac:dyDescent="0.25">
      <c r="A1" s="1269" t="s">
        <v>702</v>
      </c>
      <c r="B1" s="1270"/>
      <c r="C1" s="1270"/>
      <c r="D1" s="1271"/>
      <c r="E1" s="1271"/>
      <c r="F1" s="1271"/>
      <c r="G1" s="1271"/>
      <c r="H1" s="1271"/>
      <c r="I1" s="1271"/>
    </row>
    <row r="2" spans="1:9" ht="13.5" thickBot="1" x14ac:dyDescent="0.3"/>
    <row r="3" spans="1:9" s="810" customFormat="1" ht="36.75" customHeight="1" x14ac:dyDescent="0.25">
      <c r="A3" s="1272" t="s">
        <v>0</v>
      </c>
      <c r="B3" s="1275" t="s">
        <v>693</v>
      </c>
      <c r="C3" s="1278" t="s">
        <v>2</v>
      </c>
      <c r="D3" s="1281" t="s">
        <v>703</v>
      </c>
      <c r="E3" s="1282"/>
      <c r="F3" s="1282"/>
      <c r="G3" s="1283"/>
      <c r="H3" s="1284"/>
      <c r="I3" s="809" t="s">
        <v>704</v>
      </c>
    </row>
    <row r="4" spans="1:9" s="810" customFormat="1" ht="27.75" customHeight="1" x14ac:dyDescent="0.25">
      <c r="A4" s="1273"/>
      <c r="B4" s="1276"/>
      <c r="C4" s="1279"/>
      <c r="D4" s="1285" t="s">
        <v>705</v>
      </c>
      <c r="E4" s="1287" t="s">
        <v>706</v>
      </c>
      <c r="F4" s="1288"/>
      <c r="G4" s="1289"/>
      <c r="H4" s="1290" t="s">
        <v>707</v>
      </c>
      <c r="I4" s="1293" t="s">
        <v>699</v>
      </c>
    </row>
    <row r="5" spans="1:9" s="812" customFormat="1" ht="51" customHeight="1" thickBot="1" x14ac:dyDescent="0.3">
      <c r="A5" s="1274"/>
      <c r="B5" s="1277"/>
      <c r="C5" s="1280"/>
      <c r="D5" s="1286"/>
      <c r="E5" s="811" t="s">
        <v>426</v>
      </c>
      <c r="F5" s="811" t="s">
        <v>427</v>
      </c>
      <c r="G5" s="811" t="s">
        <v>46</v>
      </c>
      <c r="H5" s="1291"/>
      <c r="I5" s="1294"/>
    </row>
    <row r="6" spans="1:9" s="817" customFormat="1" ht="12.75" customHeight="1" x14ac:dyDescent="0.25">
      <c r="A6" s="1295" t="s">
        <v>44</v>
      </c>
      <c r="B6" s="1296"/>
      <c r="C6" s="1297"/>
      <c r="D6" s="813">
        <f>SUM(D7:D144)-D32-D70-D71-D73-D74-D75-D80-D83-D91</f>
        <v>147342</v>
      </c>
      <c r="E6" s="814">
        <f t="shared" ref="E6:I6" si="0">SUM(E7:E144)-E32-E70-E71-E73-E74-E75-E80-E83-E91</f>
        <v>18441</v>
      </c>
      <c r="F6" s="814">
        <f t="shared" si="0"/>
        <v>4282</v>
      </c>
      <c r="G6" s="814">
        <f t="shared" si="0"/>
        <v>22723</v>
      </c>
      <c r="H6" s="815">
        <f t="shared" si="0"/>
        <v>170065</v>
      </c>
      <c r="I6" s="816">
        <f t="shared" si="0"/>
        <v>302940</v>
      </c>
    </row>
    <row r="7" spans="1:9" x14ac:dyDescent="0.25">
      <c r="A7" s="459">
        <v>1</v>
      </c>
      <c r="B7" s="418" t="s">
        <v>54</v>
      </c>
      <c r="C7" s="432" t="s">
        <v>55</v>
      </c>
      <c r="D7" s="818"/>
      <c r="E7" s="819"/>
      <c r="F7" s="819"/>
      <c r="G7" s="820"/>
      <c r="H7" s="821"/>
      <c r="I7" s="822">
        <v>3300</v>
      </c>
    </row>
    <row r="8" spans="1:9" x14ac:dyDescent="0.25">
      <c r="A8" s="459">
        <v>2</v>
      </c>
      <c r="B8" s="421" t="s">
        <v>56</v>
      </c>
      <c r="C8" s="432" t="s">
        <v>57</v>
      </c>
      <c r="D8" s="823">
        <v>1544</v>
      </c>
      <c r="E8" s="423">
        <v>158</v>
      </c>
      <c r="F8" s="423"/>
      <c r="G8" s="820">
        <f>E8+F8</f>
        <v>158</v>
      </c>
      <c r="H8" s="821">
        <f>D8+G8</f>
        <v>1702</v>
      </c>
      <c r="I8" s="822">
        <v>3300</v>
      </c>
    </row>
    <row r="9" spans="1:9" x14ac:dyDescent="0.25">
      <c r="A9" s="459">
        <v>3</v>
      </c>
      <c r="B9" s="727" t="s">
        <v>16</v>
      </c>
      <c r="C9" s="432" t="s">
        <v>17</v>
      </c>
      <c r="D9" s="823">
        <v>3547</v>
      </c>
      <c r="E9" s="423">
        <v>315</v>
      </c>
      <c r="F9" s="423">
        <v>153</v>
      </c>
      <c r="G9" s="820">
        <f t="shared" ref="G9:G67" si="1">E9+F9</f>
        <v>468</v>
      </c>
      <c r="H9" s="821">
        <f>D9+G9</f>
        <v>4015</v>
      </c>
      <c r="I9" s="822">
        <f>5280-1100</f>
        <v>4180</v>
      </c>
    </row>
    <row r="10" spans="1:9" x14ac:dyDescent="0.25">
      <c r="A10" s="459">
        <v>4</v>
      </c>
      <c r="B10" s="418" t="s">
        <v>58</v>
      </c>
      <c r="C10" s="432" t="s">
        <v>59</v>
      </c>
      <c r="D10" s="823">
        <v>806</v>
      </c>
      <c r="E10" s="423"/>
      <c r="F10" s="423"/>
      <c r="G10" s="820"/>
      <c r="H10" s="821">
        <f>D10+G10</f>
        <v>806</v>
      </c>
      <c r="I10" s="822">
        <v>3300</v>
      </c>
    </row>
    <row r="11" spans="1:9" ht="15" customHeight="1" x14ac:dyDescent="0.25">
      <c r="A11" s="459">
        <v>5</v>
      </c>
      <c r="B11" s="418" t="s">
        <v>60</v>
      </c>
      <c r="C11" s="432" t="s">
        <v>61</v>
      </c>
      <c r="D11" s="823"/>
      <c r="E11" s="423"/>
      <c r="F11" s="423"/>
      <c r="G11" s="820"/>
      <c r="H11" s="821"/>
      <c r="I11" s="822">
        <v>3300</v>
      </c>
    </row>
    <row r="12" spans="1:9" x14ac:dyDescent="0.25">
      <c r="A12" s="459">
        <v>6</v>
      </c>
      <c r="B12" s="727" t="s">
        <v>18</v>
      </c>
      <c r="C12" s="432" t="s">
        <v>19</v>
      </c>
      <c r="D12" s="823">
        <v>7529</v>
      </c>
      <c r="E12" s="423">
        <v>275</v>
      </c>
      <c r="F12" s="423">
        <v>311</v>
      </c>
      <c r="G12" s="820">
        <f t="shared" si="1"/>
        <v>586</v>
      </c>
      <c r="H12" s="821">
        <f>D12+G12</f>
        <v>8115</v>
      </c>
      <c r="I12" s="822">
        <v>6930</v>
      </c>
    </row>
    <row r="13" spans="1:9" x14ac:dyDescent="0.25">
      <c r="A13" s="459">
        <v>7</v>
      </c>
      <c r="B13" s="418" t="s">
        <v>62</v>
      </c>
      <c r="C13" s="432" t="s">
        <v>63</v>
      </c>
      <c r="D13" s="823">
        <v>3253</v>
      </c>
      <c r="E13" s="423">
        <v>420</v>
      </c>
      <c r="F13" s="423"/>
      <c r="G13" s="820">
        <f t="shared" si="1"/>
        <v>420</v>
      </c>
      <c r="H13" s="821">
        <f>D13+G13</f>
        <v>3673</v>
      </c>
      <c r="I13" s="822">
        <v>3300</v>
      </c>
    </row>
    <row r="14" spans="1:9" x14ac:dyDescent="0.25">
      <c r="A14" s="459">
        <v>8</v>
      </c>
      <c r="B14" s="727" t="s">
        <v>64</v>
      </c>
      <c r="C14" s="432" t="s">
        <v>65</v>
      </c>
      <c r="D14" s="823"/>
      <c r="E14" s="423"/>
      <c r="F14" s="423"/>
      <c r="G14" s="820"/>
      <c r="H14" s="821"/>
      <c r="I14" s="822">
        <v>3300</v>
      </c>
    </row>
    <row r="15" spans="1:9" x14ac:dyDescent="0.25">
      <c r="A15" s="459">
        <v>9</v>
      </c>
      <c r="B15" s="727" t="s">
        <v>66</v>
      </c>
      <c r="C15" s="432" t="s">
        <v>67</v>
      </c>
      <c r="D15" s="823">
        <v>791</v>
      </c>
      <c r="E15" s="423">
        <v>99</v>
      </c>
      <c r="F15" s="423"/>
      <c r="G15" s="820">
        <f t="shared" si="1"/>
        <v>99</v>
      </c>
      <c r="H15" s="821">
        <f>D15+G15</f>
        <v>890</v>
      </c>
      <c r="I15" s="822">
        <v>1650</v>
      </c>
    </row>
    <row r="16" spans="1:9" x14ac:dyDescent="0.25">
      <c r="A16" s="459">
        <v>10</v>
      </c>
      <c r="B16" s="727" t="s">
        <v>68</v>
      </c>
      <c r="C16" s="432" t="s">
        <v>69</v>
      </c>
      <c r="D16" s="823"/>
      <c r="E16" s="423"/>
      <c r="F16" s="423"/>
      <c r="G16" s="820"/>
      <c r="H16" s="821"/>
      <c r="I16" s="822">
        <v>3300</v>
      </c>
    </row>
    <row r="17" spans="1:9" x14ac:dyDescent="0.25">
      <c r="A17" s="459">
        <v>11</v>
      </c>
      <c r="B17" s="727" t="s">
        <v>70</v>
      </c>
      <c r="C17" s="432" t="s">
        <v>71</v>
      </c>
      <c r="D17" s="823"/>
      <c r="E17" s="423"/>
      <c r="F17" s="423"/>
      <c r="G17" s="820"/>
      <c r="H17" s="821"/>
      <c r="I17" s="822">
        <v>3300</v>
      </c>
    </row>
    <row r="18" spans="1:9" x14ac:dyDescent="0.25">
      <c r="A18" s="459">
        <v>12</v>
      </c>
      <c r="B18" s="727" t="s">
        <v>72</v>
      </c>
      <c r="C18" s="432" t="s">
        <v>73</v>
      </c>
      <c r="D18" s="823">
        <v>1586</v>
      </c>
      <c r="E18" s="423"/>
      <c r="F18" s="423"/>
      <c r="G18" s="820"/>
      <c r="H18" s="821">
        <f>D18+G18</f>
        <v>1586</v>
      </c>
      <c r="I18" s="822">
        <v>3300</v>
      </c>
    </row>
    <row r="19" spans="1:9" x14ac:dyDescent="0.25">
      <c r="A19" s="459">
        <v>13</v>
      </c>
      <c r="B19" s="727" t="s">
        <v>74</v>
      </c>
      <c r="C19" s="432" t="s">
        <v>75</v>
      </c>
      <c r="D19" s="823"/>
      <c r="E19" s="423"/>
      <c r="F19" s="423"/>
      <c r="G19" s="820"/>
      <c r="H19" s="821"/>
      <c r="I19" s="822"/>
    </row>
    <row r="20" spans="1:9" x14ac:dyDescent="0.25">
      <c r="A20" s="459">
        <v>14</v>
      </c>
      <c r="B20" s="727" t="s">
        <v>76</v>
      </c>
      <c r="C20" s="432" t="s">
        <v>77</v>
      </c>
      <c r="D20" s="823"/>
      <c r="E20" s="423"/>
      <c r="F20" s="423"/>
      <c r="G20" s="820"/>
      <c r="H20" s="821"/>
      <c r="I20" s="822">
        <v>3300</v>
      </c>
    </row>
    <row r="21" spans="1:9" x14ac:dyDescent="0.25">
      <c r="A21" s="459">
        <v>15</v>
      </c>
      <c r="B21" s="727" t="s">
        <v>78</v>
      </c>
      <c r="C21" s="432" t="s">
        <v>79</v>
      </c>
      <c r="D21" s="823"/>
      <c r="E21" s="423"/>
      <c r="F21" s="423"/>
      <c r="G21" s="820"/>
      <c r="H21" s="821"/>
      <c r="I21" s="822">
        <v>3300</v>
      </c>
    </row>
    <row r="22" spans="1:9" x14ac:dyDescent="0.25">
      <c r="A22" s="459">
        <v>16</v>
      </c>
      <c r="B22" s="727" t="s">
        <v>80</v>
      </c>
      <c r="C22" s="432" t="s">
        <v>81</v>
      </c>
      <c r="D22" s="823">
        <v>1883</v>
      </c>
      <c r="E22" s="423">
        <v>265</v>
      </c>
      <c r="F22" s="423"/>
      <c r="G22" s="820">
        <f t="shared" si="1"/>
        <v>265</v>
      </c>
      <c r="H22" s="821">
        <f t="shared" ref="H22:H27" si="2">D22+G22</f>
        <v>2148</v>
      </c>
      <c r="I22" s="822">
        <v>3300</v>
      </c>
    </row>
    <row r="23" spans="1:9" x14ac:dyDescent="0.25">
      <c r="A23" s="459">
        <v>17</v>
      </c>
      <c r="B23" s="727" t="s">
        <v>20</v>
      </c>
      <c r="C23" s="432" t="s">
        <v>21</v>
      </c>
      <c r="D23" s="823">
        <v>5517</v>
      </c>
      <c r="E23" s="423">
        <v>505</v>
      </c>
      <c r="F23" s="423">
        <v>293</v>
      </c>
      <c r="G23" s="820">
        <f t="shared" si="1"/>
        <v>798</v>
      </c>
      <c r="H23" s="821">
        <f t="shared" si="2"/>
        <v>6315</v>
      </c>
      <c r="I23" s="822">
        <v>3630</v>
      </c>
    </row>
    <row r="24" spans="1:9" x14ac:dyDescent="0.25">
      <c r="A24" s="459">
        <v>18</v>
      </c>
      <c r="B24" s="418" t="s">
        <v>82</v>
      </c>
      <c r="C24" s="432" t="s">
        <v>83</v>
      </c>
      <c r="D24" s="823">
        <v>589</v>
      </c>
      <c r="E24" s="423">
        <v>95</v>
      </c>
      <c r="F24" s="423"/>
      <c r="G24" s="820">
        <f t="shared" si="1"/>
        <v>95</v>
      </c>
      <c r="H24" s="821">
        <f t="shared" si="2"/>
        <v>684</v>
      </c>
      <c r="I24" s="822">
        <v>1650</v>
      </c>
    </row>
    <row r="25" spans="1:9" x14ac:dyDescent="0.25">
      <c r="A25" s="459">
        <v>19</v>
      </c>
      <c r="B25" s="418" t="s">
        <v>84</v>
      </c>
      <c r="C25" s="432" t="s">
        <v>85</v>
      </c>
      <c r="D25" s="823">
        <v>1498</v>
      </c>
      <c r="E25" s="423">
        <v>192</v>
      </c>
      <c r="F25" s="423"/>
      <c r="G25" s="820">
        <f t="shared" si="1"/>
        <v>192</v>
      </c>
      <c r="H25" s="821">
        <f t="shared" si="2"/>
        <v>1690</v>
      </c>
      <c r="I25" s="822">
        <v>3300</v>
      </c>
    </row>
    <row r="26" spans="1:9" x14ac:dyDescent="0.25">
      <c r="A26" s="459">
        <v>20</v>
      </c>
      <c r="B26" s="418" t="s">
        <v>86</v>
      </c>
      <c r="C26" s="432" t="s">
        <v>87</v>
      </c>
      <c r="D26" s="823">
        <v>2496</v>
      </c>
      <c r="E26" s="423">
        <v>306</v>
      </c>
      <c r="F26" s="423"/>
      <c r="G26" s="820">
        <f t="shared" si="1"/>
        <v>306</v>
      </c>
      <c r="H26" s="821">
        <f t="shared" si="2"/>
        <v>2802</v>
      </c>
      <c r="I26" s="822">
        <v>3300</v>
      </c>
    </row>
    <row r="27" spans="1:9" x14ac:dyDescent="0.25">
      <c r="A27" s="459">
        <v>21</v>
      </c>
      <c r="B27" s="418" t="s">
        <v>22</v>
      </c>
      <c r="C27" s="432" t="s">
        <v>23</v>
      </c>
      <c r="D27" s="823">
        <v>2084</v>
      </c>
      <c r="E27" s="423">
        <v>276</v>
      </c>
      <c r="F27" s="423">
        <v>195</v>
      </c>
      <c r="G27" s="820">
        <f t="shared" si="1"/>
        <v>471</v>
      </c>
      <c r="H27" s="821">
        <f t="shared" si="2"/>
        <v>2555</v>
      </c>
      <c r="I27" s="822">
        <v>3630</v>
      </c>
    </row>
    <row r="28" spans="1:9" x14ac:dyDescent="0.25">
      <c r="A28" s="459">
        <v>22</v>
      </c>
      <c r="B28" s="727" t="s">
        <v>24</v>
      </c>
      <c r="C28" s="432" t="s">
        <v>25</v>
      </c>
      <c r="D28" s="823"/>
      <c r="E28" s="423"/>
      <c r="F28" s="423"/>
      <c r="G28" s="820"/>
      <c r="H28" s="821"/>
      <c r="I28" s="822"/>
    </row>
    <row r="29" spans="1:9" x14ac:dyDescent="0.25">
      <c r="A29" s="459">
        <v>23</v>
      </c>
      <c r="B29" s="727" t="s">
        <v>88</v>
      </c>
      <c r="C29" s="432" t="s">
        <v>89</v>
      </c>
      <c r="D29" s="823"/>
      <c r="E29" s="423"/>
      <c r="F29" s="423"/>
      <c r="G29" s="820"/>
      <c r="H29" s="821"/>
      <c r="I29" s="822"/>
    </row>
    <row r="30" spans="1:9" ht="25.5" x14ac:dyDescent="0.25">
      <c r="A30" s="459">
        <v>24</v>
      </c>
      <c r="B30" s="727" t="s">
        <v>90</v>
      </c>
      <c r="C30" s="432" t="s">
        <v>91</v>
      </c>
      <c r="D30" s="823"/>
      <c r="E30" s="423"/>
      <c r="F30" s="423"/>
      <c r="G30" s="820"/>
      <c r="H30" s="821"/>
      <c r="I30" s="822"/>
    </row>
    <row r="31" spans="1:9" ht="25.5" x14ac:dyDescent="0.25">
      <c r="A31" s="1302">
        <v>25</v>
      </c>
      <c r="B31" s="332" t="s">
        <v>92</v>
      </c>
      <c r="C31" s="749" t="s">
        <v>775</v>
      </c>
      <c r="D31" s="824">
        <v>12043</v>
      </c>
      <c r="E31" s="825">
        <f>804+237</f>
        <v>1041</v>
      </c>
      <c r="F31" s="825">
        <f>0+119</f>
        <v>119</v>
      </c>
      <c r="G31" s="826">
        <f t="shared" si="1"/>
        <v>1160</v>
      </c>
      <c r="H31" s="821">
        <f>D31+G31</f>
        <v>13203</v>
      </c>
      <c r="I31" s="827">
        <f>6600+440+220</f>
        <v>7260</v>
      </c>
    </row>
    <row r="32" spans="1:9" x14ac:dyDescent="0.25">
      <c r="A32" s="1303"/>
      <c r="B32" s="341" t="s">
        <v>94</v>
      </c>
      <c r="C32" s="744" t="s">
        <v>95</v>
      </c>
      <c r="D32" s="823"/>
      <c r="E32" s="423"/>
      <c r="F32" s="423">
        <v>117</v>
      </c>
      <c r="G32" s="820">
        <f t="shared" si="1"/>
        <v>117</v>
      </c>
      <c r="H32" s="821">
        <f>D32+G32</f>
        <v>117</v>
      </c>
      <c r="I32" s="822">
        <v>129</v>
      </c>
    </row>
    <row r="33" spans="1:9" x14ac:dyDescent="0.25">
      <c r="A33" s="459">
        <v>26</v>
      </c>
      <c r="B33" s="421" t="s">
        <v>96</v>
      </c>
      <c r="C33" s="432" t="s">
        <v>97</v>
      </c>
      <c r="D33" s="823"/>
      <c r="E33" s="423"/>
      <c r="F33" s="423"/>
      <c r="G33" s="820"/>
      <c r="H33" s="821"/>
      <c r="I33" s="822"/>
    </row>
    <row r="34" spans="1:9" x14ac:dyDescent="0.25">
      <c r="A34" s="459">
        <v>27</v>
      </c>
      <c r="B34" s="421" t="s">
        <v>26</v>
      </c>
      <c r="C34" s="432" t="s">
        <v>27</v>
      </c>
      <c r="D34" s="823">
        <v>4156</v>
      </c>
      <c r="E34" s="423">
        <v>467</v>
      </c>
      <c r="F34" s="423">
        <v>284</v>
      </c>
      <c r="G34" s="820">
        <f t="shared" si="1"/>
        <v>751</v>
      </c>
      <c r="H34" s="821">
        <f>D34+G34</f>
        <v>4907</v>
      </c>
      <c r="I34" s="822">
        <v>3630</v>
      </c>
    </row>
    <row r="35" spans="1:9" x14ac:dyDescent="0.25">
      <c r="A35" s="459">
        <v>28</v>
      </c>
      <c r="B35" s="418" t="s">
        <v>98</v>
      </c>
      <c r="C35" s="432" t="s">
        <v>99</v>
      </c>
      <c r="D35" s="823">
        <v>5207</v>
      </c>
      <c r="E35" s="423">
        <v>680</v>
      </c>
      <c r="F35" s="423">
        <v>278</v>
      </c>
      <c r="G35" s="820">
        <f t="shared" si="1"/>
        <v>958</v>
      </c>
      <c r="H35" s="821">
        <f>D35+G35</f>
        <v>6165</v>
      </c>
      <c r="I35" s="822">
        <v>3300</v>
      </c>
    </row>
    <row r="36" spans="1:9" x14ac:dyDescent="0.25">
      <c r="A36" s="459">
        <v>29</v>
      </c>
      <c r="B36" s="421" t="s">
        <v>100</v>
      </c>
      <c r="C36" s="432" t="s">
        <v>101</v>
      </c>
      <c r="D36" s="823">
        <v>886</v>
      </c>
      <c r="E36" s="423">
        <v>145</v>
      </c>
      <c r="F36" s="423"/>
      <c r="G36" s="820">
        <f t="shared" si="1"/>
        <v>145</v>
      </c>
      <c r="H36" s="821">
        <f>D36+G36</f>
        <v>1031</v>
      </c>
      <c r="I36" s="822">
        <v>3300</v>
      </c>
    </row>
    <row r="37" spans="1:9" x14ac:dyDescent="0.25">
      <c r="A37" s="459">
        <v>30</v>
      </c>
      <c r="B37" s="727" t="s">
        <v>102</v>
      </c>
      <c r="C37" s="432" t="s">
        <v>103</v>
      </c>
      <c r="D37" s="823">
        <v>2992</v>
      </c>
      <c r="E37" s="423">
        <v>446</v>
      </c>
      <c r="F37" s="423"/>
      <c r="G37" s="820">
        <f t="shared" si="1"/>
        <v>446</v>
      </c>
      <c r="H37" s="821">
        <f>D37+G37</f>
        <v>3438</v>
      </c>
      <c r="I37" s="822">
        <f>4950-1100</f>
        <v>3850</v>
      </c>
    </row>
    <row r="38" spans="1:9" x14ac:dyDescent="0.25">
      <c r="A38" s="459">
        <v>31</v>
      </c>
      <c r="B38" s="421" t="s">
        <v>104</v>
      </c>
      <c r="C38" s="432" t="s">
        <v>105</v>
      </c>
      <c r="D38" s="823"/>
      <c r="E38" s="423"/>
      <c r="F38" s="423"/>
      <c r="G38" s="820"/>
      <c r="H38" s="821"/>
      <c r="I38" s="822">
        <v>3300</v>
      </c>
    </row>
    <row r="39" spans="1:9" x14ac:dyDescent="0.25">
      <c r="A39" s="459">
        <v>32</v>
      </c>
      <c r="B39" s="418" t="s">
        <v>106</v>
      </c>
      <c r="C39" s="432" t="s">
        <v>107</v>
      </c>
      <c r="D39" s="823">
        <v>3554</v>
      </c>
      <c r="E39" s="423">
        <v>529</v>
      </c>
      <c r="F39" s="423"/>
      <c r="G39" s="820">
        <f t="shared" si="1"/>
        <v>529</v>
      </c>
      <c r="H39" s="821">
        <f>D39+G39</f>
        <v>4083</v>
      </c>
      <c r="I39" s="822">
        <v>3300</v>
      </c>
    </row>
    <row r="40" spans="1:9" x14ac:dyDescent="0.25">
      <c r="A40" s="459">
        <v>33</v>
      </c>
      <c r="B40" s="371" t="s">
        <v>108</v>
      </c>
      <c r="C40" s="323" t="s">
        <v>109</v>
      </c>
      <c r="D40" s="823"/>
      <c r="E40" s="423"/>
      <c r="F40" s="423"/>
      <c r="G40" s="820"/>
      <c r="H40" s="821"/>
      <c r="I40" s="822">
        <v>3300</v>
      </c>
    </row>
    <row r="41" spans="1:9" x14ac:dyDescent="0.25">
      <c r="A41" s="459">
        <v>34</v>
      </c>
      <c r="B41" s="418" t="s">
        <v>110</v>
      </c>
      <c r="C41" s="432" t="s">
        <v>111</v>
      </c>
      <c r="D41" s="823">
        <v>690</v>
      </c>
      <c r="E41" s="423">
        <v>84</v>
      </c>
      <c r="F41" s="423"/>
      <c r="G41" s="820">
        <f t="shared" si="1"/>
        <v>84</v>
      </c>
      <c r="H41" s="821">
        <f>D41+G41</f>
        <v>774</v>
      </c>
      <c r="I41" s="822">
        <v>3300</v>
      </c>
    </row>
    <row r="42" spans="1:9" x14ac:dyDescent="0.25">
      <c r="A42" s="459">
        <v>35</v>
      </c>
      <c r="B42" s="418" t="s">
        <v>112</v>
      </c>
      <c r="C42" s="432" t="s">
        <v>113</v>
      </c>
      <c r="D42" s="823"/>
      <c r="E42" s="423"/>
      <c r="F42" s="423"/>
      <c r="G42" s="820"/>
      <c r="H42" s="821"/>
      <c r="I42" s="822">
        <v>3300</v>
      </c>
    </row>
    <row r="43" spans="1:9" x14ac:dyDescent="0.25">
      <c r="A43" s="459">
        <v>36</v>
      </c>
      <c r="B43" s="727" t="s">
        <v>114</v>
      </c>
      <c r="C43" s="432" t="s">
        <v>115</v>
      </c>
      <c r="D43" s="823"/>
      <c r="E43" s="423"/>
      <c r="F43" s="423"/>
      <c r="G43" s="820"/>
      <c r="H43" s="821"/>
      <c r="I43" s="822">
        <v>3300</v>
      </c>
    </row>
    <row r="44" spans="1:9" x14ac:dyDescent="0.25">
      <c r="A44" s="459">
        <v>37</v>
      </c>
      <c r="B44" s="421" t="s">
        <v>116</v>
      </c>
      <c r="C44" s="432" t="s">
        <v>117</v>
      </c>
      <c r="D44" s="823"/>
      <c r="E44" s="423"/>
      <c r="F44" s="423"/>
      <c r="G44" s="820"/>
      <c r="H44" s="821"/>
      <c r="I44" s="822"/>
    </row>
    <row r="45" spans="1:9" x14ac:dyDescent="0.25">
      <c r="A45" s="459">
        <v>38</v>
      </c>
      <c r="B45" s="727" t="s">
        <v>28</v>
      </c>
      <c r="C45" s="432" t="s">
        <v>29</v>
      </c>
      <c r="D45" s="823">
        <v>3773</v>
      </c>
      <c r="E45" s="423">
        <v>619</v>
      </c>
      <c r="F45" s="423"/>
      <c r="G45" s="820">
        <f t="shared" si="1"/>
        <v>619</v>
      </c>
      <c r="H45" s="821">
        <f>D45+G45</f>
        <v>4392</v>
      </c>
      <c r="I45" s="822">
        <v>3630</v>
      </c>
    </row>
    <row r="46" spans="1:9" x14ac:dyDescent="0.25">
      <c r="A46" s="459">
        <v>39</v>
      </c>
      <c r="B46" s="418" t="s">
        <v>118</v>
      </c>
      <c r="C46" s="432" t="s">
        <v>119</v>
      </c>
      <c r="D46" s="823">
        <v>996</v>
      </c>
      <c r="E46" s="423">
        <v>270</v>
      </c>
      <c r="F46" s="423"/>
      <c r="G46" s="820">
        <f t="shared" si="1"/>
        <v>270</v>
      </c>
      <c r="H46" s="821">
        <f>D46+G46</f>
        <v>1266</v>
      </c>
      <c r="I46" s="822">
        <v>3300</v>
      </c>
    </row>
    <row r="47" spans="1:9" x14ac:dyDescent="0.25">
      <c r="A47" s="459">
        <v>40</v>
      </c>
      <c r="B47" s="418" t="s">
        <v>120</v>
      </c>
      <c r="C47" s="432" t="s">
        <v>121</v>
      </c>
      <c r="D47" s="823">
        <v>3948</v>
      </c>
      <c r="E47" s="423">
        <v>559</v>
      </c>
      <c r="F47" s="423">
        <v>274</v>
      </c>
      <c r="G47" s="820">
        <f t="shared" si="1"/>
        <v>833</v>
      </c>
      <c r="H47" s="821">
        <f>D47+G47</f>
        <v>4781</v>
      </c>
      <c r="I47" s="822">
        <v>6600</v>
      </c>
    </row>
    <row r="48" spans="1:9" x14ac:dyDescent="0.25">
      <c r="A48" s="459">
        <v>41</v>
      </c>
      <c r="B48" s="727" t="s">
        <v>122</v>
      </c>
      <c r="C48" s="432" t="s">
        <v>123</v>
      </c>
      <c r="D48" s="823"/>
      <c r="E48" s="423"/>
      <c r="F48" s="423"/>
      <c r="G48" s="820"/>
      <c r="H48" s="821"/>
      <c r="I48" s="822">
        <v>3300</v>
      </c>
    </row>
    <row r="49" spans="1:9" x14ac:dyDescent="0.25">
      <c r="A49" s="459">
        <v>42</v>
      </c>
      <c r="B49" s="421" t="s">
        <v>124</v>
      </c>
      <c r="C49" s="432" t="s">
        <v>125</v>
      </c>
      <c r="D49" s="823">
        <v>1000</v>
      </c>
      <c r="E49" s="423"/>
      <c r="F49" s="423"/>
      <c r="G49" s="820"/>
      <c r="H49" s="821">
        <f>D49+G49</f>
        <v>1000</v>
      </c>
      <c r="I49" s="822">
        <v>3300</v>
      </c>
    </row>
    <row r="50" spans="1:9" x14ac:dyDescent="0.25">
      <c r="A50" s="459">
        <v>43</v>
      </c>
      <c r="B50" s="727" t="s">
        <v>126</v>
      </c>
      <c r="C50" s="432" t="s">
        <v>127</v>
      </c>
      <c r="D50" s="823"/>
      <c r="E50" s="423"/>
      <c r="F50" s="423"/>
      <c r="G50" s="820"/>
      <c r="H50" s="821"/>
      <c r="I50" s="822">
        <v>3300</v>
      </c>
    </row>
    <row r="51" spans="1:9" x14ac:dyDescent="0.25">
      <c r="A51" s="459">
        <v>44</v>
      </c>
      <c r="B51" s="421" t="s">
        <v>128</v>
      </c>
      <c r="C51" s="432" t="s">
        <v>129</v>
      </c>
      <c r="D51" s="823">
        <v>1360</v>
      </c>
      <c r="E51" s="423">
        <v>394</v>
      </c>
      <c r="F51" s="423"/>
      <c r="G51" s="820">
        <f t="shared" si="1"/>
        <v>394</v>
      </c>
      <c r="H51" s="821">
        <f t="shared" ref="H51:H57" si="3">D51+G51</f>
        <v>1754</v>
      </c>
      <c r="I51" s="822">
        <v>3300</v>
      </c>
    </row>
    <row r="52" spans="1:9" x14ac:dyDescent="0.25">
      <c r="A52" s="459">
        <v>45</v>
      </c>
      <c r="B52" s="727" t="s">
        <v>130</v>
      </c>
      <c r="C52" s="432" t="s">
        <v>131</v>
      </c>
      <c r="D52" s="823">
        <v>499</v>
      </c>
      <c r="E52" s="423"/>
      <c r="F52" s="423"/>
      <c r="G52" s="820"/>
      <c r="H52" s="821">
        <f t="shared" si="3"/>
        <v>499</v>
      </c>
      <c r="I52" s="822">
        <v>3300</v>
      </c>
    </row>
    <row r="53" spans="1:9" x14ac:dyDescent="0.25">
      <c r="A53" s="459">
        <v>46</v>
      </c>
      <c r="B53" s="421" t="s">
        <v>132</v>
      </c>
      <c r="C53" s="432" t="s">
        <v>133</v>
      </c>
      <c r="D53" s="823">
        <v>929</v>
      </c>
      <c r="E53" s="423">
        <v>113</v>
      </c>
      <c r="F53" s="423"/>
      <c r="G53" s="820">
        <f t="shared" si="1"/>
        <v>113</v>
      </c>
      <c r="H53" s="821">
        <f t="shared" si="3"/>
        <v>1042</v>
      </c>
      <c r="I53" s="822">
        <v>3300</v>
      </c>
    </row>
    <row r="54" spans="1:9" x14ac:dyDescent="0.25">
      <c r="A54" s="459">
        <v>47</v>
      </c>
      <c r="B54" s="727" t="s">
        <v>134</v>
      </c>
      <c r="C54" s="432" t="s">
        <v>135</v>
      </c>
      <c r="D54" s="823">
        <v>1392</v>
      </c>
      <c r="E54" s="423"/>
      <c r="F54" s="423"/>
      <c r="G54" s="820"/>
      <c r="H54" s="821">
        <f t="shared" si="3"/>
        <v>1392</v>
      </c>
      <c r="I54" s="822">
        <v>3300</v>
      </c>
    </row>
    <row r="55" spans="1:9" x14ac:dyDescent="0.25">
      <c r="A55" s="459">
        <v>48</v>
      </c>
      <c r="B55" s="727" t="s">
        <v>136</v>
      </c>
      <c r="C55" s="432" t="s">
        <v>137</v>
      </c>
      <c r="D55" s="823">
        <v>4643</v>
      </c>
      <c r="E55" s="423">
        <v>467</v>
      </c>
      <c r="F55" s="423">
        <v>177</v>
      </c>
      <c r="G55" s="820">
        <f t="shared" si="1"/>
        <v>644</v>
      </c>
      <c r="H55" s="821">
        <f t="shared" si="3"/>
        <v>5287</v>
      </c>
      <c r="I55" s="822">
        <f>4950-1100</f>
        <v>3850</v>
      </c>
    </row>
    <row r="56" spans="1:9" x14ac:dyDescent="0.25">
      <c r="A56" s="459">
        <v>49</v>
      </c>
      <c r="B56" s="727" t="s">
        <v>138</v>
      </c>
      <c r="C56" s="432" t="s">
        <v>139</v>
      </c>
      <c r="D56" s="823">
        <v>1016</v>
      </c>
      <c r="E56" s="423">
        <v>369</v>
      </c>
      <c r="F56" s="423"/>
      <c r="G56" s="820">
        <f t="shared" si="1"/>
        <v>369</v>
      </c>
      <c r="H56" s="821">
        <f t="shared" si="3"/>
        <v>1385</v>
      </c>
      <c r="I56" s="822">
        <v>3300</v>
      </c>
    </row>
    <row r="57" spans="1:9" x14ac:dyDescent="0.25">
      <c r="A57" s="459">
        <v>50</v>
      </c>
      <c r="B57" s="727" t="s">
        <v>140</v>
      </c>
      <c r="C57" s="432" t="s">
        <v>141</v>
      </c>
      <c r="D57" s="823">
        <v>779</v>
      </c>
      <c r="E57" s="423"/>
      <c r="F57" s="423"/>
      <c r="G57" s="820"/>
      <c r="H57" s="821">
        <f t="shared" si="3"/>
        <v>779</v>
      </c>
      <c r="I57" s="822">
        <v>3300</v>
      </c>
    </row>
    <row r="58" spans="1:9" x14ac:dyDescent="0.25">
      <c r="A58" s="459">
        <v>51</v>
      </c>
      <c r="B58" s="421" t="s">
        <v>142</v>
      </c>
      <c r="C58" s="432" t="s">
        <v>143</v>
      </c>
      <c r="D58" s="823"/>
      <c r="E58" s="423"/>
      <c r="F58" s="423"/>
      <c r="G58" s="820"/>
      <c r="H58" s="821"/>
      <c r="I58" s="822">
        <v>3300</v>
      </c>
    </row>
    <row r="59" spans="1:9" x14ac:dyDescent="0.25">
      <c r="A59" s="459">
        <v>52</v>
      </c>
      <c r="B59" s="727" t="s">
        <v>144</v>
      </c>
      <c r="C59" s="432" t="s">
        <v>145</v>
      </c>
      <c r="D59" s="823"/>
      <c r="E59" s="423"/>
      <c r="F59" s="423"/>
      <c r="G59" s="820"/>
      <c r="H59" s="821"/>
      <c r="I59" s="822"/>
    </row>
    <row r="60" spans="1:9" x14ac:dyDescent="0.25">
      <c r="A60" s="459">
        <v>53</v>
      </c>
      <c r="B60" s="727" t="s">
        <v>146</v>
      </c>
      <c r="C60" s="432" t="s">
        <v>147</v>
      </c>
      <c r="D60" s="823"/>
      <c r="E60" s="423"/>
      <c r="F60" s="423"/>
      <c r="G60" s="820"/>
      <c r="H60" s="821"/>
      <c r="I60" s="822"/>
    </row>
    <row r="61" spans="1:9" x14ac:dyDescent="0.25">
      <c r="A61" s="459">
        <v>54</v>
      </c>
      <c r="B61" s="727" t="s">
        <v>148</v>
      </c>
      <c r="C61" s="432" t="s">
        <v>149</v>
      </c>
      <c r="D61" s="823"/>
      <c r="E61" s="423"/>
      <c r="F61" s="423"/>
      <c r="G61" s="820"/>
      <c r="H61" s="821"/>
      <c r="I61" s="822"/>
    </row>
    <row r="62" spans="1:9" x14ac:dyDescent="0.25">
      <c r="A62" s="459">
        <v>55</v>
      </c>
      <c r="B62" s="421" t="s">
        <v>150</v>
      </c>
      <c r="C62" s="432" t="s">
        <v>151</v>
      </c>
      <c r="D62" s="823"/>
      <c r="E62" s="423"/>
      <c r="F62" s="423"/>
      <c r="G62" s="820"/>
      <c r="H62" s="821"/>
      <c r="I62" s="822"/>
    </row>
    <row r="63" spans="1:9" x14ac:dyDescent="0.25">
      <c r="A63" s="459">
        <v>56</v>
      </c>
      <c r="B63" s="421" t="s">
        <v>154</v>
      </c>
      <c r="C63" s="432" t="s">
        <v>155</v>
      </c>
      <c r="D63" s="823"/>
      <c r="E63" s="423"/>
      <c r="F63" s="423">
        <v>571</v>
      </c>
      <c r="G63" s="820">
        <f t="shared" si="1"/>
        <v>571</v>
      </c>
      <c r="H63" s="821">
        <f>D63+G63</f>
        <v>571</v>
      </c>
      <c r="I63" s="822"/>
    </row>
    <row r="64" spans="1:9" ht="25.5" x14ac:dyDescent="0.25">
      <c r="A64" s="459">
        <v>57</v>
      </c>
      <c r="B64" s="418" t="s">
        <v>158</v>
      </c>
      <c r="C64" s="432" t="s">
        <v>159</v>
      </c>
      <c r="D64" s="823"/>
      <c r="E64" s="423"/>
      <c r="F64" s="423"/>
      <c r="G64" s="820"/>
      <c r="H64" s="821"/>
      <c r="I64" s="822"/>
    </row>
    <row r="65" spans="1:9" ht="25.5" x14ac:dyDescent="0.25">
      <c r="A65" s="459">
        <v>58</v>
      </c>
      <c r="B65" s="418" t="s">
        <v>160</v>
      </c>
      <c r="C65" s="432" t="s">
        <v>161</v>
      </c>
      <c r="D65" s="823"/>
      <c r="E65" s="423"/>
      <c r="F65" s="423"/>
      <c r="G65" s="820"/>
      <c r="H65" s="821"/>
      <c r="I65" s="822"/>
    </row>
    <row r="66" spans="1:9" x14ac:dyDescent="0.25">
      <c r="A66" s="459">
        <v>59</v>
      </c>
      <c r="B66" s="421" t="s">
        <v>162</v>
      </c>
      <c r="C66" s="432" t="s">
        <v>163</v>
      </c>
      <c r="D66" s="823">
        <v>3563</v>
      </c>
      <c r="E66" s="423">
        <v>809</v>
      </c>
      <c r="F66" s="423"/>
      <c r="G66" s="820">
        <f t="shared" si="1"/>
        <v>809</v>
      </c>
      <c r="H66" s="821">
        <f>D66+G66</f>
        <v>4372</v>
      </c>
      <c r="I66" s="822"/>
    </row>
    <row r="67" spans="1:9" x14ac:dyDescent="0.25">
      <c r="A67" s="459">
        <v>60</v>
      </c>
      <c r="B67" s="421" t="s">
        <v>164</v>
      </c>
      <c r="C67" s="432" t="s">
        <v>165</v>
      </c>
      <c r="D67" s="823">
        <v>2130</v>
      </c>
      <c r="E67" s="423">
        <v>920</v>
      </c>
      <c r="F67" s="423"/>
      <c r="G67" s="820">
        <f t="shared" si="1"/>
        <v>920</v>
      </c>
      <c r="H67" s="821">
        <f>D67+G67</f>
        <v>3050</v>
      </c>
      <c r="I67" s="822"/>
    </row>
    <row r="68" spans="1:9" x14ac:dyDescent="0.25">
      <c r="A68" s="459">
        <v>61</v>
      </c>
      <c r="B68" s="421" t="s">
        <v>166</v>
      </c>
      <c r="C68" s="432" t="s">
        <v>167</v>
      </c>
      <c r="D68" s="823">
        <v>5016</v>
      </c>
      <c r="E68" s="423"/>
      <c r="F68" s="423"/>
      <c r="G68" s="820"/>
      <c r="H68" s="821">
        <f>D68+G68</f>
        <v>5016</v>
      </c>
      <c r="I68" s="822"/>
    </row>
    <row r="69" spans="1:9" ht="25.5" x14ac:dyDescent="0.25">
      <c r="A69" s="1098">
        <v>62</v>
      </c>
      <c r="B69" s="741" t="s">
        <v>170</v>
      </c>
      <c r="C69" s="749" t="s">
        <v>774</v>
      </c>
      <c r="D69" s="823"/>
      <c r="E69" s="423"/>
      <c r="F69" s="423"/>
      <c r="G69" s="820"/>
      <c r="H69" s="821"/>
      <c r="I69" s="822"/>
    </row>
    <row r="70" spans="1:9" ht="25.5" x14ac:dyDescent="0.25">
      <c r="A70" s="1304"/>
      <c r="B70" s="742" t="s">
        <v>168</v>
      </c>
      <c r="C70" s="743" t="s">
        <v>786</v>
      </c>
      <c r="D70" s="823"/>
      <c r="E70" s="423"/>
      <c r="F70" s="423"/>
      <c r="G70" s="820"/>
      <c r="H70" s="821"/>
      <c r="I70" s="822"/>
    </row>
    <row r="71" spans="1:9" ht="25.5" x14ac:dyDescent="0.25">
      <c r="A71" s="1292"/>
      <c r="B71" s="742" t="s">
        <v>174</v>
      </c>
      <c r="C71" s="743" t="s">
        <v>787</v>
      </c>
      <c r="D71" s="823"/>
      <c r="E71" s="423"/>
      <c r="F71" s="423"/>
      <c r="G71" s="820"/>
      <c r="H71" s="821"/>
      <c r="I71" s="822"/>
    </row>
    <row r="72" spans="1:9" ht="25.5" x14ac:dyDescent="0.25">
      <c r="A72" s="1098">
        <v>63</v>
      </c>
      <c r="B72" s="753" t="s">
        <v>176</v>
      </c>
      <c r="C72" s="749" t="s">
        <v>777</v>
      </c>
      <c r="D72" s="823"/>
      <c r="E72" s="423"/>
      <c r="F72" s="423"/>
      <c r="G72" s="820"/>
      <c r="H72" s="821"/>
      <c r="I72" s="822"/>
    </row>
    <row r="73" spans="1:9" ht="25.5" x14ac:dyDescent="0.25">
      <c r="A73" s="1304"/>
      <c r="B73" s="742" t="s">
        <v>172</v>
      </c>
      <c r="C73" s="743" t="s">
        <v>788</v>
      </c>
      <c r="D73" s="823"/>
      <c r="E73" s="423"/>
      <c r="F73" s="423"/>
      <c r="G73" s="820"/>
      <c r="H73" s="821"/>
      <c r="I73" s="822"/>
    </row>
    <row r="74" spans="1:9" ht="25.5" x14ac:dyDescent="0.25">
      <c r="A74" s="1304"/>
      <c r="B74" s="741" t="s">
        <v>178</v>
      </c>
      <c r="C74" s="743" t="s">
        <v>789</v>
      </c>
      <c r="D74" s="823"/>
      <c r="E74" s="423"/>
      <c r="F74" s="423"/>
      <c r="G74" s="820"/>
      <c r="H74" s="821"/>
      <c r="I74" s="822"/>
    </row>
    <row r="75" spans="1:9" ht="25.5" x14ac:dyDescent="0.25">
      <c r="A75" s="1292"/>
      <c r="B75" s="741" t="s">
        <v>180</v>
      </c>
      <c r="C75" s="743" t="s">
        <v>790</v>
      </c>
      <c r="D75" s="823"/>
      <c r="E75" s="423"/>
      <c r="F75" s="423"/>
      <c r="G75" s="820"/>
      <c r="H75" s="821"/>
      <c r="I75" s="822"/>
    </row>
    <row r="76" spans="1:9" x14ac:dyDescent="0.25">
      <c r="A76" s="459">
        <v>64</v>
      </c>
      <c r="B76" s="727" t="s">
        <v>182</v>
      </c>
      <c r="C76" s="432" t="s">
        <v>183</v>
      </c>
      <c r="D76" s="823">
        <v>2562</v>
      </c>
      <c r="E76" s="423"/>
      <c r="F76" s="423"/>
      <c r="G76" s="820"/>
      <c r="H76" s="821">
        <f t="shared" ref="H76:H84" si="4">D76+G76</f>
        <v>2562</v>
      </c>
      <c r="I76" s="822">
        <v>4950</v>
      </c>
    </row>
    <row r="77" spans="1:9" x14ac:dyDescent="0.25">
      <c r="A77" s="459">
        <v>65</v>
      </c>
      <c r="B77" s="418" t="s">
        <v>184</v>
      </c>
      <c r="C77" s="432" t="s">
        <v>185</v>
      </c>
      <c r="D77" s="823">
        <v>6848</v>
      </c>
      <c r="E77" s="423">
        <v>1021</v>
      </c>
      <c r="F77" s="423"/>
      <c r="G77" s="820">
        <f t="shared" ref="G77:G134" si="5">E77+F77</f>
        <v>1021</v>
      </c>
      <c r="H77" s="821">
        <f t="shared" si="4"/>
        <v>7869</v>
      </c>
      <c r="I77" s="822">
        <f>9900-1100</f>
        <v>8800</v>
      </c>
    </row>
    <row r="78" spans="1:9" x14ac:dyDescent="0.25">
      <c r="A78" s="459">
        <v>66</v>
      </c>
      <c r="B78" s="727" t="s">
        <v>186</v>
      </c>
      <c r="C78" s="432" t="s">
        <v>187</v>
      </c>
      <c r="D78" s="823">
        <v>3888</v>
      </c>
      <c r="E78" s="423">
        <v>481</v>
      </c>
      <c r="F78" s="423"/>
      <c r="G78" s="820">
        <f t="shared" si="5"/>
        <v>481</v>
      </c>
      <c r="H78" s="821">
        <f t="shared" si="4"/>
        <v>4369</v>
      </c>
      <c r="I78" s="822">
        <v>3300</v>
      </c>
    </row>
    <row r="79" spans="1:9" x14ac:dyDescent="0.25">
      <c r="A79" s="1305">
        <v>67</v>
      </c>
      <c r="B79" s="754" t="s">
        <v>188</v>
      </c>
      <c r="C79" s="749" t="s">
        <v>785</v>
      </c>
      <c r="D79" s="824">
        <v>931</v>
      </c>
      <c r="E79" s="825"/>
      <c r="F79" s="825"/>
      <c r="G79" s="826"/>
      <c r="H79" s="821">
        <f t="shared" si="4"/>
        <v>931</v>
      </c>
      <c r="I79" s="827">
        <v>3300</v>
      </c>
    </row>
    <row r="80" spans="1:9" x14ac:dyDescent="0.25">
      <c r="A80" s="1303"/>
      <c r="B80" s="341" t="s">
        <v>156</v>
      </c>
      <c r="C80" s="744" t="s">
        <v>157</v>
      </c>
      <c r="D80" s="823"/>
      <c r="E80" s="423"/>
      <c r="F80" s="423"/>
      <c r="G80" s="820"/>
      <c r="H80" s="821"/>
      <c r="I80" s="822"/>
    </row>
    <row r="81" spans="1:9" x14ac:dyDescent="0.25">
      <c r="A81" s="459">
        <v>68</v>
      </c>
      <c r="B81" s="418" t="s">
        <v>190</v>
      </c>
      <c r="C81" s="432" t="s">
        <v>191</v>
      </c>
      <c r="D81" s="823">
        <v>6458</v>
      </c>
      <c r="E81" s="423">
        <v>676</v>
      </c>
      <c r="F81" s="423"/>
      <c r="G81" s="820">
        <f t="shared" si="5"/>
        <v>676</v>
      </c>
      <c r="H81" s="821">
        <f t="shared" si="4"/>
        <v>7134</v>
      </c>
      <c r="I81" s="822">
        <v>4950</v>
      </c>
    </row>
    <row r="82" spans="1:9" ht="25.5" x14ac:dyDescent="0.25">
      <c r="A82" s="1098">
        <v>69</v>
      </c>
      <c r="B82" s="754" t="s">
        <v>192</v>
      </c>
      <c r="C82" s="749" t="s">
        <v>776</v>
      </c>
      <c r="D82" s="824"/>
      <c r="E82" s="825"/>
      <c r="F82" s="825">
        <v>695</v>
      </c>
      <c r="G82" s="826">
        <f t="shared" si="5"/>
        <v>695</v>
      </c>
      <c r="H82" s="821">
        <f t="shared" si="4"/>
        <v>695</v>
      </c>
      <c r="I82" s="827">
        <v>3960</v>
      </c>
    </row>
    <row r="83" spans="1:9" x14ac:dyDescent="0.25">
      <c r="A83" s="1292"/>
      <c r="B83" s="332" t="s">
        <v>152</v>
      </c>
      <c r="C83" s="744" t="s">
        <v>153</v>
      </c>
      <c r="D83" s="823"/>
      <c r="E83" s="423"/>
      <c r="F83" s="423"/>
      <c r="G83" s="820"/>
      <c r="H83" s="821"/>
      <c r="I83" s="822"/>
    </row>
    <row r="84" spans="1:9" x14ac:dyDescent="0.25">
      <c r="A84" s="459">
        <v>70</v>
      </c>
      <c r="B84" s="418" t="s">
        <v>194</v>
      </c>
      <c r="C84" s="432" t="s">
        <v>195</v>
      </c>
      <c r="D84" s="823">
        <v>5211</v>
      </c>
      <c r="E84" s="423"/>
      <c r="F84" s="423"/>
      <c r="G84" s="820"/>
      <c r="H84" s="821">
        <f t="shared" si="4"/>
        <v>5211</v>
      </c>
      <c r="I84" s="822">
        <f>5280-1100</f>
        <v>4180</v>
      </c>
    </row>
    <row r="85" spans="1:9" x14ac:dyDescent="0.25">
      <c r="A85" s="459">
        <v>71</v>
      </c>
      <c r="B85" s="418" t="s">
        <v>196</v>
      </c>
      <c r="C85" s="432" t="s">
        <v>197</v>
      </c>
      <c r="D85" s="823"/>
      <c r="E85" s="423"/>
      <c r="F85" s="423"/>
      <c r="G85" s="820"/>
      <c r="H85" s="821"/>
      <c r="I85" s="822"/>
    </row>
    <row r="86" spans="1:9" x14ac:dyDescent="0.25">
      <c r="A86" s="459">
        <v>72</v>
      </c>
      <c r="B86" s="421" t="s">
        <v>30</v>
      </c>
      <c r="C86" s="432" t="s">
        <v>198</v>
      </c>
      <c r="D86" s="823"/>
      <c r="E86" s="423"/>
      <c r="F86" s="423"/>
      <c r="G86" s="820"/>
      <c r="H86" s="821"/>
      <c r="I86" s="822"/>
    </row>
    <row r="87" spans="1:9" ht="25.5" x14ac:dyDescent="0.25">
      <c r="A87" s="1298">
        <v>73</v>
      </c>
      <c r="B87" s="1301" t="s">
        <v>199</v>
      </c>
      <c r="C87" s="435" t="s">
        <v>200</v>
      </c>
      <c r="D87" s="823"/>
      <c r="E87" s="423"/>
      <c r="F87" s="423"/>
      <c r="G87" s="820"/>
      <c r="H87" s="821"/>
      <c r="I87" s="822"/>
    </row>
    <row r="88" spans="1:9" ht="44.25" customHeight="1" x14ac:dyDescent="0.25">
      <c r="A88" s="1299"/>
      <c r="B88" s="1301"/>
      <c r="C88" s="432" t="s">
        <v>201</v>
      </c>
      <c r="D88" s="823"/>
      <c r="E88" s="423"/>
      <c r="F88" s="423"/>
      <c r="G88" s="820"/>
      <c r="H88" s="821"/>
      <c r="I88" s="822"/>
    </row>
    <row r="89" spans="1:9" ht="25.5" x14ac:dyDescent="0.25">
      <c r="A89" s="1299"/>
      <c r="B89" s="1301"/>
      <c r="C89" s="432" t="s">
        <v>202</v>
      </c>
      <c r="D89" s="823"/>
      <c r="E89" s="423"/>
      <c r="F89" s="423"/>
      <c r="G89" s="820"/>
      <c r="H89" s="821"/>
      <c r="I89" s="822"/>
    </row>
    <row r="90" spans="1:9" ht="40.5" customHeight="1" x14ac:dyDescent="0.25">
      <c r="A90" s="1300"/>
      <c r="B90" s="1301"/>
      <c r="C90" s="436" t="s">
        <v>203</v>
      </c>
      <c r="D90" s="823"/>
      <c r="E90" s="423"/>
      <c r="F90" s="423"/>
      <c r="G90" s="820"/>
      <c r="H90" s="821"/>
      <c r="I90" s="822"/>
    </row>
    <row r="91" spans="1:9" ht="25.5" x14ac:dyDescent="0.25">
      <c r="A91" s="459">
        <v>74</v>
      </c>
      <c r="B91" s="421" t="s">
        <v>204</v>
      </c>
      <c r="C91" s="432" t="s">
        <v>205</v>
      </c>
      <c r="D91" s="823"/>
      <c r="E91" s="423"/>
      <c r="F91" s="423"/>
      <c r="G91" s="820"/>
      <c r="H91" s="821"/>
      <c r="I91" s="822"/>
    </row>
    <row r="92" spans="1:9" x14ac:dyDescent="0.25">
      <c r="A92" s="459">
        <v>75</v>
      </c>
      <c r="B92" s="421" t="s">
        <v>206</v>
      </c>
      <c r="C92" s="432" t="s">
        <v>207</v>
      </c>
      <c r="D92" s="823"/>
      <c r="E92" s="423"/>
      <c r="F92" s="423"/>
      <c r="G92" s="820"/>
      <c r="H92" s="821"/>
      <c r="I92" s="822"/>
    </row>
    <row r="93" spans="1:9" x14ac:dyDescent="0.25">
      <c r="A93" s="459">
        <v>76</v>
      </c>
      <c r="B93" s="727" t="s">
        <v>208</v>
      </c>
      <c r="C93" s="432" t="s">
        <v>209</v>
      </c>
      <c r="D93" s="823"/>
      <c r="E93" s="423"/>
      <c r="F93" s="423"/>
      <c r="G93" s="820"/>
      <c r="H93" s="821"/>
      <c r="I93" s="822"/>
    </row>
    <row r="94" spans="1:9" x14ac:dyDescent="0.25">
      <c r="A94" s="459">
        <v>77</v>
      </c>
      <c r="B94" s="421" t="s">
        <v>210</v>
      </c>
      <c r="C94" s="432" t="s">
        <v>211</v>
      </c>
      <c r="D94" s="823"/>
      <c r="E94" s="423"/>
      <c r="F94" s="423"/>
      <c r="G94" s="820"/>
      <c r="H94" s="821"/>
      <c r="I94" s="822">
        <v>3300</v>
      </c>
    </row>
    <row r="95" spans="1:9" x14ac:dyDescent="0.25">
      <c r="A95" s="459">
        <v>78</v>
      </c>
      <c r="B95" s="727" t="s">
        <v>212</v>
      </c>
      <c r="C95" s="432" t="s">
        <v>213</v>
      </c>
      <c r="D95" s="823"/>
      <c r="E95" s="423"/>
      <c r="F95" s="423"/>
      <c r="G95" s="820"/>
      <c r="H95" s="821"/>
      <c r="I95" s="822">
        <v>3300</v>
      </c>
    </row>
    <row r="96" spans="1:9" x14ac:dyDescent="0.25">
      <c r="A96" s="459">
        <v>79</v>
      </c>
      <c r="B96" s="727" t="s">
        <v>214</v>
      </c>
      <c r="C96" s="432" t="s">
        <v>215</v>
      </c>
      <c r="D96" s="823">
        <v>1766</v>
      </c>
      <c r="E96" s="423">
        <v>214</v>
      </c>
      <c r="F96" s="423"/>
      <c r="G96" s="820">
        <f t="shared" si="5"/>
        <v>214</v>
      </c>
      <c r="H96" s="821">
        <f>D96+G96</f>
        <v>1980</v>
      </c>
      <c r="I96" s="822">
        <v>3300</v>
      </c>
    </row>
    <row r="97" spans="1:9" x14ac:dyDescent="0.25">
      <c r="A97" s="459">
        <v>80</v>
      </c>
      <c r="B97" s="421" t="s">
        <v>216</v>
      </c>
      <c r="C97" s="432" t="s">
        <v>217</v>
      </c>
      <c r="D97" s="823">
        <v>773</v>
      </c>
      <c r="E97" s="423">
        <v>121</v>
      </c>
      <c r="F97" s="423"/>
      <c r="G97" s="820">
        <f t="shared" si="5"/>
        <v>121</v>
      </c>
      <c r="H97" s="821">
        <f>D97+G97</f>
        <v>894</v>
      </c>
      <c r="I97" s="822">
        <v>1650</v>
      </c>
    </row>
    <row r="98" spans="1:9" x14ac:dyDescent="0.25">
      <c r="A98" s="459">
        <v>81</v>
      </c>
      <c r="B98" s="418" t="s">
        <v>218</v>
      </c>
      <c r="C98" s="432" t="s">
        <v>219</v>
      </c>
      <c r="D98" s="823">
        <v>2003</v>
      </c>
      <c r="E98" s="423">
        <v>286</v>
      </c>
      <c r="F98" s="423"/>
      <c r="G98" s="820">
        <f t="shared" si="5"/>
        <v>286</v>
      </c>
      <c r="H98" s="821">
        <f>D98+G98</f>
        <v>2289</v>
      </c>
      <c r="I98" s="822">
        <v>3300</v>
      </c>
    </row>
    <row r="99" spans="1:9" x14ac:dyDescent="0.25">
      <c r="A99" s="459">
        <v>82</v>
      </c>
      <c r="B99" s="418" t="s">
        <v>220</v>
      </c>
      <c r="C99" s="432" t="s">
        <v>221</v>
      </c>
      <c r="D99" s="823">
        <v>3510</v>
      </c>
      <c r="E99" s="423">
        <v>350</v>
      </c>
      <c r="F99" s="423"/>
      <c r="G99" s="820">
        <f t="shared" si="5"/>
        <v>350</v>
      </c>
      <c r="H99" s="821">
        <f>D99+G99</f>
        <v>3860</v>
      </c>
      <c r="I99" s="822">
        <v>3300</v>
      </c>
    </row>
    <row r="100" spans="1:9" x14ac:dyDescent="0.25">
      <c r="A100" s="459">
        <v>83</v>
      </c>
      <c r="B100" s="727" t="s">
        <v>222</v>
      </c>
      <c r="C100" s="432" t="s">
        <v>223</v>
      </c>
      <c r="D100" s="823"/>
      <c r="E100" s="423"/>
      <c r="F100" s="423"/>
      <c r="G100" s="820"/>
      <c r="H100" s="821"/>
      <c r="I100" s="822">
        <v>1650</v>
      </c>
    </row>
    <row r="101" spans="1:9" x14ac:dyDescent="0.25">
      <c r="A101" s="459">
        <v>84</v>
      </c>
      <c r="B101" s="418" t="s">
        <v>224</v>
      </c>
      <c r="C101" s="432" t="s">
        <v>225</v>
      </c>
      <c r="D101" s="823">
        <v>922</v>
      </c>
      <c r="E101" s="423"/>
      <c r="F101" s="423"/>
      <c r="G101" s="820"/>
      <c r="H101" s="821">
        <f>D101+G101</f>
        <v>922</v>
      </c>
      <c r="I101" s="822">
        <v>3300</v>
      </c>
    </row>
    <row r="102" spans="1:9" x14ac:dyDescent="0.25">
      <c r="A102" s="459">
        <v>85</v>
      </c>
      <c r="B102" s="418" t="s">
        <v>226</v>
      </c>
      <c r="C102" s="432" t="s">
        <v>227</v>
      </c>
      <c r="D102" s="823"/>
      <c r="E102" s="423"/>
      <c r="F102" s="423"/>
      <c r="G102" s="820"/>
      <c r="H102" s="821"/>
      <c r="I102" s="822">
        <v>3300</v>
      </c>
    </row>
    <row r="103" spans="1:9" x14ac:dyDescent="0.25">
      <c r="A103" s="459">
        <v>86</v>
      </c>
      <c r="B103" s="421" t="s">
        <v>32</v>
      </c>
      <c r="C103" s="432" t="s">
        <v>33</v>
      </c>
      <c r="D103" s="823">
        <v>3081</v>
      </c>
      <c r="E103" s="423">
        <v>372</v>
      </c>
      <c r="F103" s="423">
        <v>132</v>
      </c>
      <c r="G103" s="820">
        <f t="shared" si="5"/>
        <v>504</v>
      </c>
      <c r="H103" s="821">
        <f>D103+G103</f>
        <v>3585</v>
      </c>
      <c r="I103" s="822">
        <v>3630</v>
      </c>
    </row>
    <row r="104" spans="1:9" x14ac:dyDescent="0.25">
      <c r="A104" s="459">
        <v>87</v>
      </c>
      <c r="B104" s="727" t="s">
        <v>228</v>
      </c>
      <c r="C104" s="432" t="s">
        <v>229</v>
      </c>
      <c r="D104" s="823">
        <v>687</v>
      </c>
      <c r="E104" s="423"/>
      <c r="F104" s="423"/>
      <c r="G104" s="820"/>
      <c r="H104" s="821">
        <f>D104+G104</f>
        <v>687</v>
      </c>
      <c r="I104" s="822">
        <v>3300</v>
      </c>
    </row>
    <row r="105" spans="1:9" x14ac:dyDescent="0.25">
      <c r="A105" s="459">
        <v>88</v>
      </c>
      <c r="B105" s="418" t="s">
        <v>230</v>
      </c>
      <c r="C105" s="432" t="s">
        <v>231</v>
      </c>
      <c r="D105" s="823">
        <v>2534</v>
      </c>
      <c r="E105" s="423">
        <v>389</v>
      </c>
      <c r="F105" s="423"/>
      <c r="G105" s="820">
        <f t="shared" si="5"/>
        <v>389</v>
      </c>
      <c r="H105" s="821">
        <f>D105+G105</f>
        <v>2923</v>
      </c>
      <c r="I105" s="822">
        <v>3300</v>
      </c>
    </row>
    <row r="106" spans="1:9" x14ac:dyDescent="0.25">
      <c r="A106" s="459">
        <v>89</v>
      </c>
      <c r="B106" s="418" t="s">
        <v>232</v>
      </c>
      <c r="C106" s="432" t="s">
        <v>233</v>
      </c>
      <c r="D106" s="823"/>
      <c r="E106" s="423"/>
      <c r="F106" s="423"/>
      <c r="G106" s="820"/>
      <c r="H106" s="821"/>
      <c r="I106" s="822"/>
    </row>
    <row r="107" spans="1:9" x14ac:dyDescent="0.25">
      <c r="A107" s="459">
        <v>90</v>
      </c>
      <c r="B107" s="418" t="s">
        <v>234</v>
      </c>
      <c r="C107" s="432" t="s">
        <v>235</v>
      </c>
      <c r="D107" s="823"/>
      <c r="E107" s="423"/>
      <c r="F107" s="423"/>
      <c r="G107" s="820"/>
      <c r="H107" s="821"/>
      <c r="I107" s="822"/>
    </row>
    <row r="108" spans="1:9" x14ac:dyDescent="0.25">
      <c r="A108" s="459">
        <v>91</v>
      </c>
      <c r="B108" s="727" t="s">
        <v>236</v>
      </c>
      <c r="C108" s="432" t="s">
        <v>237</v>
      </c>
      <c r="D108" s="823"/>
      <c r="E108" s="423"/>
      <c r="F108" s="423"/>
      <c r="G108" s="820"/>
      <c r="H108" s="821"/>
      <c r="I108" s="822"/>
    </row>
    <row r="109" spans="1:9" x14ac:dyDescent="0.25">
      <c r="A109" s="459">
        <v>92</v>
      </c>
      <c r="B109" s="727" t="s">
        <v>238</v>
      </c>
      <c r="C109" s="432" t="s">
        <v>239</v>
      </c>
      <c r="D109" s="823"/>
      <c r="E109" s="423"/>
      <c r="F109" s="423"/>
      <c r="G109" s="820"/>
      <c r="H109" s="821"/>
      <c r="I109" s="822"/>
    </row>
    <row r="110" spans="1:9" ht="15.75" customHeight="1" x14ac:dyDescent="0.25">
      <c r="A110" s="459">
        <v>93</v>
      </c>
      <c r="B110" s="727" t="s">
        <v>240</v>
      </c>
      <c r="C110" s="432" t="s">
        <v>241</v>
      </c>
      <c r="D110" s="823"/>
      <c r="E110" s="423"/>
      <c r="F110" s="423"/>
      <c r="G110" s="820"/>
      <c r="H110" s="821"/>
      <c r="I110" s="822"/>
    </row>
    <row r="111" spans="1:9" x14ac:dyDescent="0.25">
      <c r="A111" s="459">
        <v>94</v>
      </c>
      <c r="B111" s="727" t="s">
        <v>242</v>
      </c>
      <c r="C111" s="432" t="s">
        <v>243</v>
      </c>
      <c r="D111" s="823"/>
      <c r="E111" s="423"/>
      <c r="F111" s="423"/>
      <c r="G111" s="820"/>
      <c r="H111" s="821"/>
      <c r="I111" s="822"/>
    </row>
    <row r="112" spans="1:9" x14ac:dyDescent="0.25">
      <c r="A112" s="459">
        <v>95</v>
      </c>
      <c r="B112" s="727" t="s">
        <v>244</v>
      </c>
      <c r="C112" s="432" t="s">
        <v>245</v>
      </c>
      <c r="D112" s="823"/>
      <c r="E112" s="423"/>
      <c r="F112" s="423"/>
      <c r="G112" s="820"/>
      <c r="H112" s="821"/>
      <c r="I112" s="822"/>
    </row>
    <row r="113" spans="1:9" x14ac:dyDescent="0.25">
      <c r="A113" s="459">
        <v>96</v>
      </c>
      <c r="B113" s="376" t="s">
        <v>246</v>
      </c>
      <c r="C113" s="323" t="s">
        <v>247</v>
      </c>
      <c r="D113" s="823"/>
      <c r="E113" s="423"/>
      <c r="F113" s="423"/>
      <c r="G113" s="820"/>
      <c r="H113" s="821"/>
      <c r="I113" s="822"/>
    </row>
    <row r="114" spans="1:9" x14ac:dyDescent="0.25">
      <c r="A114" s="459">
        <v>97</v>
      </c>
      <c r="B114" s="421" t="s">
        <v>248</v>
      </c>
      <c r="C114" s="432" t="s">
        <v>249</v>
      </c>
      <c r="D114" s="823"/>
      <c r="E114" s="423"/>
      <c r="F114" s="423"/>
      <c r="G114" s="820"/>
      <c r="H114" s="821"/>
      <c r="I114" s="822"/>
    </row>
    <row r="115" spans="1:9" x14ac:dyDescent="0.25">
      <c r="A115" s="459">
        <v>98</v>
      </c>
      <c r="B115" s="727" t="s">
        <v>250</v>
      </c>
      <c r="C115" s="432" t="s">
        <v>251</v>
      </c>
      <c r="D115" s="823"/>
      <c r="E115" s="423"/>
      <c r="F115" s="423"/>
      <c r="G115" s="820"/>
      <c r="H115" s="821"/>
      <c r="I115" s="822"/>
    </row>
    <row r="116" spans="1:9" ht="15" customHeight="1" x14ac:dyDescent="0.25">
      <c r="A116" s="459">
        <v>99</v>
      </c>
      <c r="B116" s="418" t="s">
        <v>252</v>
      </c>
      <c r="C116" s="437" t="s">
        <v>253</v>
      </c>
      <c r="D116" s="823"/>
      <c r="E116" s="423"/>
      <c r="F116" s="423"/>
      <c r="G116" s="820"/>
      <c r="H116" s="821"/>
      <c r="I116" s="822"/>
    </row>
    <row r="117" spans="1:9" x14ac:dyDescent="0.25">
      <c r="A117" s="459">
        <v>100</v>
      </c>
      <c r="B117" s="727" t="s">
        <v>254</v>
      </c>
      <c r="C117" s="432" t="s">
        <v>255</v>
      </c>
      <c r="D117" s="823"/>
      <c r="E117" s="423"/>
      <c r="F117" s="423"/>
      <c r="G117" s="820"/>
      <c r="H117" s="821"/>
      <c r="I117" s="822"/>
    </row>
    <row r="118" spans="1:9" x14ac:dyDescent="0.25">
      <c r="A118" s="459">
        <v>101</v>
      </c>
      <c r="B118" s="421" t="s">
        <v>256</v>
      </c>
      <c r="C118" s="432" t="s">
        <v>257</v>
      </c>
      <c r="D118" s="823"/>
      <c r="E118" s="423"/>
      <c r="F118" s="423"/>
      <c r="G118" s="820"/>
      <c r="H118" s="821"/>
      <c r="I118" s="822"/>
    </row>
    <row r="119" spans="1:9" x14ac:dyDescent="0.25">
      <c r="A119" s="459">
        <v>102</v>
      </c>
      <c r="B119" s="418" t="s">
        <v>258</v>
      </c>
      <c r="C119" s="432" t="s">
        <v>259</v>
      </c>
      <c r="D119" s="823"/>
      <c r="E119" s="423"/>
      <c r="F119" s="423"/>
      <c r="G119" s="820"/>
      <c r="H119" s="821"/>
      <c r="I119" s="822"/>
    </row>
    <row r="120" spans="1:9" x14ac:dyDescent="0.25">
      <c r="A120" s="459">
        <v>103</v>
      </c>
      <c r="B120" s="727" t="s">
        <v>543</v>
      </c>
      <c r="C120" s="828" t="s">
        <v>544</v>
      </c>
      <c r="D120" s="823"/>
      <c r="E120" s="423"/>
      <c r="F120" s="423"/>
      <c r="G120" s="820"/>
      <c r="H120" s="821"/>
      <c r="I120" s="822"/>
    </row>
    <row r="121" spans="1:9" x14ac:dyDescent="0.25">
      <c r="A121" s="459">
        <v>104</v>
      </c>
      <c r="B121" s="421" t="s">
        <v>260</v>
      </c>
      <c r="C121" s="432" t="s">
        <v>261</v>
      </c>
      <c r="D121" s="823"/>
      <c r="E121" s="423"/>
      <c r="F121" s="423"/>
      <c r="G121" s="820"/>
      <c r="H121" s="821"/>
      <c r="I121" s="822"/>
    </row>
    <row r="122" spans="1:9" x14ac:dyDescent="0.25">
      <c r="A122" s="459">
        <v>105</v>
      </c>
      <c r="B122" s="727" t="s">
        <v>262</v>
      </c>
      <c r="C122" s="432" t="s">
        <v>263</v>
      </c>
      <c r="D122" s="823"/>
      <c r="E122" s="423"/>
      <c r="F122" s="423"/>
      <c r="G122" s="820"/>
      <c r="H122" s="821"/>
      <c r="I122" s="822"/>
    </row>
    <row r="123" spans="1:9" ht="25.5" x14ac:dyDescent="0.25">
      <c r="A123" s="459">
        <v>106</v>
      </c>
      <c r="B123" s="727" t="s">
        <v>264</v>
      </c>
      <c r="C123" s="438" t="s">
        <v>265</v>
      </c>
      <c r="D123" s="823"/>
      <c r="E123" s="423"/>
      <c r="F123" s="423"/>
      <c r="G123" s="820"/>
      <c r="H123" s="821"/>
      <c r="I123" s="822"/>
    </row>
    <row r="124" spans="1:9" x14ac:dyDescent="0.25">
      <c r="A124" s="459">
        <v>107</v>
      </c>
      <c r="B124" s="727" t="s">
        <v>266</v>
      </c>
      <c r="C124" s="432" t="s">
        <v>267</v>
      </c>
      <c r="D124" s="823"/>
      <c r="E124" s="423"/>
      <c r="F124" s="423"/>
      <c r="G124" s="820"/>
      <c r="H124" s="821"/>
      <c r="I124" s="822"/>
    </row>
    <row r="125" spans="1:9" x14ac:dyDescent="0.25">
      <c r="A125" s="459">
        <v>108</v>
      </c>
      <c r="B125" s="727" t="s">
        <v>268</v>
      </c>
      <c r="C125" s="432" t="s">
        <v>269</v>
      </c>
      <c r="D125" s="823">
        <v>2833</v>
      </c>
      <c r="E125" s="423">
        <v>841</v>
      </c>
      <c r="F125" s="423"/>
      <c r="G125" s="820">
        <f t="shared" si="5"/>
        <v>841</v>
      </c>
      <c r="H125" s="821">
        <f>D125+G125</f>
        <v>3674</v>
      </c>
      <c r="I125" s="822">
        <v>13200</v>
      </c>
    </row>
    <row r="126" spans="1:9" x14ac:dyDescent="0.25">
      <c r="A126" s="459">
        <v>109</v>
      </c>
      <c r="B126" s="727" t="s">
        <v>270</v>
      </c>
      <c r="C126" s="432" t="s">
        <v>271</v>
      </c>
      <c r="D126" s="823"/>
      <c r="E126" s="423"/>
      <c r="F126" s="423"/>
      <c r="G126" s="820"/>
      <c r="H126" s="821"/>
      <c r="I126" s="822"/>
    </row>
    <row r="127" spans="1:9" x14ac:dyDescent="0.25">
      <c r="A127" s="459">
        <v>110</v>
      </c>
      <c r="B127" s="418" t="s">
        <v>272</v>
      </c>
      <c r="C127" s="432" t="s">
        <v>273</v>
      </c>
      <c r="D127" s="823"/>
      <c r="E127" s="423"/>
      <c r="F127" s="423"/>
      <c r="G127" s="820"/>
      <c r="H127" s="821"/>
      <c r="I127" s="822"/>
    </row>
    <row r="128" spans="1:9" x14ac:dyDescent="0.25">
      <c r="A128" s="459">
        <v>111</v>
      </c>
      <c r="B128" s="418" t="s">
        <v>274</v>
      </c>
      <c r="C128" s="432" t="s">
        <v>275</v>
      </c>
      <c r="D128" s="823"/>
      <c r="E128" s="423"/>
      <c r="F128" s="423"/>
      <c r="G128" s="820"/>
      <c r="H128" s="821"/>
      <c r="I128" s="822"/>
    </row>
    <row r="129" spans="1:9" x14ac:dyDescent="0.25">
      <c r="A129" s="459">
        <v>112</v>
      </c>
      <c r="B129" s="418" t="s">
        <v>276</v>
      </c>
      <c r="C129" s="432" t="s">
        <v>277</v>
      </c>
      <c r="D129" s="823"/>
      <c r="E129" s="423"/>
      <c r="F129" s="423"/>
      <c r="G129" s="820"/>
      <c r="H129" s="821"/>
      <c r="I129" s="822"/>
    </row>
    <row r="130" spans="1:9" x14ac:dyDescent="0.25">
      <c r="A130" s="459">
        <v>113</v>
      </c>
      <c r="B130" s="727" t="s">
        <v>278</v>
      </c>
      <c r="C130" s="432" t="s">
        <v>279</v>
      </c>
      <c r="D130" s="823"/>
      <c r="E130" s="423"/>
      <c r="F130" s="423"/>
      <c r="G130" s="820"/>
      <c r="H130" s="821"/>
      <c r="I130" s="822"/>
    </row>
    <row r="131" spans="1:9" x14ac:dyDescent="0.25">
      <c r="A131" s="459">
        <v>114</v>
      </c>
      <c r="B131" s="727" t="s">
        <v>280</v>
      </c>
      <c r="C131" s="432" t="s">
        <v>281</v>
      </c>
      <c r="D131" s="823"/>
      <c r="E131" s="423"/>
      <c r="F131" s="423"/>
      <c r="G131" s="820"/>
      <c r="H131" s="821"/>
      <c r="I131" s="822"/>
    </row>
    <row r="132" spans="1:9" x14ac:dyDescent="0.25">
      <c r="A132" s="459">
        <v>115</v>
      </c>
      <c r="B132" s="727" t="s">
        <v>282</v>
      </c>
      <c r="C132" s="432" t="s">
        <v>791</v>
      </c>
      <c r="D132" s="823">
        <v>2671</v>
      </c>
      <c r="E132" s="423"/>
      <c r="F132" s="423"/>
      <c r="G132" s="820"/>
      <c r="H132" s="821">
        <f>D132+G132</f>
        <v>2671</v>
      </c>
      <c r="I132" s="822">
        <v>23100</v>
      </c>
    </row>
    <row r="133" spans="1:9" x14ac:dyDescent="0.25">
      <c r="A133" s="459">
        <v>116</v>
      </c>
      <c r="B133" s="418" t="s">
        <v>283</v>
      </c>
      <c r="C133" s="432" t="s">
        <v>284</v>
      </c>
      <c r="D133" s="823">
        <v>2730</v>
      </c>
      <c r="E133" s="423"/>
      <c r="F133" s="423"/>
      <c r="G133" s="820"/>
      <c r="H133" s="821">
        <f>D133+G133</f>
        <v>2730</v>
      </c>
      <c r="I133" s="822"/>
    </row>
    <row r="134" spans="1:9" x14ac:dyDescent="0.25">
      <c r="A134" s="459">
        <v>117</v>
      </c>
      <c r="B134" s="421" t="s">
        <v>285</v>
      </c>
      <c r="C134" s="432" t="s">
        <v>752</v>
      </c>
      <c r="D134" s="823">
        <v>4239</v>
      </c>
      <c r="E134" s="423">
        <v>472</v>
      </c>
      <c r="F134" s="423"/>
      <c r="G134" s="820">
        <f t="shared" si="5"/>
        <v>472</v>
      </c>
      <c r="H134" s="821">
        <f>D134+G134</f>
        <v>4711</v>
      </c>
      <c r="I134" s="822">
        <f>0+5500</f>
        <v>5500</v>
      </c>
    </row>
    <row r="135" spans="1:9" x14ac:dyDescent="0.25">
      <c r="A135" s="459">
        <v>118</v>
      </c>
      <c r="B135" s="727" t="s">
        <v>286</v>
      </c>
      <c r="C135" s="432" t="s">
        <v>287</v>
      </c>
      <c r="D135" s="823"/>
      <c r="E135" s="819"/>
      <c r="F135" s="819"/>
      <c r="G135" s="820"/>
      <c r="H135" s="821"/>
      <c r="I135" s="822">
        <v>9900</v>
      </c>
    </row>
    <row r="136" spans="1:9" x14ac:dyDescent="0.25">
      <c r="A136" s="459">
        <v>119</v>
      </c>
      <c r="B136" s="418" t="s">
        <v>288</v>
      </c>
      <c r="C136" s="432" t="s">
        <v>289</v>
      </c>
      <c r="D136" s="823"/>
      <c r="E136" s="819"/>
      <c r="F136" s="819"/>
      <c r="G136" s="820"/>
      <c r="H136" s="821"/>
      <c r="I136" s="822"/>
    </row>
    <row r="137" spans="1:9" x14ac:dyDescent="0.25">
      <c r="A137" s="459">
        <v>120</v>
      </c>
      <c r="B137" s="727" t="s">
        <v>290</v>
      </c>
      <c r="C137" s="432" t="s">
        <v>291</v>
      </c>
      <c r="D137" s="823"/>
      <c r="E137" s="819"/>
      <c r="F137" s="819"/>
      <c r="G137" s="820"/>
      <c r="H137" s="821"/>
      <c r="I137" s="822"/>
    </row>
    <row r="138" spans="1:9" x14ac:dyDescent="0.25">
      <c r="A138" s="459">
        <v>121</v>
      </c>
      <c r="B138" s="423" t="s">
        <v>292</v>
      </c>
      <c r="C138" s="439" t="s">
        <v>293</v>
      </c>
      <c r="D138" s="823"/>
      <c r="E138" s="819"/>
      <c r="F138" s="819"/>
      <c r="G138" s="820"/>
      <c r="H138" s="821"/>
      <c r="I138" s="822"/>
    </row>
    <row r="139" spans="1:9" x14ac:dyDescent="0.25">
      <c r="A139" s="459">
        <v>122</v>
      </c>
      <c r="B139" s="424" t="s">
        <v>294</v>
      </c>
      <c r="C139" s="439" t="s">
        <v>295</v>
      </c>
      <c r="D139" s="823"/>
      <c r="E139" s="819"/>
      <c r="F139" s="819"/>
      <c r="G139" s="820"/>
      <c r="H139" s="821"/>
      <c r="I139" s="822"/>
    </row>
    <row r="140" spans="1:9" x14ac:dyDescent="0.2">
      <c r="A140" s="459">
        <v>123</v>
      </c>
      <c r="B140" s="423" t="s">
        <v>296</v>
      </c>
      <c r="C140" s="829" t="s">
        <v>461</v>
      </c>
      <c r="D140" s="823"/>
      <c r="E140" s="819"/>
      <c r="F140" s="819"/>
      <c r="G140" s="820"/>
      <c r="H140" s="821"/>
      <c r="I140" s="822">
        <v>1980</v>
      </c>
    </row>
    <row r="141" spans="1:9" x14ac:dyDescent="0.25">
      <c r="A141" s="459">
        <v>124</v>
      </c>
      <c r="B141" s="388" t="s">
        <v>298</v>
      </c>
      <c r="C141" s="389" t="s">
        <v>299</v>
      </c>
      <c r="D141" s="823"/>
      <c r="E141" s="819"/>
      <c r="F141" s="819"/>
      <c r="G141" s="820"/>
      <c r="H141" s="821"/>
      <c r="I141" s="822"/>
    </row>
    <row r="142" spans="1:9" x14ac:dyDescent="0.25">
      <c r="A142" s="459">
        <v>125</v>
      </c>
      <c r="B142" s="329" t="s">
        <v>300</v>
      </c>
      <c r="C142" s="389" t="s">
        <v>301</v>
      </c>
      <c r="D142" s="823"/>
      <c r="E142" s="819">
        <v>2400</v>
      </c>
      <c r="F142" s="819">
        <v>800</v>
      </c>
      <c r="G142" s="820">
        <f t="shared" ref="G142" si="6">E142+F142</f>
        <v>3200</v>
      </c>
      <c r="H142" s="821">
        <f>D142+G142</f>
        <v>3200</v>
      </c>
      <c r="I142" s="822">
        <v>19800</v>
      </c>
    </row>
    <row r="143" spans="1:9" x14ac:dyDescent="0.25">
      <c r="A143" s="459">
        <v>126</v>
      </c>
      <c r="B143" s="329" t="s">
        <v>302</v>
      </c>
      <c r="C143" s="389" t="s">
        <v>303</v>
      </c>
      <c r="D143" s="830"/>
      <c r="E143" s="830"/>
      <c r="F143" s="830"/>
      <c r="G143" s="820"/>
      <c r="H143" s="821"/>
      <c r="I143" s="822"/>
    </row>
    <row r="144" spans="1:9" ht="13.5" thickBot="1" x14ac:dyDescent="0.3">
      <c r="A144" s="326">
        <v>127</v>
      </c>
      <c r="B144" s="391" t="s">
        <v>304</v>
      </c>
      <c r="C144" s="465" t="s">
        <v>305</v>
      </c>
      <c r="D144" s="831"/>
      <c r="E144" s="831"/>
      <c r="F144" s="831"/>
      <c r="G144" s="832"/>
      <c r="H144" s="833"/>
      <c r="I144" s="834"/>
    </row>
    <row r="145" spans="3:9" s="837" customFormat="1" x14ac:dyDescent="0.25">
      <c r="C145" s="835"/>
      <c r="D145" s="836"/>
      <c r="E145" s="836"/>
      <c r="F145" s="836"/>
      <c r="G145" s="836"/>
      <c r="H145" s="836"/>
      <c r="I145" s="836"/>
    </row>
    <row r="146" spans="3:9" s="836" customFormat="1" x14ac:dyDescent="0.25">
      <c r="C146" s="838"/>
    </row>
    <row r="147" spans="3:9" s="836" customFormat="1" x14ac:dyDescent="0.25">
      <c r="C147" s="838"/>
    </row>
    <row r="148" spans="3:9" s="836" customFormat="1" x14ac:dyDescent="0.25">
      <c r="C148" s="838"/>
      <c r="H148" s="839"/>
    </row>
  </sheetData>
  <mergeCells count="17">
    <mergeCell ref="A82:A83"/>
    <mergeCell ref="I4:I5"/>
    <mergeCell ref="A6:C6"/>
    <mergeCell ref="A87:A90"/>
    <mergeCell ref="B87:B90"/>
    <mergeCell ref="A31:A32"/>
    <mergeCell ref="A69:A71"/>
    <mergeCell ref="A72:A75"/>
    <mergeCell ref="A79:A80"/>
    <mergeCell ref="A1:I1"/>
    <mergeCell ref="A3:A5"/>
    <mergeCell ref="B3:B5"/>
    <mergeCell ref="C3:C5"/>
    <mergeCell ref="D3:H3"/>
    <mergeCell ref="D4:D5"/>
    <mergeCell ref="E4:G4"/>
    <mergeCell ref="H4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53"/>
  <sheetViews>
    <sheetView zoomScale="90" zoomScaleNormal="90" workbookViewId="0">
      <pane xSplit="3" ySplit="7" topLeftCell="I125" activePane="bottomRight" state="frozen"/>
      <selection pane="topRight" activeCell="D1" sqref="D1"/>
      <selection pane="bottomLeft" activeCell="A8" sqref="A8"/>
      <selection pane="bottomRight" activeCell="C134" sqref="C134"/>
    </sheetView>
  </sheetViews>
  <sheetFormatPr defaultRowHeight="12.75" x14ac:dyDescent="0.25"/>
  <cols>
    <col min="1" max="1" width="5.85546875" style="397" customWidth="1"/>
    <col min="2" max="2" width="9.28515625" style="397" bestFit="1" customWidth="1"/>
    <col min="3" max="3" width="35.7109375" style="398" customWidth="1"/>
    <col min="4" max="4" width="17.28515625" style="399" customWidth="1"/>
    <col min="5" max="5" width="14.85546875" style="399" customWidth="1"/>
    <col min="6" max="6" width="12" style="399" customWidth="1"/>
    <col min="7" max="9" width="11.5703125" style="397" customWidth="1"/>
    <col min="10" max="10" width="11.42578125" style="399" customWidth="1"/>
    <col min="11" max="11" width="11.42578125" style="397" customWidth="1"/>
    <col min="12" max="16384" width="9.140625" style="397"/>
  </cols>
  <sheetData>
    <row r="1" spans="1:11" ht="39.75" customHeight="1" x14ac:dyDescent="0.25">
      <c r="A1" s="1240" t="s">
        <v>708</v>
      </c>
      <c r="B1" s="1306"/>
      <c r="C1" s="1306"/>
      <c r="D1" s="1306"/>
      <c r="E1" s="1306"/>
      <c r="F1" s="1306"/>
      <c r="G1" s="1307"/>
      <c r="H1" s="1307"/>
      <c r="I1" s="1307"/>
      <c r="J1" s="1307"/>
      <c r="K1" s="1307"/>
    </row>
    <row r="2" spans="1:11" ht="13.5" thickBot="1" x14ac:dyDescent="0.3"/>
    <row r="3" spans="1:11" s="460" customFormat="1" ht="11.25" customHeight="1" x14ac:dyDescent="0.25">
      <c r="A3" s="1337" t="s">
        <v>0</v>
      </c>
      <c r="B3" s="1340" t="s">
        <v>693</v>
      </c>
      <c r="C3" s="1343" t="s">
        <v>2</v>
      </c>
      <c r="D3" s="1326" t="s">
        <v>694</v>
      </c>
      <c r="E3" s="1327"/>
      <c r="F3" s="1308" t="s">
        <v>695</v>
      </c>
      <c r="G3" s="1309"/>
      <c r="H3" s="1310"/>
      <c r="I3" s="1311"/>
      <c r="J3" s="1316" t="s">
        <v>696</v>
      </c>
      <c r="K3" s="1317"/>
    </row>
    <row r="4" spans="1:11" s="460" customFormat="1" ht="23.25" customHeight="1" x14ac:dyDescent="0.25">
      <c r="A4" s="1338"/>
      <c r="B4" s="1341"/>
      <c r="C4" s="1344"/>
      <c r="D4" s="1328"/>
      <c r="E4" s="1329"/>
      <c r="F4" s="1312"/>
      <c r="G4" s="1313"/>
      <c r="H4" s="1314"/>
      <c r="I4" s="1315"/>
      <c r="J4" s="1318"/>
      <c r="K4" s="1315"/>
    </row>
    <row r="5" spans="1:11" s="460" customFormat="1" ht="21.75" customHeight="1" x14ac:dyDescent="0.25">
      <c r="A5" s="1338"/>
      <c r="B5" s="1341"/>
      <c r="C5" s="1344"/>
      <c r="D5" s="1330" t="s">
        <v>441</v>
      </c>
      <c r="E5" s="1332" t="s">
        <v>697</v>
      </c>
      <c r="F5" s="1319" t="s">
        <v>720</v>
      </c>
      <c r="G5" s="1318"/>
      <c r="H5" s="1320" t="s">
        <v>721</v>
      </c>
      <c r="I5" s="1321"/>
      <c r="J5" s="1322" t="s">
        <v>700</v>
      </c>
      <c r="K5" s="1324" t="s">
        <v>701</v>
      </c>
    </row>
    <row r="6" spans="1:11" s="460" customFormat="1" ht="38.25" customHeight="1" thickBot="1" x14ac:dyDescent="0.3">
      <c r="A6" s="1339"/>
      <c r="B6" s="1342"/>
      <c r="C6" s="1345"/>
      <c r="D6" s="1331"/>
      <c r="E6" s="1333"/>
      <c r="F6" s="461" t="s">
        <v>698</v>
      </c>
      <c r="G6" s="462" t="s">
        <v>699</v>
      </c>
      <c r="H6" s="463" t="s">
        <v>698</v>
      </c>
      <c r="I6" s="401" t="s">
        <v>699</v>
      </c>
      <c r="J6" s="1323"/>
      <c r="K6" s="1325"/>
    </row>
    <row r="7" spans="1:11" ht="12.75" customHeight="1" x14ac:dyDescent="0.25">
      <c r="A7" s="1334" t="s">
        <v>44</v>
      </c>
      <c r="B7" s="1335"/>
      <c r="C7" s="1336"/>
      <c r="D7" s="413">
        <f t="shared" ref="D7:K7" si="0">SUM(D8:D145)-D88</f>
        <v>428173</v>
      </c>
      <c r="E7" s="414">
        <f t="shared" si="0"/>
        <v>94934</v>
      </c>
      <c r="F7" s="415">
        <f t="shared" si="0"/>
        <v>17272</v>
      </c>
      <c r="G7" s="414">
        <f t="shared" si="0"/>
        <v>172718</v>
      </c>
      <c r="H7" s="458">
        <f t="shared" si="0"/>
        <v>525</v>
      </c>
      <c r="I7" s="416">
        <f t="shared" si="0"/>
        <v>24674</v>
      </c>
      <c r="J7" s="417">
        <f t="shared" si="0"/>
        <v>1525</v>
      </c>
      <c r="K7" s="403">
        <f t="shared" si="0"/>
        <v>18290</v>
      </c>
    </row>
    <row r="8" spans="1:11" x14ac:dyDescent="0.25">
      <c r="A8" s="459">
        <v>1</v>
      </c>
      <c r="B8" s="418" t="s">
        <v>54</v>
      </c>
      <c r="C8" s="432" t="s">
        <v>55</v>
      </c>
      <c r="D8" s="405">
        <v>1884</v>
      </c>
      <c r="E8" s="419">
        <v>464</v>
      </c>
      <c r="F8" s="405"/>
      <c r="G8" s="406"/>
      <c r="H8" s="406"/>
      <c r="I8" s="409"/>
      <c r="J8" s="420"/>
      <c r="K8" s="409"/>
    </row>
    <row r="9" spans="1:11" x14ac:dyDescent="0.25">
      <c r="A9" s="459">
        <v>2</v>
      </c>
      <c r="B9" s="421" t="s">
        <v>56</v>
      </c>
      <c r="C9" s="432" t="s">
        <v>57</v>
      </c>
      <c r="D9" s="405">
        <v>1928</v>
      </c>
      <c r="E9" s="409">
        <v>479</v>
      </c>
      <c r="F9" s="405"/>
      <c r="G9" s="406"/>
      <c r="H9" s="406"/>
      <c r="I9" s="409"/>
      <c r="J9" s="420"/>
      <c r="K9" s="409"/>
    </row>
    <row r="10" spans="1:11" x14ac:dyDescent="0.25">
      <c r="A10" s="459">
        <v>3</v>
      </c>
      <c r="B10" s="457" t="s">
        <v>16</v>
      </c>
      <c r="C10" s="432" t="s">
        <v>17</v>
      </c>
      <c r="D10" s="405">
        <v>6725</v>
      </c>
      <c r="E10" s="409">
        <v>2148</v>
      </c>
      <c r="F10" s="405">
        <v>575</v>
      </c>
      <c r="G10" s="406">
        <v>5746</v>
      </c>
      <c r="H10" s="406"/>
      <c r="I10" s="409"/>
      <c r="J10" s="420">
        <v>181</v>
      </c>
      <c r="K10" s="409">
        <v>2170</v>
      </c>
    </row>
    <row r="11" spans="1:11" x14ac:dyDescent="0.25">
      <c r="A11" s="459">
        <v>4</v>
      </c>
      <c r="B11" s="418" t="s">
        <v>58</v>
      </c>
      <c r="C11" s="432" t="s">
        <v>59</v>
      </c>
      <c r="D11" s="405">
        <v>2250</v>
      </c>
      <c r="E11" s="409">
        <v>647</v>
      </c>
      <c r="F11" s="405"/>
      <c r="G11" s="406"/>
      <c r="H11" s="406"/>
      <c r="I11" s="409"/>
      <c r="J11" s="420"/>
      <c r="K11" s="409"/>
    </row>
    <row r="12" spans="1:11" ht="12" customHeight="1" x14ac:dyDescent="0.25">
      <c r="A12" s="459">
        <v>5</v>
      </c>
      <c r="B12" s="418" t="s">
        <v>60</v>
      </c>
      <c r="C12" s="432" t="s">
        <v>61</v>
      </c>
      <c r="D12" s="405">
        <v>2243</v>
      </c>
      <c r="E12" s="409">
        <v>679</v>
      </c>
      <c r="F12" s="405"/>
      <c r="G12" s="406"/>
      <c r="H12" s="406"/>
      <c r="I12" s="409"/>
      <c r="J12" s="420"/>
      <c r="K12" s="409"/>
    </row>
    <row r="13" spans="1:11" x14ac:dyDescent="0.25">
      <c r="A13" s="459">
        <v>6</v>
      </c>
      <c r="B13" s="457" t="s">
        <v>18</v>
      </c>
      <c r="C13" s="432" t="s">
        <v>19</v>
      </c>
      <c r="D13" s="405">
        <v>20167</v>
      </c>
      <c r="E13" s="409">
        <v>1749</v>
      </c>
      <c r="F13" s="405">
        <v>1284</v>
      </c>
      <c r="G13" s="406">
        <v>12844</v>
      </c>
      <c r="H13" s="406"/>
      <c r="I13" s="409"/>
      <c r="J13" s="420">
        <v>129</v>
      </c>
      <c r="K13" s="409">
        <v>1550</v>
      </c>
    </row>
    <row r="14" spans="1:11" x14ac:dyDescent="0.25">
      <c r="A14" s="459">
        <v>7</v>
      </c>
      <c r="B14" s="418" t="s">
        <v>62</v>
      </c>
      <c r="C14" s="432" t="s">
        <v>63</v>
      </c>
      <c r="D14" s="405">
        <v>6425</v>
      </c>
      <c r="E14" s="409">
        <v>449</v>
      </c>
      <c r="F14" s="405"/>
      <c r="G14" s="406"/>
      <c r="H14" s="406"/>
      <c r="I14" s="409"/>
      <c r="J14" s="420"/>
      <c r="K14" s="409"/>
    </row>
    <row r="15" spans="1:11" x14ac:dyDescent="0.25">
      <c r="A15" s="459">
        <v>8</v>
      </c>
      <c r="B15" s="457" t="s">
        <v>64</v>
      </c>
      <c r="C15" s="432" t="s">
        <v>65</v>
      </c>
      <c r="D15" s="405">
        <v>2279</v>
      </c>
      <c r="E15" s="409">
        <v>422</v>
      </c>
      <c r="F15" s="405"/>
      <c r="G15" s="406"/>
      <c r="H15" s="406"/>
      <c r="I15" s="409"/>
      <c r="J15" s="420"/>
      <c r="K15" s="409"/>
    </row>
    <row r="16" spans="1:11" x14ac:dyDescent="0.25">
      <c r="A16" s="459">
        <v>9</v>
      </c>
      <c r="B16" s="457" t="s">
        <v>66</v>
      </c>
      <c r="C16" s="432" t="s">
        <v>67</v>
      </c>
      <c r="D16" s="405">
        <v>2494</v>
      </c>
      <c r="E16" s="409">
        <v>990</v>
      </c>
      <c r="F16" s="405">
        <v>203</v>
      </c>
      <c r="G16" s="406">
        <v>2028</v>
      </c>
      <c r="H16" s="406"/>
      <c r="I16" s="409"/>
      <c r="J16" s="420"/>
      <c r="K16" s="409"/>
    </row>
    <row r="17" spans="1:11" x14ac:dyDescent="0.25">
      <c r="A17" s="459">
        <v>10</v>
      </c>
      <c r="B17" s="457" t="s">
        <v>68</v>
      </c>
      <c r="C17" s="432" t="s">
        <v>69</v>
      </c>
      <c r="D17" s="405"/>
      <c r="E17" s="409"/>
      <c r="F17" s="405"/>
      <c r="G17" s="406"/>
      <c r="H17" s="406"/>
      <c r="I17" s="409"/>
      <c r="J17" s="420"/>
      <c r="K17" s="409"/>
    </row>
    <row r="18" spans="1:11" x14ac:dyDescent="0.25">
      <c r="A18" s="459">
        <v>11</v>
      </c>
      <c r="B18" s="457" t="s">
        <v>70</v>
      </c>
      <c r="C18" s="432" t="s">
        <v>71</v>
      </c>
      <c r="D18" s="405">
        <v>2230</v>
      </c>
      <c r="E18" s="409">
        <v>612</v>
      </c>
      <c r="F18" s="405"/>
      <c r="G18" s="406"/>
      <c r="H18" s="406"/>
      <c r="I18" s="409"/>
      <c r="J18" s="420"/>
      <c r="K18" s="409"/>
    </row>
    <row r="19" spans="1:11" x14ac:dyDescent="0.25">
      <c r="A19" s="459">
        <v>12</v>
      </c>
      <c r="B19" s="457" t="s">
        <v>72</v>
      </c>
      <c r="C19" s="432" t="s">
        <v>73</v>
      </c>
      <c r="D19" s="405">
        <v>4613</v>
      </c>
      <c r="E19" s="409">
        <v>830</v>
      </c>
      <c r="F19" s="405"/>
      <c r="G19" s="406"/>
      <c r="H19" s="406"/>
      <c r="I19" s="409"/>
      <c r="J19" s="420"/>
      <c r="K19" s="409"/>
    </row>
    <row r="20" spans="1:11" ht="12" customHeight="1" x14ac:dyDescent="0.25">
      <c r="A20" s="459">
        <v>13</v>
      </c>
      <c r="B20" s="457" t="s">
        <v>74</v>
      </c>
      <c r="C20" s="432" t="s">
        <v>75</v>
      </c>
      <c r="D20" s="405"/>
      <c r="E20" s="409"/>
      <c r="F20" s="405"/>
      <c r="G20" s="406"/>
      <c r="H20" s="406"/>
      <c r="I20" s="409"/>
      <c r="J20" s="420"/>
      <c r="K20" s="409"/>
    </row>
    <row r="21" spans="1:11" ht="12" customHeight="1" x14ac:dyDescent="0.25">
      <c r="A21" s="459">
        <v>14</v>
      </c>
      <c r="B21" s="457" t="s">
        <v>76</v>
      </c>
      <c r="C21" s="432" t="s">
        <v>77</v>
      </c>
      <c r="D21" s="405">
        <v>3164</v>
      </c>
      <c r="E21" s="409">
        <v>343</v>
      </c>
      <c r="F21" s="405"/>
      <c r="G21" s="406"/>
      <c r="H21" s="406"/>
      <c r="I21" s="409"/>
      <c r="J21" s="420"/>
      <c r="K21" s="409"/>
    </row>
    <row r="22" spans="1:11" x14ac:dyDescent="0.25">
      <c r="A22" s="459">
        <v>15</v>
      </c>
      <c r="B22" s="457" t="s">
        <v>78</v>
      </c>
      <c r="C22" s="432" t="s">
        <v>79</v>
      </c>
      <c r="D22" s="405">
        <v>4808</v>
      </c>
      <c r="E22" s="409">
        <v>815</v>
      </c>
      <c r="F22" s="405">
        <v>203</v>
      </c>
      <c r="G22" s="406">
        <v>2028</v>
      </c>
      <c r="H22" s="406"/>
      <c r="I22" s="409"/>
      <c r="J22" s="420"/>
      <c r="K22" s="409"/>
    </row>
    <row r="23" spans="1:11" x14ac:dyDescent="0.25">
      <c r="A23" s="459">
        <v>16</v>
      </c>
      <c r="B23" s="457" t="s">
        <v>80</v>
      </c>
      <c r="C23" s="432" t="s">
        <v>81</v>
      </c>
      <c r="D23" s="405">
        <v>5802</v>
      </c>
      <c r="E23" s="409">
        <v>609</v>
      </c>
      <c r="F23" s="405">
        <v>473</v>
      </c>
      <c r="G23" s="406">
        <v>4732</v>
      </c>
      <c r="H23" s="406"/>
      <c r="I23" s="409"/>
      <c r="J23" s="420"/>
      <c r="K23" s="409"/>
    </row>
    <row r="24" spans="1:11" x14ac:dyDescent="0.25">
      <c r="A24" s="459">
        <v>17</v>
      </c>
      <c r="B24" s="457" t="s">
        <v>20</v>
      </c>
      <c r="C24" s="432" t="s">
        <v>21</v>
      </c>
      <c r="D24" s="405">
        <v>10499</v>
      </c>
      <c r="E24" s="409">
        <v>5004</v>
      </c>
      <c r="F24" s="405">
        <v>676</v>
      </c>
      <c r="G24" s="406">
        <v>6760</v>
      </c>
      <c r="H24" s="406"/>
      <c r="I24" s="409"/>
      <c r="J24" s="420"/>
      <c r="K24" s="409"/>
    </row>
    <row r="25" spans="1:11" x14ac:dyDescent="0.25">
      <c r="A25" s="459">
        <v>18</v>
      </c>
      <c r="B25" s="418" t="s">
        <v>82</v>
      </c>
      <c r="C25" s="432" t="s">
        <v>83</v>
      </c>
      <c r="D25" s="405">
        <v>1870</v>
      </c>
      <c r="E25" s="409">
        <v>626</v>
      </c>
      <c r="F25" s="405"/>
      <c r="G25" s="406"/>
      <c r="H25" s="406"/>
      <c r="I25" s="409"/>
      <c r="J25" s="420"/>
      <c r="K25" s="409"/>
    </row>
    <row r="26" spans="1:11" x14ac:dyDescent="0.25">
      <c r="A26" s="459">
        <v>19</v>
      </c>
      <c r="B26" s="418" t="s">
        <v>84</v>
      </c>
      <c r="C26" s="432" t="s">
        <v>85</v>
      </c>
      <c r="D26" s="405">
        <v>1544</v>
      </c>
      <c r="E26" s="409">
        <v>425</v>
      </c>
      <c r="F26" s="405"/>
      <c r="G26" s="406"/>
      <c r="H26" s="406"/>
      <c r="I26" s="409"/>
      <c r="J26" s="420"/>
      <c r="K26" s="409"/>
    </row>
    <row r="27" spans="1:11" x14ac:dyDescent="0.25">
      <c r="A27" s="459">
        <v>20</v>
      </c>
      <c r="B27" s="418" t="s">
        <v>86</v>
      </c>
      <c r="C27" s="432" t="s">
        <v>87</v>
      </c>
      <c r="D27" s="405">
        <v>7478</v>
      </c>
      <c r="E27" s="409">
        <v>815</v>
      </c>
      <c r="F27" s="405">
        <v>338</v>
      </c>
      <c r="G27" s="406">
        <v>3380</v>
      </c>
      <c r="H27" s="406"/>
      <c r="I27" s="409"/>
      <c r="J27" s="420"/>
      <c r="K27" s="409"/>
    </row>
    <row r="28" spans="1:11" x14ac:dyDescent="0.25">
      <c r="A28" s="459">
        <v>21</v>
      </c>
      <c r="B28" s="418" t="s">
        <v>22</v>
      </c>
      <c r="C28" s="432" t="s">
        <v>23</v>
      </c>
      <c r="D28" s="405">
        <v>6168</v>
      </c>
      <c r="E28" s="409">
        <v>609</v>
      </c>
      <c r="F28" s="405">
        <v>270</v>
      </c>
      <c r="G28" s="406">
        <v>2704</v>
      </c>
      <c r="H28" s="406"/>
      <c r="I28" s="409"/>
      <c r="J28" s="420"/>
      <c r="K28" s="409"/>
    </row>
    <row r="29" spans="1:11" x14ac:dyDescent="0.25">
      <c r="A29" s="459">
        <v>22</v>
      </c>
      <c r="B29" s="457" t="s">
        <v>24</v>
      </c>
      <c r="C29" s="432" t="s">
        <v>25</v>
      </c>
      <c r="D29" s="405"/>
      <c r="E29" s="409"/>
      <c r="F29" s="405"/>
      <c r="G29" s="406"/>
      <c r="H29" s="406"/>
      <c r="I29" s="409"/>
      <c r="J29" s="420"/>
      <c r="K29" s="409"/>
    </row>
    <row r="30" spans="1:11" x14ac:dyDescent="0.25">
      <c r="A30" s="459">
        <v>23</v>
      </c>
      <c r="B30" s="457" t="s">
        <v>88</v>
      </c>
      <c r="C30" s="432" t="s">
        <v>89</v>
      </c>
      <c r="D30" s="405"/>
      <c r="E30" s="409"/>
      <c r="F30" s="405"/>
      <c r="G30" s="406"/>
      <c r="H30" s="406"/>
      <c r="I30" s="409"/>
      <c r="J30" s="420"/>
      <c r="K30" s="409"/>
    </row>
    <row r="31" spans="1:11" ht="25.5" x14ac:dyDescent="0.25">
      <c r="A31" s="459">
        <v>24</v>
      </c>
      <c r="B31" s="457" t="s">
        <v>90</v>
      </c>
      <c r="C31" s="432" t="s">
        <v>91</v>
      </c>
      <c r="D31" s="405"/>
      <c r="E31" s="409"/>
      <c r="F31" s="405"/>
      <c r="G31" s="406"/>
      <c r="H31" s="406"/>
      <c r="I31" s="409"/>
      <c r="J31" s="420"/>
      <c r="K31" s="409"/>
    </row>
    <row r="32" spans="1:11" x14ac:dyDescent="0.25">
      <c r="A32" s="459">
        <v>25</v>
      </c>
      <c r="B32" s="418" t="s">
        <v>92</v>
      </c>
      <c r="C32" s="432" t="s">
        <v>93</v>
      </c>
      <c r="D32" s="405">
        <v>5245</v>
      </c>
      <c r="E32" s="409">
        <v>957</v>
      </c>
      <c r="F32" s="405"/>
      <c r="G32" s="406"/>
      <c r="H32" s="406"/>
      <c r="I32" s="409"/>
      <c r="J32" s="420"/>
      <c r="K32" s="409"/>
    </row>
    <row r="33" spans="1:11" x14ac:dyDescent="0.25">
      <c r="A33" s="459">
        <v>26</v>
      </c>
      <c r="B33" s="457" t="s">
        <v>94</v>
      </c>
      <c r="C33" s="432" t="s">
        <v>95</v>
      </c>
      <c r="D33" s="405"/>
      <c r="E33" s="409"/>
      <c r="F33" s="405"/>
      <c r="G33" s="406"/>
      <c r="H33" s="406"/>
      <c r="I33" s="409"/>
      <c r="J33" s="420"/>
      <c r="K33" s="409"/>
    </row>
    <row r="34" spans="1:11" x14ac:dyDescent="0.25">
      <c r="A34" s="459">
        <v>27</v>
      </c>
      <c r="B34" s="421" t="s">
        <v>96</v>
      </c>
      <c r="C34" s="432" t="s">
        <v>97</v>
      </c>
      <c r="D34" s="405"/>
      <c r="E34" s="409"/>
      <c r="F34" s="405"/>
      <c r="G34" s="406"/>
      <c r="H34" s="406"/>
      <c r="I34" s="409"/>
      <c r="J34" s="420"/>
      <c r="K34" s="409"/>
    </row>
    <row r="35" spans="1:11" x14ac:dyDescent="0.25">
      <c r="A35" s="459">
        <v>28</v>
      </c>
      <c r="B35" s="421" t="s">
        <v>26</v>
      </c>
      <c r="C35" s="432" t="s">
        <v>27</v>
      </c>
      <c r="D35" s="405">
        <v>8907</v>
      </c>
      <c r="E35" s="409">
        <v>2750</v>
      </c>
      <c r="F35" s="405">
        <v>608</v>
      </c>
      <c r="G35" s="406">
        <v>6084</v>
      </c>
      <c r="H35" s="406"/>
      <c r="I35" s="409"/>
      <c r="J35" s="420"/>
      <c r="K35" s="409"/>
    </row>
    <row r="36" spans="1:11" x14ac:dyDescent="0.25">
      <c r="A36" s="459">
        <v>29</v>
      </c>
      <c r="B36" s="418" t="s">
        <v>98</v>
      </c>
      <c r="C36" s="432" t="s">
        <v>99</v>
      </c>
      <c r="D36" s="405">
        <v>15986</v>
      </c>
      <c r="E36" s="409">
        <v>2130</v>
      </c>
      <c r="F36" s="405">
        <v>710</v>
      </c>
      <c r="G36" s="406">
        <v>7098</v>
      </c>
      <c r="H36" s="406"/>
      <c r="I36" s="409"/>
      <c r="J36" s="420">
        <v>233</v>
      </c>
      <c r="K36" s="409">
        <v>2790</v>
      </c>
    </row>
    <row r="37" spans="1:11" x14ac:dyDescent="0.25">
      <c r="A37" s="459">
        <v>30</v>
      </c>
      <c r="B37" s="421" t="s">
        <v>100</v>
      </c>
      <c r="C37" s="432" t="s">
        <v>101</v>
      </c>
      <c r="D37" s="405">
        <v>2532</v>
      </c>
      <c r="E37" s="409">
        <v>685</v>
      </c>
      <c r="F37" s="405">
        <v>101</v>
      </c>
      <c r="G37" s="406">
        <v>1014</v>
      </c>
      <c r="H37" s="406"/>
      <c r="I37" s="409"/>
      <c r="J37" s="420"/>
      <c r="K37" s="409"/>
    </row>
    <row r="38" spans="1:11" x14ac:dyDescent="0.25">
      <c r="A38" s="459">
        <v>31</v>
      </c>
      <c r="B38" s="457" t="s">
        <v>102</v>
      </c>
      <c r="C38" s="432" t="s">
        <v>103</v>
      </c>
      <c r="D38" s="405">
        <v>9029</v>
      </c>
      <c r="E38" s="409">
        <v>1058</v>
      </c>
      <c r="F38" s="405">
        <v>406</v>
      </c>
      <c r="G38" s="406">
        <v>4056</v>
      </c>
      <c r="H38" s="406"/>
      <c r="I38" s="409"/>
      <c r="J38" s="420">
        <v>155</v>
      </c>
      <c r="K38" s="409">
        <v>1860</v>
      </c>
    </row>
    <row r="39" spans="1:11" x14ac:dyDescent="0.25">
      <c r="A39" s="459">
        <v>32</v>
      </c>
      <c r="B39" s="421" t="s">
        <v>104</v>
      </c>
      <c r="C39" s="432" t="s">
        <v>105</v>
      </c>
      <c r="D39" s="405">
        <v>3195</v>
      </c>
      <c r="E39" s="409">
        <v>1131</v>
      </c>
      <c r="F39" s="405">
        <v>135</v>
      </c>
      <c r="G39" s="406">
        <v>1352</v>
      </c>
      <c r="H39" s="406"/>
      <c r="I39" s="409"/>
      <c r="J39" s="420"/>
      <c r="K39" s="409"/>
    </row>
    <row r="40" spans="1:11" x14ac:dyDescent="0.25">
      <c r="A40" s="459">
        <v>33</v>
      </c>
      <c r="B40" s="418" t="s">
        <v>106</v>
      </c>
      <c r="C40" s="432" t="s">
        <v>107</v>
      </c>
      <c r="D40" s="405">
        <v>8717</v>
      </c>
      <c r="E40" s="409">
        <v>3120</v>
      </c>
      <c r="F40" s="405">
        <v>372</v>
      </c>
      <c r="G40" s="406">
        <v>3718</v>
      </c>
      <c r="H40" s="406"/>
      <c r="I40" s="409"/>
      <c r="J40" s="420"/>
      <c r="K40" s="409"/>
    </row>
    <row r="41" spans="1:11" x14ac:dyDescent="0.25">
      <c r="A41" s="459">
        <v>34</v>
      </c>
      <c r="B41" s="371" t="s">
        <v>108</v>
      </c>
      <c r="C41" s="323" t="s">
        <v>109</v>
      </c>
      <c r="D41" s="405">
        <v>2855</v>
      </c>
      <c r="E41" s="409">
        <v>768</v>
      </c>
      <c r="F41" s="405"/>
      <c r="G41" s="406"/>
      <c r="H41" s="406"/>
      <c r="I41" s="409"/>
      <c r="J41" s="420"/>
      <c r="K41" s="409"/>
    </row>
    <row r="42" spans="1:11" x14ac:dyDescent="0.25">
      <c r="A42" s="459">
        <v>35</v>
      </c>
      <c r="B42" s="418" t="s">
        <v>110</v>
      </c>
      <c r="C42" s="432" t="s">
        <v>111</v>
      </c>
      <c r="D42" s="405">
        <v>1769</v>
      </c>
      <c r="E42" s="409">
        <v>378</v>
      </c>
      <c r="F42" s="405"/>
      <c r="G42" s="406"/>
      <c r="H42" s="406"/>
      <c r="I42" s="409"/>
      <c r="J42" s="420"/>
      <c r="K42" s="409"/>
    </row>
    <row r="43" spans="1:11" x14ac:dyDescent="0.25">
      <c r="A43" s="459">
        <v>36</v>
      </c>
      <c r="B43" s="418" t="s">
        <v>112</v>
      </c>
      <c r="C43" s="432" t="s">
        <v>113</v>
      </c>
      <c r="D43" s="405">
        <v>3218</v>
      </c>
      <c r="E43" s="409">
        <v>768</v>
      </c>
      <c r="F43" s="405"/>
      <c r="G43" s="406"/>
      <c r="H43" s="406"/>
      <c r="I43" s="409"/>
      <c r="J43" s="420"/>
      <c r="K43" s="409"/>
    </row>
    <row r="44" spans="1:11" x14ac:dyDescent="0.25">
      <c r="A44" s="459">
        <v>37</v>
      </c>
      <c r="B44" s="457" t="s">
        <v>114</v>
      </c>
      <c r="C44" s="432" t="s">
        <v>115</v>
      </c>
      <c r="D44" s="405">
        <v>1660</v>
      </c>
      <c r="E44" s="409">
        <v>591</v>
      </c>
      <c r="F44" s="405"/>
      <c r="G44" s="406"/>
      <c r="H44" s="406"/>
      <c r="I44" s="409"/>
      <c r="J44" s="420"/>
      <c r="K44" s="409"/>
    </row>
    <row r="45" spans="1:11" x14ac:dyDescent="0.25">
      <c r="A45" s="459">
        <v>38</v>
      </c>
      <c r="B45" s="421" t="s">
        <v>116</v>
      </c>
      <c r="C45" s="432" t="s">
        <v>117</v>
      </c>
      <c r="D45" s="405"/>
      <c r="E45" s="409"/>
      <c r="F45" s="405"/>
      <c r="G45" s="406"/>
      <c r="H45" s="406"/>
      <c r="I45" s="409"/>
      <c r="J45" s="420"/>
      <c r="K45" s="409"/>
    </row>
    <row r="46" spans="1:11" x14ac:dyDescent="0.25">
      <c r="A46" s="459">
        <v>39</v>
      </c>
      <c r="B46" s="457" t="s">
        <v>28</v>
      </c>
      <c r="C46" s="432" t="s">
        <v>29</v>
      </c>
      <c r="D46" s="405">
        <v>12847</v>
      </c>
      <c r="E46" s="409">
        <v>3049</v>
      </c>
      <c r="F46" s="405">
        <v>575</v>
      </c>
      <c r="G46" s="406">
        <v>5746</v>
      </c>
      <c r="H46" s="406"/>
      <c r="I46" s="409"/>
      <c r="J46" s="420"/>
      <c r="K46" s="409"/>
    </row>
    <row r="47" spans="1:11" x14ac:dyDescent="0.25">
      <c r="A47" s="459">
        <v>40</v>
      </c>
      <c r="B47" s="418" t="s">
        <v>118</v>
      </c>
      <c r="C47" s="432" t="s">
        <v>119</v>
      </c>
      <c r="D47" s="405">
        <v>2691</v>
      </c>
      <c r="E47" s="409">
        <v>777</v>
      </c>
      <c r="F47" s="405"/>
      <c r="G47" s="406"/>
      <c r="H47" s="406"/>
      <c r="I47" s="409"/>
      <c r="J47" s="420"/>
      <c r="K47" s="409"/>
    </row>
    <row r="48" spans="1:11" x14ac:dyDescent="0.25">
      <c r="A48" s="459">
        <v>41</v>
      </c>
      <c r="B48" s="418" t="s">
        <v>120</v>
      </c>
      <c r="C48" s="432" t="s">
        <v>121</v>
      </c>
      <c r="D48" s="405">
        <v>10400</v>
      </c>
      <c r="E48" s="409">
        <v>3888</v>
      </c>
      <c r="F48" s="405">
        <v>642</v>
      </c>
      <c r="G48" s="406">
        <v>6422</v>
      </c>
      <c r="H48" s="406"/>
      <c r="I48" s="409"/>
      <c r="J48" s="420"/>
      <c r="K48" s="409"/>
    </row>
    <row r="49" spans="1:11" x14ac:dyDescent="0.25">
      <c r="A49" s="459">
        <v>42</v>
      </c>
      <c r="B49" s="457" t="s">
        <v>122</v>
      </c>
      <c r="C49" s="432" t="s">
        <v>123</v>
      </c>
      <c r="D49" s="405">
        <v>2256</v>
      </c>
      <c r="E49" s="409">
        <v>523</v>
      </c>
      <c r="F49" s="405"/>
      <c r="G49" s="406"/>
      <c r="H49" s="406"/>
      <c r="I49" s="409"/>
      <c r="J49" s="420"/>
      <c r="K49" s="409"/>
    </row>
    <row r="50" spans="1:11" x14ac:dyDescent="0.25">
      <c r="A50" s="459">
        <v>43</v>
      </c>
      <c r="B50" s="421" t="s">
        <v>124</v>
      </c>
      <c r="C50" s="432" t="s">
        <v>125</v>
      </c>
      <c r="D50" s="405">
        <v>2759</v>
      </c>
      <c r="E50" s="409">
        <v>1140</v>
      </c>
      <c r="F50" s="405">
        <v>135</v>
      </c>
      <c r="G50" s="406">
        <v>1352</v>
      </c>
      <c r="H50" s="406"/>
      <c r="I50" s="409"/>
      <c r="J50" s="420"/>
      <c r="K50" s="409"/>
    </row>
    <row r="51" spans="1:11" x14ac:dyDescent="0.25">
      <c r="A51" s="459">
        <v>44</v>
      </c>
      <c r="B51" s="457" t="s">
        <v>126</v>
      </c>
      <c r="C51" s="432" t="s">
        <v>127</v>
      </c>
      <c r="D51" s="405">
        <v>3310</v>
      </c>
      <c r="E51" s="409">
        <v>511</v>
      </c>
      <c r="F51" s="405"/>
      <c r="G51" s="406"/>
      <c r="H51" s="406"/>
      <c r="I51" s="409"/>
      <c r="J51" s="420"/>
      <c r="K51" s="409"/>
    </row>
    <row r="52" spans="1:11" x14ac:dyDescent="0.25">
      <c r="A52" s="459">
        <v>45</v>
      </c>
      <c r="B52" s="421" t="s">
        <v>128</v>
      </c>
      <c r="C52" s="432" t="s">
        <v>129</v>
      </c>
      <c r="D52" s="405">
        <v>3865</v>
      </c>
      <c r="E52" s="409">
        <v>2145</v>
      </c>
      <c r="F52" s="405">
        <v>338</v>
      </c>
      <c r="G52" s="406">
        <v>3380</v>
      </c>
      <c r="H52" s="406"/>
      <c r="I52" s="409"/>
      <c r="J52" s="420"/>
      <c r="K52" s="409"/>
    </row>
    <row r="53" spans="1:11" x14ac:dyDescent="0.25">
      <c r="A53" s="459">
        <v>46</v>
      </c>
      <c r="B53" s="457" t="s">
        <v>130</v>
      </c>
      <c r="C53" s="432" t="s">
        <v>131</v>
      </c>
      <c r="D53" s="405">
        <v>1538</v>
      </c>
      <c r="E53" s="409">
        <v>301</v>
      </c>
      <c r="F53" s="405"/>
      <c r="G53" s="406"/>
      <c r="H53" s="406"/>
      <c r="I53" s="409"/>
      <c r="J53" s="420"/>
      <c r="K53" s="409"/>
    </row>
    <row r="54" spans="1:11" x14ac:dyDescent="0.25">
      <c r="A54" s="459">
        <v>47</v>
      </c>
      <c r="B54" s="421" t="s">
        <v>132</v>
      </c>
      <c r="C54" s="432" t="s">
        <v>133</v>
      </c>
      <c r="D54" s="405">
        <v>2487</v>
      </c>
      <c r="E54" s="409">
        <v>461</v>
      </c>
      <c r="F54" s="405"/>
      <c r="G54" s="406"/>
      <c r="H54" s="406"/>
      <c r="I54" s="409"/>
      <c r="J54" s="420"/>
      <c r="K54" s="409"/>
    </row>
    <row r="55" spans="1:11" x14ac:dyDescent="0.25">
      <c r="A55" s="459">
        <v>48</v>
      </c>
      <c r="B55" s="457" t="s">
        <v>134</v>
      </c>
      <c r="C55" s="432" t="s">
        <v>135</v>
      </c>
      <c r="D55" s="405">
        <v>3841</v>
      </c>
      <c r="E55" s="409">
        <v>916</v>
      </c>
      <c r="F55" s="405"/>
      <c r="G55" s="406"/>
      <c r="H55" s="406"/>
      <c r="I55" s="409"/>
      <c r="J55" s="420"/>
      <c r="K55" s="409"/>
    </row>
    <row r="56" spans="1:11" x14ac:dyDescent="0.25">
      <c r="A56" s="459">
        <v>49</v>
      </c>
      <c r="B56" s="457" t="s">
        <v>136</v>
      </c>
      <c r="C56" s="432" t="s">
        <v>137</v>
      </c>
      <c r="D56" s="405">
        <v>14258</v>
      </c>
      <c r="E56" s="409">
        <v>6145</v>
      </c>
      <c r="F56" s="405">
        <v>845</v>
      </c>
      <c r="G56" s="406">
        <v>8450</v>
      </c>
      <c r="H56" s="406"/>
      <c r="I56" s="409"/>
      <c r="J56" s="420">
        <v>233</v>
      </c>
      <c r="K56" s="409">
        <v>2790</v>
      </c>
    </row>
    <row r="57" spans="1:11" x14ac:dyDescent="0.25">
      <c r="A57" s="459">
        <v>50</v>
      </c>
      <c r="B57" s="457" t="s">
        <v>138</v>
      </c>
      <c r="C57" s="432" t="s">
        <v>139</v>
      </c>
      <c r="D57" s="405">
        <v>3024</v>
      </c>
      <c r="E57" s="409">
        <v>567</v>
      </c>
      <c r="F57" s="405"/>
      <c r="G57" s="406"/>
      <c r="H57" s="406"/>
      <c r="I57" s="409"/>
      <c r="J57" s="420"/>
      <c r="K57" s="409"/>
    </row>
    <row r="58" spans="1:11" x14ac:dyDescent="0.25">
      <c r="A58" s="459">
        <v>51</v>
      </c>
      <c r="B58" s="457" t="s">
        <v>140</v>
      </c>
      <c r="C58" s="432" t="s">
        <v>141</v>
      </c>
      <c r="D58" s="405">
        <v>2029</v>
      </c>
      <c r="E58" s="409">
        <v>384</v>
      </c>
      <c r="F58" s="405"/>
      <c r="G58" s="406"/>
      <c r="H58" s="406"/>
      <c r="I58" s="409"/>
      <c r="J58" s="420"/>
      <c r="K58" s="409"/>
    </row>
    <row r="59" spans="1:11" x14ac:dyDescent="0.25">
      <c r="A59" s="459">
        <v>52</v>
      </c>
      <c r="B59" s="421" t="s">
        <v>142</v>
      </c>
      <c r="C59" s="432" t="s">
        <v>143</v>
      </c>
      <c r="D59" s="405">
        <v>2588</v>
      </c>
      <c r="E59" s="409">
        <v>685</v>
      </c>
      <c r="F59" s="405"/>
      <c r="G59" s="406"/>
      <c r="H59" s="406"/>
      <c r="I59" s="409"/>
      <c r="J59" s="420"/>
      <c r="K59" s="409"/>
    </row>
    <row r="60" spans="1:11" x14ac:dyDescent="0.25">
      <c r="A60" s="459">
        <v>53</v>
      </c>
      <c r="B60" s="457" t="s">
        <v>144</v>
      </c>
      <c r="C60" s="432" t="s">
        <v>145</v>
      </c>
      <c r="D60" s="405"/>
      <c r="E60" s="409"/>
      <c r="F60" s="405"/>
      <c r="G60" s="406"/>
      <c r="H60" s="406"/>
      <c r="I60" s="409"/>
      <c r="J60" s="420"/>
      <c r="K60" s="409"/>
    </row>
    <row r="61" spans="1:11" ht="13.5" customHeight="1" x14ac:dyDescent="0.25">
      <c r="A61" s="459">
        <v>54</v>
      </c>
      <c r="B61" s="457" t="s">
        <v>146</v>
      </c>
      <c r="C61" s="432" t="s">
        <v>147</v>
      </c>
      <c r="D61" s="405"/>
      <c r="E61" s="409"/>
      <c r="F61" s="405"/>
      <c r="G61" s="406"/>
      <c r="H61" s="406"/>
      <c r="I61" s="409"/>
      <c r="J61" s="420"/>
      <c r="K61" s="409"/>
    </row>
    <row r="62" spans="1:11" x14ac:dyDescent="0.25">
      <c r="A62" s="459">
        <v>55</v>
      </c>
      <c r="B62" s="457" t="s">
        <v>148</v>
      </c>
      <c r="C62" s="432" t="s">
        <v>149</v>
      </c>
      <c r="D62" s="405"/>
      <c r="E62" s="409"/>
      <c r="F62" s="405"/>
      <c r="G62" s="406"/>
      <c r="H62" s="406"/>
      <c r="I62" s="409"/>
      <c r="J62" s="420"/>
      <c r="K62" s="409"/>
    </row>
    <row r="63" spans="1:11" x14ac:dyDescent="0.25">
      <c r="A63" s="459">
        <v>56</v>
      </c>
      <c r="B63" s="421" t="s">
        <v>150</v>
      </c>
      <c r="C63" s="432" t="s">
        <v>151</v>
      </c>
      <c r="D63" s="405"/>
      <c r="E63" s="409"/>
      <c r="F63" s="405"/>
      <c r="G63" s="406"/>
      <c r="H63" s="406"/>
      <c r="I63" s="409"/>
      <c r="J63" s="420"/>
      <c r="K63" s="409"/>
    </row>
    <row r="64" spans="1:11" x14ac:dyDescent="0.25">
      <c r="A64" s="459">
        <v>57</v>
      </c>
      <c r="B64" s="418" t="s">
        <v>152</v>
      </c>
      <c r="C64" s="432" t="s">
        <v>153</v>
      </c>
      <c r="D64" s="405"/>
      <c r="E64" s="409"/>
      <c r="F64" s="405"/>
      <c r="G64" s="406"/>
      <c r="H64" s="406"/>
      <c r="I64" s="409"/>
      <c r="J64" s="420"/>
      <c r="K64" s="409"/>
    </row>
    <row r="65" spans="1:11" x14ac:dyDescent="0.25">
      <c r="A65" s="459">
        <v>58</v>
      </c>
      <c r="B65" s="421" t="s">
        <v>154</v>
      </c>
      <c r="C65" s="432" t="s">
        <v>155</v>
      </c>
      <c r="D65" s="405"/>
      <c r="E65" s="409"/>
      <c r="F65" s="405"/>
      <c r="G65" s="406"/>
      <c r="H65" s="406"/>
      <c r="I65" s="409"/>
      <c r="J65" s="420"/>
      <c r="K65" s="409"/>
    </row>
    <row r="66" spans="1:11" x14ac:dyDescent="0.25">
      <c r="A66" s="459">
        <v>59</v>
      </c>
      <c r="B66" s="457" t="s">
        <v>156</v>
      </c>
      <c r="C66" s="432" t="s">
        <v>157</v>
      </c>
      <c r="D66" s="405"/>
      <c r="E66" s="409"/>
      <c r="F66" s="405"/>
      <c r="G66" s="406"/>
      <c r="H66" s="406"/>
      <c r="I66" s="409"/>
      <c r="J66" s="420"/>
      <c r="K66" s="409"/>
    </row>
    <row r="67" spans="1:11" ht="26.25" customHeight="1" x14ac:dyDescent="0.25">
      <c r="A67" s="459">
        <v>60</v>
      </c>
      <c r="B67" s="418" t="s">
        <v>158</v>
      </c>
      <c r="C67" s="432" t="s">
        <v>159</v>
      </c>
      <c r="D67" s="405"/>
      <c r="E67" s="409"/>
      <c r="F67" s="405"/>
      <c r="G67" s="406"/>
      <c r="H67" s="406"/>
      <c r="I67" s="409"/>
      <c r="J67" s="420"/>
      <c r="K67" s="409"/>
    </row>
    <row r="68" spans="1:11" ht="26.25" customHeight="1" x14ac:dyDescent="0.25">
      <c r="A68" s="459">
        <v>61</v>
      </c>
      <c r="B68" s="418" t="s">
        <v>160</v>
      </c>
      <c r="C68" s="432" t="s">
        <v>161</v>
      </c>
      <c r="D68" s="405"/>
      <c r="E68" s="409"/>
      <c r="F68" s="405"/>
      <c r="G68" s="406"/>
      <c r="H68" s="406"/>
      <c r="I68" s="409"/>
      <c r="J68" s="420"/>
      <c r="K68" s="409"/>
    </row>
    <row r="69" spans="1:11" x14ac:dyDescent="0.25">
      <c r="A69" s="459">
        <v>62</v>
      </c>
      <c r="B69" s="421" t="s">
        <v>162</v>
      </c>
      <c r="C69" s="432" t="s">
        <v>163</v>
      </c>
      <c r="D69" s="405"/>
      <c r="E69" s="409"/>
      <c r="F69" s="405"/>
      <c r="G69" s="406"/>
      <c r="H69" s="406"/>
      <c r="I69" s="409"/>
      <c r="J69" s="420"/>
      <c r="K69" s="409"/>
    </row>
    <row r="70" spans="1:11" x14ac:dyDescent="0.25">
      <c r="A70" s="459">
        <v>63</v>
      </c>
      <c r="B70" s="421" t="s">
        <v>164</v>
      </c>
      <c r="C70" s="432" t="s">
        <v>165</v>
      </c>
      <c r="D70" s="405"/>
      <c r="E70" s="409"/>
      <c r="F70" s="405"/>
      <c r="G70" s="406"/>
      <c r="H70" s="406"/>
      <c r="I70" s="409"/>
      <c r="J70" s="420"/>
      <c r="K70" s="409"/>
    </row>
    <row r="71" spans="1:11" x14ac:dyDescent="0.25">
      <c r="A71" s="459">
        <v>64</v>
      </c>
      <c r="B71" s="421" t="s">
        <v>166</v>
      </c>
      <c r="C71" s="432" t="s">
        <v>167</v>
      </c>
      <c r="D71" s="405"/>
      <c r="E71" s="409"/>
      <c r="F71" s="405"/>
      <c r="G71" s="406"/>
      <c r="H71" s="406"/>
      <c r="I71" s="409"/>
      <c r="J71" s="420"/>
      <c r="K71" s="409"/>
    </row>
    <row r="72" spans="1:11" ht="25.5" x14ac:dyDescent="0.25">
      <c r="A72" s="459">
        <v>65</v>
      </c>
      <c r="B72" s="421" t="s">
        <v>168</v>
      </c>
      <c r="C72" s="432" t="s">
        <v>169</v>
      </c>
      <c r="D72" s="405"/>
      <c r="E72" s="409"/>
      <c r="F72" s="405"/>
      <c r="G72" s="406"/>
      <c r="H72" s="406"/>
      <c r="I72" s="409"/>
      <c r="J72" s="420"/>
      <c r="K72" s="409"/>
    </row>
    <row r="73" spans="1:11" ht="25.5" x14ac:dyDescent="0.25">
      <c r="A73" s="459">
        <v>66</v>
      </c>
      <c r="B73" s="418" t="s">
        <v>170</v>
      </c>
      <c r="C73" s="432" t="s">
        <v>171</v>
      </c>
      <c r="D73" s="405"/>
      <c r="E73" s="409"/>
      <c r="F73" s="405"/>
      <c r="G73" s="406"/>
      <c r="H73" s="406"/>
      <c r="I73" s="409"/>
      <c r="J73" s="420"/>
      <c r="K73" s="409"/>
    </row>
    <row r="74" spans="1:11" ht="25.5" x14ac:dyDescent="0.25">
      <c r="A74" s="459">
        <v>67</v>
      </c>
      <c r="B74" s="421" t="s">
        <v>172</v>
      </c>
      <c r="C74" s="432" t="s">
        <v>173</v>
      </c>
      <c r="D74" s="405"/>
      <c r="E74" s="409"/>
      <c r="F74" s="405"/>
      <c r="G74" s="406"/>
      <c r="H74" s="406"/>
      <c r="I74" s="409"/>
      <c r="J74" s="420"/>
      <c r="K74" s="409"/>
    </row>
    <row r="75" spans="1:11" ht="25.5" x14ac:dyDescent="0.25">
      <c r="A75" s="459">
        <v>68</v>
      </c>
      <c r="B75" s="421" t="s">
        <v>174</v>
      </c>
      <c r="C75" s="432" t="s">
        <v>175</v>
      </c>
      <c r="D75" s="405"/>
      <c r="E75" s="409"/>
      <c r="F75" s="405"/>
      <c r="G75" s="406"/>
      <c r="H75" s="406"/>
      <c r="I75" s="409"/>
      <c r="J75" s="420"/>
      <c r="K75" s="409"/>
    </row>
    <row r="76" spans="1:11" ht="25.5" x14ac:dyDescent="0.25">
      <c r="A76" s="459">
        <v>69</v>
      </c>
      <c r="B76" s="418" t="s">
        <v>176</v>
      </c>
      <c r="C76" s="432" t="s">
        <v>177</v>
      </c>
      <c r="D76" s="405"/>
      <c r="E76" s="409"/>
      <c r="F76" s="405"/>
      <c r="G76" s="406"/>
      <c r="H76" s="406"/>
      <c r="I76" s="409"/>
      <c r="J76" s="420"/>
      <c r="K76" s="409"/>
    </row>
    <row r="77" spans="1:11" ht="25.5" x14ac:dyDescent="0.25">
      <c r="A77" s="459">
        <v>70</v>
      </c>
      <c r="B77" s="418" t="s">
        <v>178</v>
      </c>
      <c r="C77" s="432" t="s">
        <v>179</v>
      </c>
      <c r="D77" s="405"/>
      <c r="E77" s="409"/>
      <c r="F77" s="405"/>
      <c r="G77" s="406"/>
      <c r="H77" s="406"/>
      <c r="I77" s="409"/>
      <c r="J77" s="420"/>
      <c r="K77" s="409"/>
    </row>
    <row r="78" spans="1:11" ht="25.5" x14ac:dyDescent="0.25">
      <c r="A78" s="459">
        <v>71</v>
      </c>
      <c r="B78" s="418" t="s">
        <v>180</v>
      </c>
      <c r="C78" s="432" t="s">
        <v>181</v>
      </c>
      <c r="D78" s="405"/>
      <c r="E78" s="409"/>
      <c r="F78" s="405"/>
      <c r="G78" s="406"/>
      <c r="H78" s="406"/>
      <c r="I78" s="409"/>
      <c r="J78" s="420"/>
      <c r="K78" s="409"/>
    </row>
    <row r="79" spans="1:11" ht="14.25" customHeight="1" x14ac:dyDescent="0.25">
      <c r="A79" s="459">
        <v>72</v>
      </c>
      <c r="B79" s="457" t="s">
        <v>182</v>
      </c>
      <c r="C79" s="432" t="s">
        <v>183</v>
      </c>
      <c r="D79" s="405"/>
      <c r="E79" s="409"/>
      <c r="F79" s="405"/>
      <c r="G79" s="406"/>
      <c r="H79" s="406"/>
      <c r="I79" s="409"/>
      <c r="J79" s="420"/>
      <c r="K79" s="409"/>
    </row>
    <row r="80" spans="1:11" x14ac:dyDescent="0.25">
      <c r="A80" s="459">
        <v>73</v>
      </c>
      <c r="B80" s="418" t="s">
        <v>184</v>
      </c>
      <c r="C80" s="432" t="s">
        <v>185</v>
      </c>
      <c r="D80" s="405"/>
      <c r="E80" s="409"/>
      <c r="F80" s="405"/>
      <c r="G80" s="406"/>
      <c r="H80" s="406"/>
      <c r="I80" s="409"/>
      <c r="J80" s="420"/>
      <c r="K80" s="409"/>
    </row>
    <row r="81" spans="1:11" x14ac:dyDescent="0.25">
      <c r="A81" s="459">
        <v>74</v>
      </c>
      <c r="B81" s="457" t="s">
        <v>186</v>
      </c>
      <c r="C81" s="432" t="s">
        <v>187</v>
      </c>
      <c r="D81" s="405"/>
      <c r="E81" s="409"/>
      <c r="F81" s="405"/>
      <c r="G81" s="406"/>
      <c r="H81" s="406"/>
      <c r="I81" s="409"/>
      <c r="J81" s="420"/>
      <c r="K81" s="409"/>
    </row>
    <row r="82" spans="1:11" x14ac:dyDescent="0.25">
      <c r="A82" s="459">
        <v>75</v>
      </c>
      <c r="B82" s="418" t="s">
        <v>188</v>
      </c>
      <c r="C82" s="432" t="s">
        <v>460</v>
      </c>
      <c r="D82" s="405"/>
      <c r="E82" s="409"/>
      <c r="F82" s="405"/>
      <c r="G82" s="406"/>
      <c r="H82" s="406"/>
      <c r="I82" s="409"/>
      <c r="J82" s="420"/>
      <c r="K82" s="409"/>
    </row>
    <row r="83" spans="1:11" x14ac:dyDescent="0.25">
      <c r="A83" s="459">
        <v>76</v>
      </c>
      <c r="B83" s="418" t="s">
        <v>190</v>
      </c>
      <c r="C83" s="432" t="s">
        <v>191</v>
      </c>
      <c r="D83" s="405"/>
      <c r="E83" s="409"/>
      <c r="F83" s="405"/>
      <c r="G83" s="406"/>
      <c r="H83" s="406"/>
      <c r="I83" s="409"/>
      <c r="J83" s="420"/>
      <c r="K83" s="409"/>
    </row>
    <row r="84" spans="1:11" x14ac:dyDescent="0.25">
      <c r="A84" s="459">
        <v>77</v>
      </c>
      <c r="B84" s="418" t="s">
        <v>192</v>
      </c>
      <c r="C84" s="432" t="s">
        <v>193</v>
      </c>
      <c r="D84" s="405"/>
      <c r="E84" s="409"/>
      <c r="F84" s="405"/>
      <c r="G84" s="406"/>
      <c r="H84" s="406"/>
      <c r="I84" s="409"/>
      <c r="J84" s="420"/>
      <c r="K84" s="409"/>
    </row>
    <row r="85" spans="1:11" x14ac:dyDescent="0.25">
      <c r="A85" s="459">
        <v>78</v>
      </c>
      <c r="B85" s="418" t="s">
        <v>194</v>
      </c>
      <c r="C85" s="432" t="s">
        <v>195</v>
      </c>
      <c r="D85" s="405"/>
      <c r="E85" s="409"/>
      <c r="F85" s="405"/>
      <c r="G85" s="406"/>
      <c r="H85" s="406"/>
      <c r="I85" s="409"/>
      <c r="J85" s="420"/>
      <c r="K85" s="409"/>
    </row>
    <row r="86" spans="1:11" x14ac:dyDescent="0.25">
      <c r="A86" s="459">
        <v>79</v>
      </c>
      <c r="B86" s="418" t="s">
        <v>196</v>
      </c>
      <c r="C86" s="432" t="s">
        <v>197</v>
      </c>
      <c r="D86" s="405"/>
      <c r="E86" s="409"/>
      <c r="F86" s="405"/>
      <c r="G86" s="406"/>
      <c r="H86" s="406"/>
      <c r="I86" s="409"/>
      <c r="J86" s="420"/>
      <c r="K86" s="409"/>
    </row>
    <row r="87" spans="1:11" x14ac:dyDescent="0.25">
      <c r="A87" s="459">
        <v>80</v>
      </c>
      <c r="B87" s="421" t="s">
        <v>30</v>
      </c>
      <c r="C87" s="432" t="s">
        <v>198</v>
      </c>
      <c r="D87" s="405"/>
      <c r="E87" s="409"/>
      <c r="F87" s="405"/>
      <c r="G87" s="406"/>
      <c r="H87" s="406"/>
      <c r="I87" s="409"/>
      <c r="J87" s="420"/>
      <c r="K87" s="409"/>
    </row>
    <row r="88" spans="1:11" ht="30.75" customHeight="1" x14ac:dyDescent="0.25">
      <c r="A88" s="1298">
        <v>81</v>
      </c>
      <c r="B88" s="1301" t="s">
        <v>199</v>
      </c>
      <c r="C88" s="435" t="s">
        <v>200</v>
      </c>
      <c r="D88" s="405"/>
      <c r="E88" s="409"/>
      <c r="F88" s="405"/>
      <c r="G88" s="406"/>
      <c r="H88" s="406"/>
      <c r="I88" s="409"/>
      <c r="J88" s="420"/>
      <c r="K88" s="409"/>
    </row>
    <row r="89" spans="1:11" ht="48.75" customHeight="1" x14ac:dyDescent="0.25">
      <c r="A89" s="1299"/>
      <c r="B89" s="1301"/>
      <c r="C89" s="432" t="s">
        <v>201</v>
      </c>
      <c r="D89" s="405"/>
      <c r="E89" s="409"/>
      <c r="F89" s="405"/>
      <c r="G89" s="406"/>
      <c r="H89" s="406"/>
      <c r="I89" s="409"/>
      <c r="J89" s="420"/>
      <c r="K89" s="409"/>
    </row>
    <row r="90" spans="1:11" ht="25.5" x14ac:dyDescent="0.25">
      <c r="A90" s="1299"/>
      <c r="B90" s="1301"/>
      <c r="C90" s="432" t="s">
        <v>202</v>
      </c>
      <c r="D90" s="405"/>
      <c r="E90" s="409"/>
      <c r="F90" s="405"/>
      <c r="G90" s="406"/>
      <c r="H90" s="406"/>
      <c r="I90" s="409"/>
      <c r="J90" s="420"/>
      <c r="K90" s="409"/>
    </row>
    <row r="91" spans="1:11" ht="45" customHeight="1" x14ac:dyDescent="0.25">
      <c r="A91" s="1300"/>
      <c r="B91" s="1301"/>
      <c r="C91" s="436" t="s">
        <v>203</v>
      </c>
      <c r="D91" s="405"/>
      <c r="E91" s="409"/>
      <c r="F91" s="405"/>
      <c r="G91" s="406"/>
      <c r="H91" s="406"/>
      <c r="I91" s="409"/>
      <c r="J91" s="420"/>
      <c r="K91" s="409"/>
    </row>
    <row r="92" spans="1:11" ht="25.5" x14ac:dyDescent="0.25">
      <c r="A92" s="459">
        <v>82</v>
      </c>
      <c r="B92" s="421" t="s">
        <v>204</v>
      </c>
      <c r="C92" s="432" t="s">
        <v>205</v>
      </c>
      <c r="D92" s="405"/>
      <c r="E92" s="409"/>
      <c r="F92" s="405"/>
      <c r="G92" s="406"/>
      <c r="H92" s="406"/>
      <c r="I92" s="409"/>
      <c r="J92" s="420"/>
      <c r="K92" s="409"/>
    </row>
    <row r="93" spans="1:11" x14ac:dyDescent="0.25">
      <c r="A93" s="459">
        <v>83</v>
      </c>
      <c r="B93" s="421" t="s">
        <v>206</v>
      </c>
      <c r="C93" s="432" t="s">
        <v>207</v>
      </c>
      <c r="D93" s="405"/>
      <c r="E93" s="409"/>
      <c r="F93" s="405"/>
      <c r="G93" s="406"/>
      <c r="H93" s="406"/>
      <c r="I93" s="409"/>
      <c r="J93" s="420"/>
      <c r="K93" s="409"/>
    </row>
    <row r="94" spans="1:11" x14ac:dyDescent="0.25">
      <c r="A94" s="459">
        <v>84</v>
      </c>
      <c r="B94" s="457" t="s">
        <v>208</v>
      </c>
      <c r="C94" s="432" t="s">
        <v>209</v>
      </c>
      <c r="D94" s="405"/>
      <c r="E94" s="409"/>
      <c r="F94" s="405"/>
      <c r="G94" s="406"/>
      <c r="H94" s="406"/>
      <c r="I94" s="409"/>
      <c r="J94" s="420"/>
      <c r="K94" s="409"/>
    </row>
    <row r="95" spans="1:11" x14ac:dyDescent="0.25">
      <c r="A95" s="459">
        <v>85</v>
      </c>
      <c r="B95" s="421" t="s">
        <v>210</v>
      </c>
      <c r="C95" s="432" t="s">
        <v>211</v>
      </c>
      <c r="D95" s="405">
        <v>1806</v>
      </c>
      <c r="E95" s="409">
        <v>594</v>
      </c>
      <c r="F95" s="405"/>
      <c r="G95" s="406"/>
      <c r="H95" s="406"/>
      <c r="I95" s="409"/>
      <c r="J95" s="420"/>
      <c r="K95" s="409"/>
    </row>
    <row r="96" spans="1:11" x14ac:dyDescent="0.25">
      <c r="A96" s="459">
        <v>86</v>
      </c>
      <c r="B96" s="457" t="s">
        <v>212</v>
      </c>
      <c r="C96" s="432" t="s">
        <v>213</v>
      </c>
      <c r="D96" s="405">
        <v>1881</v>
      </c>
      <c r="E96" s="409">
        <v>292</v>
      </c>
      <c r="F96" s="405"/>
      <c r="G96" s="406"/>
      <c r="H96" s="406"/>
      <c r="I96" s="409"/>
      <c r="J96" s="420"/>
      <c r="K96" s="409"/>
    </row>
    <row r="97" spans="1:11" x14ac:dyDescent="0.25">
      <c r="A97" s="459">
        <v>87</v>
      </c>
      <c r="B97" s="457" t="s">
        <v>214</v>
      </c>
      <c r="C97" s="432" t="s">
        <v>215</v>
      </c>
      <c r="D97" s="405">
        <v>5319</v>
      </c>
      <c r="E97" s="409">
        <v>1421</v>
      </c>
      <c r="F97" s="405"/>
      <c r="G97" s="406"/>
      <c r="H97" s="406"/>
      <c r="I97" s="409"/>
      <c r="J97" s="420"/>
      <c r="K97" s="409"/>
    </row>
    <row r="98" spans="1:11" x14ac:dyDescent="0.25">
      <c r="A98" s="459">
        <v>88</v>
      </c>
      <c r="B98" s="421" t="s">
        <v>216</v>
      </c>
      <c r="C98" s="432" t="s">
        <v>217</v>
      </c>
      <c r="D98" s="405">
        <v>2355</v>
      </c>
      <c r="E98" s="409">
        <v>573</v>
      </c>
      <c r="F98" s="405"/>
      <c r="G98" s="406"/>
      <c r="H98" s="406"/>
      <c r="I98" s="409"/>
      <c r="J98" s="420"/>
      <c r="K98" s="409"/>
    </row>
    <row r="99" spans="1:11" x14ac:dyDescent="0.25">
      <c r="A99" s="459">
        <v>89</v>
      </c>
      <c r="B99" s="418" t="s">
        <v>218</v>
      </c>
      <c r="C99" s="432" t="s">
        <v>219</v>
      </c>
      <c r="D99" s="405">
        <v>7908</v>
      </c>
      <c r="E99" s="409">
        <v>744</v>
      </c>
      <c r="F99" s="405"/>
      <c r="G99" s="406"/>
      <c r="H99" s="406"/>
      <c r="I99" s="409"/>
      <c r="J99" s="420"/>
      <c r="K99" s="409"/>
    </row>
    <row r="100" spans="1:11" x14ac:dyDescent="0.25">
      <c r="A100" s="459">
        <v>90</v>
      </c>
      <c r="B100" s="418" t="s">
        <v>220</v>
      </c>
      <c r="C100" s="432" t="s">
        <v>221</v>
      </c>
      <c r="D100" s="405">
        <v>5631</v>
      </c>
      <c r="E100" s="409">
        <v>910</v>
      </c>
      <c r="F100" s="405"/>
      <c r="G100" s="406"/>
      <c r="H100" s="406"/>
      <c r="I100" s="409"/>
      <c r="J100" s="420"/>
      <c r="K100" s="409"/>
    </row>
    <row r="101" spans="1:11" x14ac:dyDescent="0.25">
      <c r="A101" s="459">
        <v>91</v>
      </c>
      <c r="B101" s="457" t="s">
        <v>222</v>
      </c>
      <c r="C101" s="432" t="s">
        <v>223</v>
      </c>
      <c r="D101" s="405">
        <v>1769</v>
      </c>
      <c r="E101" s="409">
        <v>535</v>
      </c>
      <c r="F101" s="405">
        <v>135</v>
      </c>
      <c r="G101" s="406">
        <v>1352</v>
      </c>
      <c r="H101" s="406"/>
      <c r="I101" s="409"/>
      <c r="J101" s="420"/>
      <c r="K101" s="409"/>
    </row>
    <row r="102" spans="1:11" x14ac:dyDescent="0.25">
      <c r="A102" s="459">
        <v>92</v>
      </c>
      <c r="B102" s="418" t="s">
        <v>224</v>
      </c>
      <c r="C102" s="432" t="s">
        <v>225</v>
      </c>
      <c r="D102" s="405">
        <v>2875</v>
      </c>
      <c r="E102" s="409">
        <v>547</v>
      </c>
      <c r="F102" s="405"/>
      <c r="G102" s="406"/>
      <c r="H102" s="406"/>
      <c r="I102" s="409"/>
      <c r="J102" s="420"/>
      <c r="K102" s="409"/>
    </row>
    <row r="103" spans="1:11" x14ac:dyDescent="0.25">
      <c r="A103" s="459">
        <v>93</v>
      </c>
      <c r="B103" s="418" t="s">
        <v>226</v>
      </c>
      <c r="C103" s="432" t="s">
        <v>227</v>
      </c>
      <c r="D103" s="405">
        <v>2519</v>
      </c>
      <c r="E103" s="409">
        <v>676</v>
      </c>
      <c r="F103" s="405"/>
      <c r="G103" s="406"/>
      <c r="H103" s="406"/>
      <c r="I103" s="409"/>
      <c r="J103" s="420"/>
      <c r="K103" s="409"/>
    </row>
    <row r="104" spans="1:11" x14ac:dyDescent="0.25">
      <c r="A104" s="459">
        <v>94</v>
      </c>
      <c r="B104" s="421" t="s">
        <v>32</v>
      </c>
      <c r="C104" s="432" t="s">
        <v>33</v>
      </c>
      <c r="D104" s="405">
        <v>3365</v>
      </c>
      <c r="E104" s="409">
        <v>765</v>
      </c>
      <c r="F104" s="405">
        <v>406</v>
      </c>
      <c r="G104" s="406">
        <v>4056</v>
      </c>
      <c r="H104" s="406"/>
      <c r="I104" s="409"/>
      <c r="J104" s="420"/>
      <c r="K104" s="409"/>
    </row>
    <row r="105" spans="1:11" x14ac:dyDescent="0.25">
      <c r="A105" s="459">
        <v>95</v>
      </c>
      <c r="B105" s="457" t="s">
        <v>228</v>
      </c>
      <c r="C105" s="432" t="s">
        <v>229</v>
      </c>
      <c r="D105" s="405">
        <v>2167</v>
      </c>
      <c r="E105" s="409">
        <v>487</v>
      </c>
      <c r="F105" s="405"/>
      <c r="G105" s="406"/>
      <c r="H105" s="406"/>
      <c r="I105" s="409"/>
      <c r="J105" s="420"/>
      <c r="K105" s="409"/>
    </row>
    <row r="106" spans="1:11" x14ac:dyDescent="0.25">
      <c r="A106" s="459">
        <v>96</v>
      </c>
      <c r="B106" s="418" t="s">
        <v>230</v>
      </c>
      <c r="C106" s="432" t="s">
        <v>231</v>
      </c>
      <c r="D106" s="405">
        <v>5501</v>
      </c>
      <c r="E106" s="409">
        <v>1338</v>
      </c>
      <c r="F106" s="405">
        <v>372</v>
      </c>
      <c r="G106" s="406">
        <v>3718</v>
      </c>
      <c r="H106" s="406"/>
      <c r="I106" s="409"/>
      <c r="J106" s="420"/>
      <c r="K106" s="409"/>
    </row>
    <row r="107" spans="1:11" x14ac:dyDescent="0.25">
      <c r="A107" s="459">
        <v>97</v>
      </c>
      <c r="B107" s="418" t="s">
        <v>232</v>
      </c>
      <c r="C107" s="432" t="s">
        <v>233</v>
      </c>
      <c r="D107" s="405"/>
      <c r="E107" s="409"/>
      <c r="F107" s="405"/>
      <c r="G107" s="406"/>
      <c r="H107" s="406"/>
      <c r="I107" s="409"/>
      <c r="J107" s="420"/>
      <c r="K107" s="409"/>
    </row>
    <row r="108" spans="1:11" x14ac:dyDescent="0.25">
      <c r="A108" s="459">
        <v>98</v>
      </c>
      <c r="B108" s="418" t="s">
        <v>234</v>
      </c>
      <c r="C108" s="432" t="s">
        <v>235</v>
      </c>
      <c r="D108" s="405"/>
      <c r="E108" s="409"/>
      <c r="F108" s="405"/>
      <c r="G108" s="406"/>
      <c r="H108" s="406"/>
      <c r="I108" s="409"/>
      <c r="J108" s="420"/>
      <c r="K108" s="409"/>
    </row>
    <row r="109" spans="1:11" x14ac:dyDescent="0.25">
      <c r="A109" s="459">
        <v>99</v>
      </c>
      <c r="B109" s="457" t="s">
        <v>236</v>
      </c>
      <c r="C109" s="432" t="s">
        <v>237</v>
      </c>
      <c r="D109" s="405"/>
      <c r="E109" s="409"/>
      <c r="F109" s="405"/>
      <c r="G109" s="406"/>
      <c r="H109" s="406"/>
      <c r="I109" s="409"/>
      <c r="J109" s="420"/>
      <c r="K109" s="409"/>
    </row>
    <row r="110" spans="1:11" x14ac:dyDescent="0.25">
      <c r="A110" s="459">
        <v>100</v>
      </c>
      <c r="B110" s="457" t="s">
        <v>238</v>
      </c>
      <c r="C110" s="432" t="s">
        <v>239</v>
      </c>
      <c r="D110" s="405"/>
      <c r="E110" s="409"/>
      <c r="F110" s="405"/>
      <c r="G110" s="406"/>
      <c r="H110" s="406"/>
      <c r="I110" s="409"/>
      <c r="J110" s="420"/>
      <c r="K110" s="409"/>
    </row>
    <row r="111" spans="1:11" x14ac:dyDescent="0.25">
      <c r="A111" s="459">
        <v>101</v>
      </c>
      <c r="B111" s="457" t="s">
        <v>240</v>
      </c>
      <c r="C111" s="432" t="s">
        <v>241</v>
      </c>
      <c r="D111" s="405"/>
      <c r="E111" s="409"/>
      <c r="F111" s="405"/>
      <c r="G111" s="406"/>
      <c r="H111" s="406"/>
      <c r="I111" s="409"/>
      <c r="J111" s="420"/>
      <c r="K111" s="409"/>
    </row>
    <row r="112" spans="1:11" x14ac:dyDescent="0.25">
      <c r="A112" s="459">
        <v>102</v>
      </c>
      <c r="B112" s="457" t="s">
        <v>242</v>
      </c>
      <c r="C112" s="432" t="s">
        <v>243</v>
      </c>
      <c r="D112" s="405"/>
      <c r="E112" s="409"/>
      <c r="F112" s="405"/>
      <c r="G112" s="406"/>
      <c r="H112" s="406"/>
      <c r="I112" s="409"/>
      <c r="J112" s="420"/>
      <c r="K112" s="409"/>
    </row>
    <row r="113" spans="1:11" x14ac:dyDescent="0.25">
      <c r="A113" s="459">
        <v>103</v>
      </c>
      <c r="B113" s="457" t="s">
        <v>244</v>
      </c>
      <c r="C113" s="432" t="s">
        <v>245</v>
      </c>
      <c r="D113" s="405"/>
      <c r="E113" s="409"/>
      <c r="F113" s="405"/>
      <c r="G113" s="406"/>
      <c r="H113" s="406"/>
      <c r="I113" s="409"/>
      <c r="J113" s="420"/>
      <c r="K113" s="409"/>
    </row>
    <row r="114" spans="1:11" x14ac:dyDescent="0.25">
      <c r="A114" s="459">
        <v>104</v>
      </c>
      <c r="B114" s="376" t="s">
        <v>246</v>
      </c>
      <c r="C114" s="323" t="s">
        <v>247</v>
      </c>
      <c r="D114" s="405"/>
      <c r="E114" s="409"/>
      <c r="F114" s="405"/>
      <c r="G114" s="406"/>
      <c r="H114" s="406"/>
      <c r="I114" s="409"/>
      <c r="J114" s="420"/>
      <c r="K114" s="409"/>
    </row>
    <row r="115" spans="1:11" x14ac:dyDescent="0.25">
      <c r="A115" s="459">
        <v>105</v>
      </c>
      <c r="B115" s="421" t="s">
        <v>248</v>
      </c>
      <c r="C115" s="432" t="s">
        <v>249</v>
      </c>
      <c r="D115" s="405"/>
      <c r="E115" s="409"/>
      <c r="F115" s="405"/>
      <c r="G115" s="406"/>
      <c r="H115" s="406"/>
      <c r="I115" s="409"/>
      <c r="J115" s="420"/>
      <c r="K115" s="409"/>
    </row>
    <row r="116" spans="1:11" x14ac:dyDescent="0.25">
      <c r="A116" s="459">
        <v>106</v>
      </c>
      <c r="B116" s="457" t="s">
        <v>250</v>
      </c>
      <c r="C116" s="432" t="s">
        <v>251</v>
      </c>
      <c r="D116" s="405"/>
      <c r="E116" s="409"/>
      <c r="F116" s="405"/>
      <c r="G116" s="406"/>
      <c r="H116" s="406"/>
      <c r="I116" s="409"/>
      <c r="J116" s="420"/>
      <c r="K116" s="409"/>
    </row>
    <row r="117" spans="1:11" ht="12.75" customHeight="1" x14ac:dyDescent="0.25">
      <c r="A117" s="459">
        <v>107</v>
      </c>
      <c r="B117" s="418" t="s">
        <v>252</v>
      </c>
      <c r="C117" s="437" t="s">
        <v>253</v>
      </c>
      <c r="D117" s="405"/>
      <c r="E117" s="409"/>
      <c r="F117" s="405"/>
      <c r="G117" s="406"/>
      <c r="H117" s="406"/>
      <c r="I117" s="409"/>
      <c r="J117" s="420"/>
      <c r="K117" s="409"/>
    </row>
    <row r="118" spans="1:11" x14ac:dyDescent="0.25">
      <c r="A118" s="459">
        <v>108</v>
      </c>
      <c r="B118" s="457" t="s">
        <v>254</v>
      </c>
      <c r="C118" s="432" t="s">
        <v>255</v>
      </c>
      <c r="D118" s="405"/>
      <c r="E118" s="409"/>
      <c r="F118" s="405"/>
      <c r="G118" s="406"/>
      <c r="H118" s="406"/>
      <c r="I118" s="409"/>
      <c r="J118" s="420"/>
      <c r="K118" s="409"/>
    </row>
    <row r="119" spans="1:11" x14ac:dyDescent="0.25">
      <c r="A119" s="459">
        <v>109</v>
      </c>
      <c r="B119" s="421" t="s">
        <v>256</v>
      </c>
      <c r="C119" s="432" t="s">
        <v>257</v>
      </c>
      <c r="D119" s="405"/>
      <c r="E119" s="409"/>
      <c r="F119" s="405"/>
      <c r="G119" s="406"/>
      <c r="H119" s="406"/>
      <c r="I119" s="409"/>
      <c r="J119" s="420"/>
      <c r="K119" s="409"/>
    </row>
    <row r="120" spans="1:11" x14ac:dyDescent="0.25">
      <c r="A120" s="459">
        <v>110</v>
      </c>
      <c r="B120" s="418" t="s">
        <v>258</v>
      </c>
      <c r="C120" s="432" t="s">
        <v>259</v>
      </c>
      <c r="D120" s="405"/>
      <c r="E120" s="409"/>
      <c r="F120" s="405"/>
      <c r="G120" s="406"/>
      <c r="H120" s="406"/>
      <c r="I120" s="409"/>
      <c r="J120" s="420"/>
      <c r="K120" s="409"/>
    </row>
    <row r="121" spans="1:11" x14ac:dyDescent="0.25">
      <c r="A121" s="459">
        <v>111</v>
      </c>
      <c r="B121" s="457" t="s">
        <v>543</v>
      </c>
      <c r="C121" s="381" t="s">
        <v>544</v>
      </c>
      <c r="D121" s="405"/>
      <c r="E121" s="409"/>
      <c r="F121" s="405"/>
      <c r="G121" s="406"/>
      <c r="H121" s="406"/>
      <c r="I121" s="409"/>
      <c r="J121" s="420"/>
      <c r="K121" s="409"/>
    </row>
    <row r="122" spans="1:11" x14ac:dyDescent="0.25">
      <c r="A122" s="459">
        <v>112</v>
      </c>
      <c r="B122" s="421" t="s">
        <v>260</v>
      </c>
      <c r="C122" s="432" t="s">
        <v>261</v>
      </c>
      <c r="D122" s="405"/>
      <c r="E122" s="409"/>
      <c r="F122" s="405"/>
      <c r="G122" s="406"/>
      <c r="H122" s="406"/>
      <c r="I122" s="409"/>
      <c r="J122" s="420"/>
      <c r="K122" s="409"/>
    </row>
    <row r="123" spans="1:11" x14ac:dyDescent="0.25">
      <c r="A123" s="459">
        <v>113</v>
      </c>
      <c r="B123" s="457" t="s">
        <v>262</v>
      </c>
      <c r="C123" s="432" t="s">
        <v>263</v>
      </c>
      <c r="D123" s="405"/>
      <c r="E123" s="409"/>
      <c r="F123" s="405"/>
      <c r="G123" s="406"/>
      <c r="H123" s="406"/>
      <c r="I123" s="409"/>
      <c r="J123" s="420"/>
      <c r="K123" s="409"/>
    </row>
    <row r="124" spans="1:11" ht="14.25" customHeight="1" x14ac:dyDescent="0.25">
      <c r="A124" s="459">
        <v>114</v>
      </c>
      <c r="B124" s="457" t="s">
        <v>264</v>
      </c>
      <c r="C124" s="438" t="s">
        <v>265</v>
      </c>
      <c r="D124" s="405"/>
      <c r="E124" s="409"/>
      <c r="F124" s="405"/>
      <c r="G124" s="406"/>
      <c r="H124" s="406"/>
      <c r="I124" s="409"/>
      <c r="J124" s="420"/>
      <c r="K124" s="409"/>
    </row>
    <row r="125" spans="1:11" x14ac:dyDescent="0.25">
      <c r="A125" s="459">
        <v>115</v>
      </c>
      <c r="B125" s="457" t="s">
        <v>266</v>
      </c>
      <c r="C125" s="432" t="s">
        <v>267</v>
      </c>
      <c r="D125" s="405"/>
      <c r="E125" s="409"/>
      <c r="F125" s="405"/>
      <c r="G125" s="406"/>
      <c r="H125" s="406"/>
      <c r="I125" s="409"/>
      <c r="J125" s="420"/>
      <c r="K125" s="409"/>
    </row>
    <row r="126" spans="1:11" x14ac:dyDescent="0.25">
      <c r="A126" s="459">
        <v>116</v>
      </c>
      <c r="B126" s="457" t="s">
        <v>268</v>
      </c>
      <c r="C126" s="432" t="s">
        <v>269</v>
      </c>
      <c r="D126" s="405"/>
      <c r="E126" s="409"/>
      <c r="F126" s="405"/>
      <c r="G126" s="406"/>
      <c r="H126" s="406"/>
      <c r="I126" s="409"/>
      <c r="J126" s="420"/>
      <c r="K126" s="409"/>
    </row>
    <row r="127" spans="1:11" x14ac:dyDescent="0.25">
      <c r="A127" s="459">
        <v>117</v>
      </c>
      <c r="B127" s="457" t="s">
        <v>270</v>
      </c>
      <c r="C127" s="432" t="s">
        <v>271</v>
      </c>
      <c r="D127" s="405"/>
      <c r="E127" s="409"/>
      <c r="F127" s="405"/>
      <c r="G127" s="406"/>
      <c r="H127" s="406"/>
      <c r="I127" s="409"/>
      <c r="J127" s="420"/>
      <c r="K127" s="409"/>
    </row>
    <row r="128" spans="1:11" x14ac:dyDescent="0.25">
      <c r="A128" s="459">
        <v>118</v>
      </c>
      <c r="B128" s="418" t="s">
        <v>272</v>
      </c>
      <c r="C128" s="432" t="s">
        <v>273</v>
      </c>
      <c r="D128" s="405"/>
      <c r="E128" s="409"/>
      <c r="F128" s="405"/>
      <c r="G128" s="406"/>
      <c r="H128" s="406"/>
      <c r="I128" s="409"/>
      <c r="J128" s="420"/>
      <c r="K128" s="409"/>
    </row>
    <row r="129" spans="1:11" x14ac:dyDescent="0.25">
      <c r="A129" s="459">
        <v>119</v>
      </c>
      <c r="B129" s="418" t="s">
        <v>274</v>
      </c>
      <c r="C129" s="432" t="s">
        <v>275</v>
      </c>
      <c r="D129" s="405"/>
      <c r="E129" s="409"/>
      <c r="F129" s="405"/>
      <c r="G129" s="406"/>
      <c r="H129" s="406"/>
      <c r="I129" s="409"/>
      <c r="J129" s="420"/>
      <c r="K129" s="409"/>
    </row>
    <row r="130" spans="1:11" x14ac:dyDescent="0.25">
      <c r="A130" s="459">
        <v>120</v>
      </c>
      <c r="B130" s="418" t="s">
        <v>276</v>
      </c>
      <c r="C130" s="432" t="s">
        <v>277</v>
      </c>
      <c r="D130" s="405"/>
      <c r="E130" s="409"/>
      <c r="F130" s="405"/>
      <c r="G130" s="406"/>
      <c r="H130" s="406"/>
      <c r="I130" s="409"/>
      <c r="J130" s="420"/>
      <c r="K130" s="409"/>
    </row>
    <row r="131" spans="1:11" x14ac:dyDescent="0.25">
      <c r="A131" s="459">
        <v>121</v>
      </c>
      <c r="B131" s="457" t="s">
        <v>278</v>
      </c>
      <c r="C131" s="432" t="s">
        <v>279</v>
      </c>
      <c r="D131" s="405"/>
      <c r="E131" s="409"/>
      <c r="F131" s="405"/>
      <c r="G131" s="406"/>
      <c r="H131" s="406"/>
      <c r="I131" s="409"/>
      <c r="J131" s="420"/>
      <c r="K131" s="409"/>
    </row>
    <row r="132" spans="1:11" x14ac:dyDescent="0.25">
      <c r="A132" s="459">
        <v>122</v>
      </c>
      <c r="B132" s="457" t="s">
        <v>280</v>
      </c>
      <c r="C132" s="432" t="s">
        <v>281</v>
      </c>
      <c r="D132" s="405"/>
      <c r="E132" s="409"/>
      <c r="F132" s="405"/>
      <c r="G132" s="406"/>
      <c r="H132" s="406"/>
      <c r="I132" s="409"/>
      <c r="J132" s="420"/>
      <c r="K132" s="409"/>
    </row>
    <row r="133" spans="1:11" x14ac:dyDescent="0.25">
      <c r="A133" s="459">
        <v>123</v>
      </c>
      <c r="B133" s="457" t="s">
        <v>282</v>
      </c>
      <c r="C133" s="432" t="s">
        <v>772</v>
      </c>
      <c r="D133" s="405"/>
      <c r="E133" s="409"/>
      <c r="F133" s="405"/>
      <c r="G133" s="406"/>
      <c r="H133" s="406"/>
      <c r="I133" s="409"/>
      <c r="J133" s="420"/>
      <c r="K133" s="409"/>
    </row>
    <row r="134" spans="1:11" x14ac:dyDescent="0.25">
      <c r="A134" s="459">
        <v>124</v>
      </c>
      <c r="B134" s="418" t="s">
        <v>283</v>
      </c>
      <c r="C134" s="432" t="s">
        <v>284</v>
      </c>
      <c r="D134" s="405"/>
      <c r="E134" s="409"/>
      <c r="F134" s="405"/>
      <c r="G134" s="406"/>
      <c r="H134" s="406"/>
      <c r="I134" s="409"/>
      <c r="J134" s="420"/>
      <c r="K134" s="409"/>
    </row>
    <row r="135" spans="1:11" ht="27.75" customHeight="1" x14ac:dyDescent="0.25">
      <c r="A135" s="459">
        <v>125</v>
      </c>
      <c r="B135" s="421" t="s">
        <v>285</v>
      </c>
      <c r="C135" s="432" t="s">
        <v>728</v>
      </c>
      <c r="D135" s="405">
        <v>13190</v>
      </c>
      <c r="E135" s="409">
        <v>1022</v>
      </c>
      <c r="F135" s="405"/>
      <c r="G135" s="406"/>
      <c r="H135" s="406"/>
      <c r="I135" s="409"/>
      <c r="J135" s="420"/>
      <c r="K135" s="409"/>
    </row>
    <row r="136" spans="1:11" x14ac:dyDescent="0.25">
      <c r="A136" s="459">
        <v>126</v>
      </c>
      <c r="B136" s="457" t="s">
        <v>286</v>
      </c>
      <c r="C136" s="432" t="s">
        <v>287</v>
      </c>
      <c r="D136" s="405"/>
      <c r="E136" s="409"/>
      <c r="F136" s="405"/>
      <c r="G136" s="406"/>
      <c r="H136" s="406"/>
      <c r="I136" s="409"/>
      <c r="J136" s="420"/>
      <c r="K136" s="409"/>
    </row>
    <row r="137" spans="1:11" x14ac:dyDescent="0.25">
      <c r="A137" s="459">
        <v>127</v>
      </c>
      <c r="B137" s="418" t="s">
        <v>288</v>
      </c>
      <c r="C137" s="432" t="s">
        <v>289</v>
      </c>
      <c r="D137" s="405"/>
      <c r="E137" s="409"/>
      <c r="F137" s="405"/>
      <c r="G137" s="406"/>
      <c r="H137" s="406"/>
      <c r="I137" s="409"/>
      <c r="J137" s="420"/>
      <c r="K137" s="409"/>
    </row>
    <row r="138" spans="1:11" x14ac:dyDescent="0.25">
      <c r="A138" s="459">
        <v>128</v>
      </c>
      <c r="B138" s="457" t="s">
        <v>290</v>
      </c>
      <c r="C138" s="432" t="s">
        <v>291</v>
      </c>
      <c r="D138" s="405"/>
      <c r="E138" s="409"/>
      <c r="F138" s="405"/>
      <c r="G138" s="406"/>
      <c r="H138" s="406"/>
      <c r="I138" s="409"/>
      <c r="J138" s="420"/>
      <c r="K138" s="409"/>
    </row>
    <row r="139" spans="1:11" x14ac:dyDescent="0.25">
      <c r="A139" s="459">
        <v>129</v>
      </c>
      <c r="B139" s="423" t="s">
        <v>292</v>
      </c>
      <c r="C139" s="439" t="s">
        <v>293</v>
      </c>
      <c r="D139" s="405">
        <v>146310</v>
      </c>
      <c r="E139" s="409">
        <v>30487</v>
      </c>
      <c r="F139" s="464">
        <v>7470</v>
      </c>
      <c r="G139" s="419">
        <v>74698</v>
      </c>
      <c r="H139" s="406">
        <v>525</v>
      </c>
      <c r="I139" s="409">
        <v>24674</v>
      </c>
      <c r="J139" s="420">
        <v>594</v>
      </c>
      <c r="K139" s="409">
        <v>7130</v>
      </c>
    </row>
    <row r="140" spans="1:11" x14ac:dyDescent="0.25">
      <c r="A140" s="459">
        <v>130</v>
      </c>
      <c r="B140" s="424" t="s">
        <v>294</v>
      </c>
      <c r="C140" s="439" t="s">
        <v>295</v>
      </c>
      <c r="D140" s="405"/>
      <c r="E140" s="409"/>
      <c r="F140" s="405"/>
      <c r="G140" s="419"/>
      <c r="H140" s="406"/>
      <c r="I140" s="409"/>
      <c r="J140" s="420"/>
      <c r="K140" s="409"/>
    </row>
    <row r="141" spans="1:11" x14ac:dyDescent="0.25">
      <c r="A141" s="459">
        <v>131</v>
      </c>
      <c r="B141" s="423" t="s">
        <v>296</v>
      </c>
      <c r="C141" s="404" t="s">
        <v>461</v>
      </c>
      <c r="D141" s="405"/>
      <c r="E141" s="409"/>
      <c r="F141" s="405"/>
      <c r="G141" s="419"/>
      <c r="H141" s="406"/>
      <c r="I141" s="409"/>
      <c r="J141" s="420"/>
      <c r="K141" s="409"/>
    </row>
    <row r="142" spans="1:11" x14ac:dyDescent="0.25">
      <c r="A142" s="459">
        <v>132</v>
      </c>
      <c r="B142" s="388" t="s">
        <v>298</v>
      </c>
      <c r="C142" s="389" t="s">
        <v>299</v>
      </c>
      <c r="D142" s="405"/>
      <c r="E142" s="409"/>
      <c r="F142" s="405"/>
      <c r="G142" s="419"/>
      <c r="H142" s="406"/>
      <c r="I142" s="409"/>
      <c r="J142" s="420"/>
      <c r="K142" s="409"/>
    </row>
    <row r="143" spans="1:11" x14ac:dyDescent="0.25">
      <c r="A143" s="459">
        <v>133</v>
      </c>
      <c r="B143" s="329" t="s">
        <v>300</v>
      </c>
      <c r="C143" s="389" t="s">
        <v>301</v>
      </c>
      <c r="D143" s="405"/>
      <c r="E143" s="409"/>
      <c r="F143" s="405"/>
      <c r="G143" s="419"/>
      <c r="H143" s="406"/>
      <c r="I143" s="409"/>
      <c r="J143" s="420"/>
      <c r="K143" s="409"/>
    </row>
    <row r="144" spans="1:11" x14ac:dyDescent="0.25">
      <c r="A144" s="459">
        <v>134</v>
      </c>
      <c r="B144" s="329" t="s">
        <v>302</v>
      </c>
      <c r="C144" s="389" t="s">
        <v>303</v>
      </c>
      <c r="D144" s="405"/>
      <c r="E144" s="409"/>
      <c r="F144" s="405"/>
      <c r="G144" s="419"/>
      <c r="H144" s="406"/>
      <c r="I144" s="409"/>
      <c r="J144" s="420"/>
      <c r="K144" s="409"/>
    </row>
    <row r="145" spans="1:11" ht="13.5" thickBot="1" x14ac:dyDescent="0.3">
      <c r="A145" s="326">
        <v>135</v>
      </c>
      <c r="B145" s="391" t="s">
        <v>304</v>
      </c>
      <c r="C145" s="465" t="s">
        <v>305</v>
      </c>
      <c r="D145" s="426"/>
      <c r="E145" s="427"/>
      <c r="F145" s="426"/>
      <c r="G145" s="427"/>
      <c r="H145" s="410"/>
      <c r="I145" s="412"/>
      <c r="J145" s="428"/>
      <c r="K145" s="412"/>
    </row>
    <row r="146" spans="1:11" s="467" customFormat="1" x14ac:dyDescent="0.25">
      <c r="A146" s="466"/>
      <c r="C146" s="468"/>
    </row>
    <row r="147" spans="1:11" s="399" customFormat="1" x14ac:dyDescent="0.25">
      <c r="C147" s="469"/>
    </row>
    <row r="148" spans="1:11" s="399" customFormat="1" x14ac:dyDescent="0.25">
      <c r="C148" s="469"/>
    </row>
    <row r="149" spans="1:11" x14ac:dyDescent="0.25">
      <c r="G149" s="399"/>
      <c r="H149" s="399"/>
      <c r="I149" s="399"/>
      <c r="K149" s="399"/>
    </row>
    <row r="151" spans="1:11" x14ac:dyDescent="0.25">
      <c r="G151" s="399"/>
    </row>
    <row r="152" spans="1:11" x14ac:dyDescent="0.25">
      <c r="F152" s="470"/>
      <c r="G152" s="471"/>
    </row>
    <row r="153" spans="1:11" x14ac:dyDescent="0.25">
      <c r="G153" s="399"/>
    </row>
  </sheetData>
  <mergeCells count="16">
    <mergeCell ref="A7:C7"/>
    <mergeCell ref="A88:A91"/>
    <mergeCell ref="B88:B91"/>
    <mergeCell ref="A3:A6"/>
    <mergeCell ref="B3:B6"/>
    <mergeCell ref="C3:C6"/>
    <mergeCell ref="A1:K1"/>
    <mergeCell ref="F3:I4"/>
    <mergeCell ref="J3:K4"/>
    <mergeCell ref="F5:G5"/>
    <mergeCell ref="H5:I5"/>
    <mergeCell ref="J5:J6"/>
    <mergeCell ref="K5:K6"/>
    <mergeCell ref="D3:E4"/>
    <mergeCell ref="D5:D6"/>
    <mergeCell ref="E5:E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145"/>
  <sheetViews>
    <sheetView workbookViewId="0">
      <pane xSplit="3" ySplit="7" topLeftCell="G123" activePane="bottomRight" state="frozen"/>
      <selection pane="topRight" activeCell="D1" sqref="D1"/>
      <selection pane="bottomLeft" activeCell="A8" sqref="A8"/>
      <selection pane="bottomRight" activeCell="C134" sqref="C134"/>
    </sheetView>
  </sheetViews>
  <sheetFormatPr defaultRowHeight="15" x14ac:dyDescent="0.25"/>
  <cols>
    <col min="1" max="1" width="5.5703125" style="108" customWidth="1"/>
    <col min="2" max="2" width="9.140625" style="108"/>
    <col min="3" max="3" width="35.42578125" style="108" customWidth="1"/>
    <col min="4" max="4" width="16.7109375" style="108" customWidth="1"/>
    <col min="5" max="5" width="16.5703125" style="108" customWidth="1"/>
    <col min="6" max="6" width="14.42578125" style="108" customWidth="1"/>
    <col min="7" max="7" width="12.7109375" style="108" customWidth="1"/>
    <col min="8" max="8" width="11.28515625" style="108" customWidth="1"/>
    <col min="9" max="9" width="11.7109375" style="108" customWidth="1"/>
    <col min="10" max="16384" width="9.140625" style="108"/>
  </cols>
  <sheetData>
    <row r="1" spans="1:9" ht="25.5" customHeight="1" x14ac:dyDescent="0.25">
      <c r="A1" s="1240" t="s">
        <v>709</v>
      </c>
      <c r="B1" s="1349"/>
      <c r="C1" s="1349"/>
      <c r="D1" s="1349"/>
      <c r="E1" s="1349"/>
      <c r="F1" s="1349"/>
      <c r="G1" s="1350"/>
      <c r="H1" s="1350"/>
      <c r="I1" s="1350"/>
    </row>
    <row r="2" spans="1:9" ht="15.75" thickBot="1" x14ac:dyDescent="0.3">
      <c r="A2" s="350"/>
      <c r="B2" s="350"/>
      <c r="C2" s="350"/>
      <c r="D2" s="351"/>
      <c r="E2" s="351"/>
      <c r="F2" s="351"/>
      <c r="G2" s="350"/>
      <c r="H2" s="429"/>
      <c r="I2" s="350"/>
    </row>
    <row r="3" spans="1:9" x14ac:dyDescent="0.25">
      <c r="A3" s="1337" t="s">
        <v>0</v>
      </c>
      <c r="B3" s="1340" t="s">
        <v>693</v>
      </c>
      <c r="C3" s="1343" t="s">
        <v>2</v>
      </c>
      <c r="D3" s="1326" t="s">
        <v>694</v>
      </c>
      <c r="E3" s="1327"/>
      <c r="F3" s="1308" t="s">
        <v>695</v>
      </c>
      <c r="G3" s="1353"/>
      <c r="H3" s="1316" t="s">
        <v>696</v>
      </c>
      <c r="I3" s="1353"/>
    </row>
    <row r="4" spans="1:9" x14ac:dyDescent="0.25">
      <c r="A4" s="1338"/>
      <c r="B4" s="1341"/>
      <c r="C4" s="1344"/>
      <c r="D4" s="1351"/>
      <c r="E4" s="1352"/>
      <c r="F4" s="1351"/>
      <c r="G4" s="1354"/>
      <c r="H4" s="1355"/>
      <c r="I4" s="1354"/>
    </row>
    <row r="5" spans="1:9" x14ac:dyDescent="0.25">
      <c r="A5" s="1338"/>
      <c r="B5" s="1341"/>
      <c r="C5" s="1344"/>
      <c r="D5" s="1330" t="s">
        <v>441</v>
      </c>
      <c r="E5" s="1332" t="s">
        <v>697</v>
      </c>
      <c r="F5" s="1358" t="s">
        <v>698</v>
      </c>
      <c r="G5" s="1324" t="s">
        <v>699</v>
      </c>
      <c r="H5" s="1322" t="s">
        <v>700</v>
      </c>
      <c r="I5" s="1324" t="s">
        <v>701</v>
      </c>
    </row>
    <row r="6" spans="1:9" ht="29.25" customHeight="1" thickBot="1" x14ac:dyDescent="0.3">
      <c r="A6" s="1339"/>
      <c r="B6" s="1342"/>
      <c r="C6" s="1345"/>
      <c r="D6" s="1356"/>
      <c r="E6" s="1357"/>
      <c r="F6" s="1359"/>
      <c r="G6" s="1360"/>
      <c r="H6" s="1361"/>
      <c r="I6" s="1360"/>
    </row>
    <row r="7" spans="1:9" x14ac:dyDescent="0.25">
      <c r="A7" s="1334" t="s">
        <v>44</v>
      </c>
      <c r="B7" s="1335"/>
      <c r="C7" s="1336"/>
      <c r="D7" s="430">
        <f t="shared" ref="D7:I7" si="0">SUM(D8:D145)-D92</f>
        <v>50318</v>
      </c>
      <c r="E7" s="431">
        <f t="shared" si="0"/>
        <v>6273</v>
      </c>
      <c r="F7" s="430">
        <f t="shared" si="0"/>
        <v>5377</v>
      </c>
      <c r="G7" s="403">
        <f t="shared" si="0"/>
        <v>166020</v>
      </c>
      <c r="H7" s="417">
        <f t="shared" si="0"/>
        <v>4075</v>
      </c>
      <c r="I7" s="403">
        <f t="shared" si="0"/>
        <v>85560</v>
      </c>
    </row>
    <row r="8" spans="1:9" x14ac:dyDescent="0.25">
      <c r="A8" s="357">
        <v>1</v>
      </c>
      <c r="B8" s="418" t="s">
        <v>54</v>
      </c>
      <c r="C8" s="432" t="s">
        <v>55</v>
      </c>
      <c r="D8" s="378"/>
      <c r="E8" s="433"/>
      <c r="F8" s="367"/>
      <c r="G8" s="363"/>
      <c r="H8" s="420"/>
      <c r="I8" s="363"/>
    </row>
    <row r="9" spans="1:9" x14ac:dyDescent="0.25">
      <c r="A9" s="357">
        <v>2</v>
      </c>
      <c r="B9" s="421" t="s">
        <v>56</v>
      </c>
      <c r="C9" s="432" t="s">
        <v>57</v>
      </c>
      <c r="D9" s="378"/>
      <c r="E9" s="433"/>
      <c r="F9" s="367"/>
      <c r="G9" s="363"/>
      <c r="H9" s="420"/>
      <c r="I9" s="363"/>
    </row>
    <row r="10" spans="1:9" x14ac:dyDescent="0.25">
      <c r="A10" s="357">
        <v>3</v>
      </c>
      <c r="B10" s="407" t="s">
        <v>16</v>
      </c>
      <c r="C10" s="432" t="s">
        <v>17</v>
      </c>
      <c r="D10" s="378">
        <v>1460</v>
      </c>
      <c r="E10" s="433">
        <v>88</v>
      </c>
      <c r="F10" s="367"/>
      <c r="G10" s="363"/>
      <c r="H10" s="420">
        <v>221</v>
      </c>
      <c r="I10" s="363">
        <v>4650</v>
      </c>
    </row>
    <row r="11" spans="1:9" x14ac:dyDescent="0.25">
      <c r="A11" s="357">
        <v>4</v>
      </c>
      <c r="B11" s="418" t="s">
        <v>58</v>
      </c>
      <c r="C11" s="432" t="s">
        <v>59</v>
      </c>
      <c r="D11" s="378"/>
      <c r="E11" s="433"/>
      <c r="F11" s="367"/>
      <c r="G11" s="363"/>
      <c r="H11" s="420"/>
      <c r="I11" s="363"/>
    </row>
    <row r="12" spans="1:9" x14ac:dyDescent="0.25">
      <c r="A12" s="357">
        <v>5</v>
      </c>
      <c r="B12" s="418" t="s">
        <v>60</v>
      </c>
      <c r="C12" s="432" t="s">
        <v>61</v>
      </c>
      <c r="D12" s="378"/>
      <c r="E12" s="433"/>
      <c r="F12" s="367"/>
      <c r="G12" s="363"/>
      <c r="H12" s="420"/>
      <c r="I12" s="363"/>
    </row>
    <row r="13" spans="1:9" x14ac:dyDescent="0.25">
      <c r="A13" s="357">
        <v>6</v>
      </c>
      <c r="B13" s="407" t="s">
        <v>18</v>
      </c>
      <c r="C13" s="432" t="s">
        <v>19</v>
      </c>
      <c r="D13" s="378"/>
      <c r="E13" s="433"/>
      <c r="F13" s="367"/>
      <c r="G13" s="363"/>
      <c r="H13" s="420"/>
      <c r="I13" s="363"/>
    </row>
    <row r="14" spans="1:9" x14ac:dyDescent="0.25">
      <c r="A14" s="357">
        <v>7</v>
      </c>
      <c r="B14" s="418" t="s">
        <v>62</v>
      </c>
      <c r="C14" s="432" t="s">
        <v>63</v>
      </c>
      <c r="D14" s="378"/>
      <c r="E14" s="433"/>
      <c r="F14" s="367"/>
      <c r="G14" s="363"/>
      <c r="H14" s="420"/>
      <c r="I14" s="363"/>
    </row>
    <row r="15" spans="1:9" x14ac:dyDescent="0.25">
      <c r="A15" s="357">
        <v>8</v>
      </c>
      <c r="B15" s="407" t="s">
        <v>64</v>
      </c>
      <c r="C15" s="432" t="s">
        <v>65</v>
      </c>
      <c r="D15" s="378"/>
      <c r="E15" s="433"/>
      <c r="F15" s="367"/>
      <c r="G15" s="363"/>
      <c r="H15" s="420"/>
      <c r="I15" s="363"/>
    </row>
    <row r="16" spans="1:9" x14ac:dyDescent="0.25">
      <c r="A16" s="357">
        <v>9</v>
      </c>
      <c r="B16" s="407" t="s">
        <v>66</v>
      </c>
      <c r="C16" s="432" t="s">
        <v>67</v>
      </c>
      <c r="D16" s="378"/>
      <c r="E16" s="433"/>
      <c r="F16" s="367"/>
      <c r="G16" s="363"/>
      <c r="H16" s="420"/>
      <c r="I16" s="363"/>
    </row>
    <row r="17" spans="1:9" x14ac:dyDescent="0.25">
      <c r="A17" s="357">
        <v>10</v>
      </c>
      <c r="B17" s="407" t="s">
        <v>68</v>
      </c>
      <c r="C17" s="432" t="s">
        <v>69</v>
      </c>
      <c r="D17" s="378">
        <v>1460</v>
      </c>
      <c r="E17" s="433">
        <v>125</v>
      </c>
      <c r="F17" s="367">
        <v>330</v>
      </c>
      <c r="G17" s="363">
        <v>9900</v>
      </c>
      <c r="H17" s="420"/>
      <c r="I17" s="363"/>
    </row>
    <row r="18" spans="1:9" x14ac:dyDescent="0.25">
      <c r="A18" s="357">
        <v>11</v>
      </c>
      <c r="B18" s="407" t="s">
        <v>70</v>
      </c>
      <c r="C18" s="432" t="s">
        <v>71</v>
      </c>
      <c r="D18" s="378"/>
      <c r="E18" s="433"/>
      <c r="F18" s="367"/>
      <c r="G18" s="363"/>
      <c r="H18" s="420"/>
      <c r="I18" s="363"/>
    </row>
    <row r="19" spans="1:9" x14ac:dyDescent="0.25">
      <c r="A19" s="357">
        <v>12</v>
      </c>
      <c r="B19" s="407" t="s">
        <v>72</v>
      </c>
      <c r="C19" s="432" t="s">
        <v>73</v>
      </c>
      <c r="D19" s="378"/>
      <c r="E19" s="433"/>
      <c r="F19" s="367"/>
      <c r="G19" s="363"/>
      <c r="H19" s="420"/>
      <c r="I19" s="363"/>
    </row>
    <row r="20" spans="1:9" x14ac:dyDescent="0.25">
      <c r="A20" s="357">
        <v>13</v>
      </c>
      <c r="B20" s="407" t="s">
        <v>74</v>
      </c>
      <c r="C20" s="432" t="s">
        <v>75</v>
      </c>
      <c r="D20" s="378"/>
      <c r="E20" s="433"/>
      <c r="F20" s="367"/>
      <c r="G20" s="363"/>
      <c r="H20" s="420"/>
      <c r="I20" s="363"/>
    </row>
    <row r="21" spans="1:9" x14ac:dyDescent="0.25">
      <c r="A21" s="357">
        <v>14</v>
      </c>
      <c r="B21" s="407" t="s">
        <v>76</v>
      </c>
      <c r="C21" s="432" t="s">
        <v>77</v>
      </c>
      <c r="D21" s="378"/>
      <c r="E21" s="433"/>
      <c r="F21" s="367"/>
      <c r="G21" s="363"/>
      <c r="H21" s="420"/>
      <c r="I21" s="363"/>
    </row>
    <row r="22" spans="1:9" x14ac:dyDescent="0.25">
      <c r="A22" s="357">
        <v>15</v>
      </c>
      <c r="B22" s="407" t="s">
        <v>78</v>
      </c>
      <c r="C22" s="432" t="s">
        <v>79</v>
      </c>
      <c r="D22" s="378"/>
      <c r="E22" s="433"/>
      <c r="F22" s="367"/>
      <c r="G22" s="363"/>
      <c r="H22" s="420"/>
      <c r="I22" s="363"/>
    </row>
    <row r="23" spans="1:9" x14ac:dyDescent="0.25">
      <c r="A23" s="357">
        <v>16</v>
      </c>
      <c r="B23" s="407" t="s">
        <v>80</v>
      </c>
      <c r="C23" s="432" t="s">
        <v>81</v>
      </c>
      <c r="D23" s="378"/>
      <c r="E23" s="433"/>
      <c r="F23" s="367"/>
      <c r="G23" s="363"/>
      <c r="H23" s="420"/>
      <c r="I23" s="363"/>
    </row>
    <row r="24" spans="1:9" x14ac:dyDescent="0.25">
      <c r="A24" s="357">
        <v>17</v>
      </c>
      <c r="B24" s="407" t="s">
        <v>20</v>
      </c>
      <c r="C24" s="432" t="s">
        <v>21</v>
      </c>
      <c r="D24" s="378">
        <v>3735</v>
      </c>
      <c r="E24" s="433">
        <v>447</v>
      </c>
      <c r="F24" s="367"/>
      <c r="G24" s="363"/>
      <c r="H24" s="420"/>
      <c r="I24" s="363"/>
    </row>
    <row r="25" spans="1:9" x14ac:dyDescent="0.25">
      <c r="A25" s="357">
        <v>18</v>
      </c>
      <c r="B25" s="418" t="s">
        <v>82</v>
      </c>
      <c r="C25" s="432" t="s">
        <v>83</v>
      </c>
      <c r="D25" s="378"/>
      <c r="E25" s="433"/>
      <c r="F25" s="367"/>
      <c r="G25" s="363"/>
      <c r="H25" s="420"/>
      <c r="I25" s="363"/>
    </row>
    <row r="26" spans="1:9" x14ac:dyDescent="0.25">
      <c r="A26" s="357">
        <v>19</v>
      </c>
      <c r="B26" s="418" t="s">
        <v>84</v>
      </c>
      <c r="C26" s="432" t="s">
        <v>85</v>
      </c>
      <c r="D26" s="378"/>
      <c r="E26" s="433"/>
      <c r="F26" s="367"/>
      <c r="G26" s="363"/>
      <c r="H26" s="420"/>
      <c r="I26" s="363"/>
    </row>
    <row r="27" spans="1:9" x14ac:dyDescent="0.25">
      <c r="A27" s="357">
        <v>20</v>
      </c>
      <c r="B27" s="418" t="s">
        <v>86</v>
      </c>
      <c r="C27" s="432" t="s">
        <v>87</v>
      </c>
      <c r="D27" s="378">
        <v>1297</v>
      </c>
      <c r="E27" s="433">
        <v>125</v>
      </c>
      <c r="F27" s="367">
        <v>330</v>
      </c>
      <c r="G27" s="363">
        <v>9900</v>
      </c>
      <c r="H27" s="420"/>
      <c r="I27" s="363"/>
    </row>
    <row r="28" spans="1:9" x14ac:dyDescent="0.25">
      <c r="A28" s="357">
        <v>21</v>
      </c>
      <c r="B28" s="418" t="s">
        <v>22</v>
      </c>
      <c r="C28" s="432" t="s">
        <v>23</v>
      </c>
      <c r="D28" s="378">
        <v>1459</v>
      </c>
      <c r="E28" s="433">
        <v>88</v>
      </c>
      <c r="F28" s="367">
        <v>330</v>
      </c>
      <c r="G28" s="363">
        <v>9900</v>
      </c>
      <c r="H28" s="420"/>
      <c r="I28" s="363"/>
    </row>
    <row r="29" spans="1:9" x14ac:dyDescent="0.25">
      <c r="A29" s="370">
        <v>22</v>
      </c>
      <c r="B29" s="407" t="s">
        <v>24</v>
      </c>
      <c r="C29" s="432" t="s">
        <v>25</v>
      </c>
      <c r="D29" s="378"/>
      <c r="E29" s="433"/>
      <c r="F29" s="434"/>
      <c r="G29" s="363"/>
      <c r="H29" s="420"/>
      <c r="I29" s="363"/>
    </row>
    <row r="30" spans="1:9" x14ac:dyDescent="0.25">
      <c r="A30" s="357">
        <v>23</v>
      </c>
      <c r="B30" s="407" t="s">
        <v>88</v>
      </c>
      <c r="C30" s="432" t="s">
        <v>89</v>
      </c>
      <c r="D30" s="378"/>
      <c r="E30" s="433"/>
      <c r="F30" s="367"/>
      <c r="G30" s="363"/>
      <c r="H30" s="420"/>
      <c r="I30" s="363"/>
    </row>
    <row r="31" spans="1:9" ht="25.5" x14ac:dyDescent="0.25">
      <c r="A31" s="357">
        <v>24</v>
      </c>
      <c r="B31" s="407" t="s">
        <v>90</v>
      </c>
      <c r="C31" s="432" t="s">
        <v>91</v>
      </c>
      <c r="D31" s="378"/>
      <c r="E31" s="433"/>
      <c r="F31" s="367"/>
      <c r="G31" s="363"/>
      <c r="H31" s="420"/>
      <c r="I31" s="363"/>
    </row>
    <row r="32" spans="1:9" x14ac:dyDescent="0.25">
      <c r="A32" s="357">
        <v>25</v>
      </c>
      <c r="B32" s="418" t="s">
        <v>92</v>
      </c>
      <c r="C32" s="432" t="s">
        <v>93</v>
      </c>
      <c r="D32" s="378">
        <v>1459</v>
      </c>
      <c r="E32" s="433">
        <v>125</v>
      </c>
      <c r="F32" s="367">
        <v>495</v>
      </c>
      <c r="G32" s="363">
        <v>14850</v>
      </c>
      <c r="H32" s="420">
        <v>221</v>
      </c>
      <c r="I32" s="363">
        <v>4650</v>
      </c>
    </row>
    <row r="33" spans="1:9" x14ac:dyDescent="0.25">
      <c r="A33" s="357">
        <v>26</v>
      </c>
      <c r="B33" s="407" t="s">
        <v>94</v>
      </c>
      <c r="C33" s="432" t="s">
        <v>95</v>
      </c>
      <c r="D33" s="378"/>
      <c r="E33" s="433"/>
      <c r="F33" s="367"/>
      <c r="G33" s="363"/>
      <c r="H33" s="420"/>
      <c r="I33" s="363"/>
    </row>
    <row r="34" spans="1:9" x14ac:dyDescent="0.25">
      <c r="A34" s="357">
        <v>27</v>
      </c>
      <c r="B34" s="421" t="s">
        <v>96</v>
      </c>
      <c r="C34" s="432" t="s">
        <v>97</v>
      </c>
      <c r="D34" s="378"/>
      <c r="E34" s="433"/>
      <c r="F34" s="367"/>
      <c r="G34" s="363"/>
      <c r="H34" s="420"/>
      <c r="I34" s="363"/>
    </row>
    <row r="35" spans="1:9" x14ac:dyDescent="0.25">
      <c r="A35" s="331">
        <v>28</v>
      </c>
      <c r="B35" s="421" t="s">
        <v>26</v>
      </c>
      <c r="C35" s="432" t="s">
        <v>27</v>
      </c>
      <c r="D35" s="378">
        <v>1485</v>
      </c>
      <c r="E35" s="433">
        <v>125</v>
      </c>
      <c r="F35" s="367">
        <v>165</v>
      </c>
      <c r="G35" s="363">
        <v>4950</v>
      </c>
      <c r="H35" s="420">
        <v>221</v>
      </c>
      <c r="I35" s="363">
        <v>4650</v>
      </c>
    </row>
    <row r="36" spans="1:9" x14ac:dyDescent="0.25">
      <c r="A36" s="331">
        <v>29</v>
      </c>
      <c r="B36" s="418" t="s">
        <v>98</v>
      </c>
      <c r="C36" s="432" t="s">
        <v>99</v>
      </c>
      <c r="D36" s="378"/>
      <c r="E36" s="433"/>
      <c r="F36" s="367"/>
      <c r="G36" s="363"/>
      <c r="H36" s="420"/>
      <c r="I36" s="363"/>
    </row>
    <row r="37" spans="1:9" x14ac:dyDescent="0.25">
      <c r="A37" s="331">
        <v>30</v>
      </c>
      <c r="B37" s="421" t="s">
        <v>100</v>
      </c>
      <c r="C37" s="432" t="s">
        <v>101</v>
      </c>
      <c r="D37" s="378"/>
      <c r="E37" s="433"/>
      <c r="F37" s="367"/>
      <c r="G37" s="363"/>
      <c r="H37" s="420"/>
      <c r="I37" s="363"/>
    </row>
    <row r="38" spans="1:9" x14ac:dyDescent="0.25">
      <c r="A38" s="331">
        <v>31</v>
      </c>
      <c r="B38" s="407" t="s">
        <v>102</v>
      </c>
      <c r="C38" s="432" t="s">
        <v>103</v>
      </c>
      <c r="D38" s="378"/>
      <c r="E38" s="433"/>
      <c r="F38" s="367"/>
      <c r="G38" s="363"/>
      <c r="H38" s="420"/>
      <c r="I38" s="363"/>
    </row>
    <row r="39" spans="1:9" x14ac:dyDescent="0.25">
      <c r="A39" s="331">
        <v>32</v>
      </c>
      <c r="B39" s="421" t="s">
        <v>104</v>
      </c>
      <c r="C39" s="432" t="s">
        <v>105</v>
      </c>
      <c r="D39" s="378"/>
      <c r="E39" s="433"/>
      <c r="F39" s="367"/>
      <c r="G39" s="363"/>
      <c r="H39" s="420"/>
      <c r="I39" s="363"/>
    </row>
    <row r="40" spans="1:9" x14ac:dyDescent="0.25">
      <c r="A40" s="331">
        <v>33</v>
      </c>
      <c r="B40" s="418" t="s">
        <v>106</v>
      </c>
      <c r="C40" s="432" t="s">
        <v>107</v>
      </c>
      <c r="D40" s="378">
        <v>1460</v>
      </c>
      <c r="E40" s="433">
        <v>125</v>
      </c>
      <c r="F40" s="367">
        <v>363</v>
      </c>
      <c r="G40" s="363">
        <v>10890</v>
      </c>
      <c r="H40" s="420"/>
      <c r="I40" s="363"/>
    </row>
    <row r="41" spans="1:9" x14ac:dyDescent="0.25">
      <c r="A41" s="331">
        <v>34</v>
      </c>
      <c r="B41" s="371" t="s">
        <v>108</v>
      </c>
      <c r="C41" s="323" t="s">
        <v>109</v>
      </c>
      <c r="D41" s="378">
        <v>1459</v>
      </c>
      <c r="E41" s="433">
        <v>88</v>
      </c>
      <c r="F41" s="367"/>
      <c r="G41" s="363"/>
      <c r="H41" s="420">
        <v>148</v>
      </c>
      <c r="I41" s="363">
        <v>3100</v>
      </c>
    </row>
    <row r="42" spans="1:9" x14ac:dyDescent="0.25">
      <c r="A42" s="331">
        <v>35</v>
      </c>
      <c r="B42" s="418" t="s">
        <v>110</v>
      </c>
      <c r="C42" s="432" t="s">
        <v>111</v>
      </c>
      <c r="D42" s="378"/>
      <c r="E42" s="433"/>
      <c r="F42" s="367"/>
      <c r="G42" s="363"/>
      <c r="H42" s="420"/>
      <c r="I42" s="363"/>
    </row>
    <row r="43" spans="1:9" x14ac:dyDescent="0.25">
      <c r="A43" s="331">
        <v>36</v>
      </c>
      <c r="B43" s="418" t="s">
        <v>112</v>
      </c>
      <c r="C43" s="432" t="s">
        <v>113</v>
      </c>
      <c r="D43" s="378"/>
      <c r="E43" s="433"/>
      <c r="F43" s="367"/>
      <c r="G43" s="363"/>
      <c r="H43" s="420"/>
      <c r="I43" s="363"/>
    </row>
    <row r="44" spans="1:9" x14ac:dyDescent="0.25">
      <c r="A44" s="331">
        <v>37</v>
      </c>
      <c r="B44" s="407" t="s">
        <v>114</v>
      </c>
      <c r="C44" s="432" t="s">
        <v>115</v>
      </c>
      <c r="D44" s="378"/>
      <c r="E44" s="433"/>
      <c r="F44" s="367"/>
      <c r="G44" s="363"/>
      <c r="H44" s="420"/>
      <c r="I44" s="363"/>
    </row>
    <row r="45" spans="1:9" x14ac:dyDescent="0.25">
      <c r="A45" s="331">
        <v>38</v>
      </c>
      <c r="B45" s="421" t="s">
        <v>116</v>
      </c>
      <c r="C45" s="432" t="s">
        <v>117</v>
      </c>
      <c r="D45" s="378"/>
      <c r="E45" s="433"/>
      <c r="F45" s="367"/>
      <c r="G45" s="363"/>
      <c r="H45" s="420"/>
      <c r="I45" s="363"/>
    </row>
    <row r="46" spans="1:9" x14ac:dyDescent="0.25">
      <c r="A46" s="331">
        <v>39</v>
      </c>
      <c r="B46" s="407" t="s">
        <v>28</v>
      </c>
      <c r="C46" s="432" t="s">
        <v>29</v>
      </c>
      <c r="D46" s="378"/>
      <c r="E46" s="433"/>
      <c r="F46" s="367"/>
      <c r="G46" s="363"/>
      <c r="H46" s="420"/>
      <c r="I46" s="363"/>
    </row>
    <row r="47" spans="1:9" x14ac:dyDescent="0.25">
      <c r="A47" s="331">
        <v>40</v>
      </c>
      <c r="B47" s="418" t="s">
        <v>118</v>
      </c>
      <c r="C47" s="432" t="s">
        <v>119</v>
      </c>
      <c r="D47" s="378">
        <v>1279</v>
      </c>
      <c r="E47" s="433">
        <v>88</v>
      </c>
      <c r="F47" s="367"/>
      <c r="G47" s="363"/>
      <c r="H47" s="420">
        <v>148</v>
      </c>
      <c r="I47" s="363">
        <v>3100</v>
      </c>
    </row>
    <row r="48" spans="1:9" x14ac:dyDescent="0.25">
      <c r="A48" s="331">
        <v>41</v>
      </c>
      <c r="B48" s="418" t="s">
        <v>120</v>
      </c>
      <c r="C48" s="432" t="s">
        <v>121</v>
      </c>
      <c r="D48" s="378"/>
      <c r="E48" s="433"/>
      <c r="F48" s="367"/>
      <c r="G48" s="363"/>
      <c r="H48" s="420"/>
      <c r="I48" s="363"/>
    </row>
    <row r="49" spans="1:9" x14ac:dyDescent="0.25">
      <c r="A49" s="331">
        <v>42</v>
      </c>
      <c r="B49" s="407" t="s">
        <v>122</v>
      </c>
      <c r="C49" s="432" t="s">
        <v>123</v>
      </c>
      <c r="D49" s="378"/>
      <c r="E49" s="433"/>
      <c r="F49" s="367"/>
      <c r="G49" s="363"/>
      <c r="H49" s="420"/>
      <c r="I49" s="363"/>
    </row>
    <row r="50" spans="1:9" x14ac:dyDescent="0.25">
      <c r="A50" s="331">
        <v>43</v>
      </c>
      <c r="B50" s="421" t="s">
        <v>124</v>
      </c>
      <c r="C50" s="432" t="s">
        <v>125</v>
      </c>
      <c r="D50" s="378"/>
      <c r="E50" s="433"/>
      <c r="F50" s="434"/>
      <c r="G50" s="363"/>
      <c r="H50" s="420"/>
      <c r="I50" s="363"/>
    </row>
    <row r="51" spans="1:9" x14ac:dyDescent="0.25">
      <c r="A51" s="331">
        <v>87</v>
      </c>
      <c r="B51" s="407" t="s">
        <v>126</v>
      </c>
      <c r="C51" s="432" t="s">
        <v>127</v>
      </c>
      <c r="D51" s="378">
        <v>1460</v>
      </c>
      <c r="E51" s="433">
        <v>125</v>
      </c>
      <c r="F51" s="367">
        <v>363</v>
      </c>
      <c r="G51" s="363">
        <v>10890</v>
      </c>
      <c r="H51" s="420"/>
      <c r="I51" s="363"/>
    </row>
    <row r="52" spans="1:9" x14ac:dyDescent="0.25">
      <c r="A52" s="331">
        <v>44</v>
      </c>
      <c r="B52" s="421" t="s">
        <v>128</v>
      </c>
      <c r="C52" s="432" t="s">
        <v>129</v>
      </c>
      <c r="D52" s="378"/>
      <c r="E52" s="433"/>
      <c r="F52" s="367"/>
      <c r="G52" s="363"/>
      <c r="H52" s="420"/>
      <c r="I52" s="363"/>
    </row>
    <row r="53" spans="1:9" x14ac:dyDescent="0.25">
      <c r="A53" s="331">
        <v>45</v>
      </c>
      <c r="B53" s="407" t="s">
        <v>130</v>
      </c>
      <c r="C53" s="432" t="s">
        <v>131</v>
      </c>
      <c r="D53" s="378"/>
      <c r="E53" s="433"/>
      <c r="F53" s="367"/>
      <c r="G53" s="363"/>
      <c r="H53" s="420"/>
      <c r="I53" s="363"/>
    </row>
    <row r="54" spans="1:9" x14ac:dyDescent="0.25">
      <c r="A54" s="331">
        <v>46</v>
      </c>
      <c r="B54" s="421" t="s">
        <v>132</v>
      </c>
      <c r="C54" s="432" t="s">
        <v>133</v>
      </c>
      <c r="D54" s="378"/>
      <c r="E54" s="433"/>
      <c r="F54" s="367"/>
      <c r="G54" s="363"/>
      <c r="H54" s="420"/>
      <c r="I54" s="363"/>
    </row>
    <row r="55" spans="1:9" x14ac:dyDescent="0.25">
      <c r="A55" s="331">
        <v>47</v>
      </c>
      <c r="B55" s="407" t="s">
        <v>134</v>
      </c>
      <c r="C55" s="432" t="s">
        <v>135</v>
      </c>
      <c r="D55" s="378"/>
      <c r="E55" s="433"/>
      <c r="F55" s="367"/>
      <c r="G55" s="363"/>
      <c r="H55" s="420"/>
      <c r="I55" s="363"/>
    </row>
    <row r="56" spans="1:9" x14ac:dyDescent="0.25">
      <c r="A56" s="331">
        <v>48</v>
      </c>
      <c r="B56" s="407" t="s">
        <v>136</v>
      </c>
      <c r="C56" s="432" t="s">
        <v>137</v>
      </c>
      <c r="D56" s="378"/>
      <c r="E56" s="433"/>
      <c r="F56" s="367"/>
      <c r="G56" s="363"/>
      <c r="H56" s="420"/>
      <c r="I56" s="363"/>
    </row>
    <row r="57" spans="1:9" x14ac:dyDescent="0.25">
      <c r="A57" s="331">
        <v>49</v>
      </c>
      <c r="B57" s="407" t="s">
        <v>138</v>
      </c>
      <c r="C57" s="432" t="s">
        <v>139</v>
      </c>
      <c r="D57" s="378">
        <v>1459</v>
      </c>
      <c r="E57" s="433">
        <v>88</v>
      </c>
      <c r="F57" s="367"/>
      <c r="G57" s="363"/>
      <c r="H57" s="420">
        <v>148</v>
      </c>
      <c r="I57" s="363">
        <v>3100</v>
      </c>
    </row>
    <row r="58" spans="1:9" x14ac:dyDescent="0.25">
      <c r="A58" s="331">
        <v>95</v>
      </c>
      <c r="B58" s="407" t="s">
        <v>140</v>
      </c>
      <c r="C58" s="432" t="s">
        <v>141</v>
      </c>
      <c r="D58" s="378"/>
      <c r="E58" s="433"/>
      <c r="F58" s="367"/>
      <c r="G58" s="363"/>
      <c r="H58" s="420"/>
      <c r="I58" s="363"/>
    </row>
    <row r="59" spans="1:9" x14ac:dyDescent="0.25">
      <c r="A59" s="331">
        <v>50</v>
      </c>
      <c r="B59" s="421" t="s">
        <v>142</v>
      </c>
      <c r="C59" s="432" t="s">
        <v>143</v>
      </c>
      <c r="D59" s="378">
        <v>669</v>
      </c>
      <c r="E59" s="433">
        <v>0</v>
      </c>
      <c r="F59" s="367"/>
      <c r="G59" s="363"/>
      <c r="H59" s="420">
        <v>148</v>
      </c>
      <c r="I59" s="363">
        <v>3100</v>
      </c>
    </row>
    <row r="60" spans="1:9" x14ac:dyDescent="0.25">
      <c r="A60" s="331">
        <v>97</v>
      </c>
      <c r="B60" s="407" t="s">
        <v>144</v>
      </c>
      <c r="C60" s="432" t="s">
        <v>145</v>
      </c>
      <c r="D60" s="378"/>
      <c r="E60" s="433"/>
      <c r="F60" s="367"/>
      <c r="G60" s="363"/>
      <c r="H60" s="420"/>
      <c r="I60" s="363"/>
    </row>
    <row r="61" spans="1:9" x14ac:dyDescent="0.25">
      <c r="A61" s="331">
        <v>51</v>
      </c>
      <c r="B61" s="407" t="s">
        <v>146</v>
      </c>
      <c r="C61" s="432" t="s">
        <v>147</v>
      </c>
      <c r="D61" s="378"/>
      <c r="E61" s="433"/>
      <c r="F61" s="367"/>
      <c r="G61" s="363"/>
      <c r="H61" s="420"/>
      <c r="I61" s="363"/>
    </row>
    <row r="62" spans="1:9" x14ac:dyDescent="0.25">
      <c r="A62" s="331">
        <v>52</v>
      </c>
      <c r="B62" s="407" t="s">
        <v>148</v>
      </c>
      <c r="C62" s="432" t="s">
        <v>149</v>
      </c>
      <c r="D62" s="378"/>
      <c r="E62" s="433"/>
      <c r="F62" s="367"/>
      <c r="G62" s="363"/>
      <c r="H62" s="420"/>
      <c r="I62" s="363"/>
    </row>
    <row r="63" spans="1:9" ht="16.5" customHeight="1" x14ac:dyDescent="0.25">
      <c r="A63" s="331">
        <v>53</v>
      </c>
      <c r="B63" s="421" t="s">
        <v>150</v>
      </c>
      <c r="C63" s="432" t="s">
        <v>151</v>
      </c>
      <c r="D63" s="378"/>
      <c r="E63" s="433"/>
      <c r="F63" s="367"/>
      <c r="G63" s="363"/>
      <c r="H63" s="420"/>
      <c r="I63" s="363"/>
    </row>
    <row r="64" spans="1:9" ht="16.5" customHeight="1" x14ac:dyDescent="0.25">
      <c r="A64" s="331">
        <v>54</v>
      </c>
      <c r="B64" s="418" t="s">
        <v>152</v>
      </c>
      <c r="C64" s="432" t="s">
        <v>153</v>
      </c>
      <c r="D64" s="378"/>
      <c r="E64" s="433"/>
      <c r="F64" s="367"/>
      <c r="G64" s="363"/>
      <c r="H64" s="420"/>
      <c r="I64" s="363"/>
    </row>
    <row r="65" spans="1:9" ht="16.5" customHeight="1" x14ac:dyDescent="0.25">
      <c r="A65" s="331">
        <v>55</v>
      </c>
      <c r="B65" s="421" t="s">
        <v>154</v>
      </c>
      <c r="C65" s="432" t="s">
        <v>155</v>
      </c>
      <c r="D65" s="378"/>
      <c r="E65" s="433"/>
      <c r="F65" s="367"/>
      <c r="G65" s="363"/>
      <c r="H65" s="420"/>
      <c r="I65" s="363"/>
    </row>
    <row r="66" spans="1:9" x14ac:dyDescent="0.25">
      <c r="A66" s="331">
        <v>56</v>
      </c>
      <c r="B66" s="407" t="s">
        <v>156</v>
      </c>
      <c r="C66" s="432" t="s">
        <v>157</v>
      </c>
      <c r="D66" s="378"/>
      <c r="E66" s="433"/>
      <c r="F66" s="367"/>
      <c r="G66" s="363"/>
      <c r="H66" s="420"/>
      <c r="I66" s="363"/>
    </row>
    <row r="67" spans="1:9" ht="25.5" x14ac:dyDescent="0.25">
      <c r="A67" s="331">
        <v>57</v>
      </c>
      <c r="B67" s="418" t="s">
        <v>158</v>
      </c>
      <c r="C67" s="432" t="s">
        <v>159</v>
      </c>
      <c r="D67" s="378"/>
      <c r="E67" s="433"/>
      <c r="F67" s="367"/>
      <c r="G67" s="363"/>
      <c r="H67" s="420"/>
      <c r="I67" s="363"/>
    </row>
    <row r="68" spans="1:9" ht="25.5" x14ac:dyDescent="0.25">
      <c r="A68" s="331">
        <v>58</v>
      </c>
      <c r="B68" s="418" t="s">
        <v>160</v>
      </c>
      <c r="C68" s="432" t="s">
        <v>161</v>
      </c>
      <c r="D68" s="378"/>
      <c r="E68" s="433"/>
      <c r="F68" s="367"/>
      <c r="G68" s="363"/>
      <c r="H68" s="420"/>
      <c r="I68" s="363"/>
    </row>
    <row r="69" spans="1:9" x14ac:dyDescent="0.25">
      <c r="A69" s="331">
        <v>59</v>
      </c>
      <c r="B69" s="421" t="s">
        <v>162</v>
      </c>
      <c r="C69" s="432" t="s">
        <v>163</v>
      </c>
      <c r="D69" s="378"/>
      <c r="E69" s="433"/>
      <c r="F69" s="367"/>
      <c r="G69" s="363"/>
      <c r="H69" s="420"/>
      <c r="I69" s="363"/>
    </row>
    <row r="70" spans="1:9" x14ac:dyDescent="0.25">
      <c r="A70" s="331">
        <v>60</v>
      </c>
      <c r="B70" s="421" t="s">
        <v>164</v>
      </c>
      <c r="C70" s="432" t="s">
        <v>165</v>
      </c>
      <c r="D70" s="378"/>
      <c r="E70" s="433"/>
      <c r="F70" s="367"/>
      <c r="G70" s="363"/>
      <c r="H70" s="420"/>
      <c r="I70" s="363"/>
    </row>
    <row r="71" spans="1:9" x14ac:dyDescent="0.25">
      <c r="A71" s="331">
        <v>61</v>
      </c>
      <c r="B71" s="421" t="s">
        <v>166</v>
      </c>
      <c r="C71" s="432" t="s">
        <v>167</v>
      </c>
      <c r="D71" s="378"/>
      <c r="E71" s="433"/>
      <c r="F71" s="367"/>
      <c r="G71" s="363"/>
      <c r="H71" s="420"/>
      <c r="I71" s="363"/>
    </row>
    <row r="72" spans="1:9" ht="25.5" x14ac:dyDescent="0.25">
      <c r="A72" s="331">
        <v>62</v>
      </c>
      <c r="B72" s="421" t="s">
        <v>168</v>
      </c>
      <c r="C72" s="432" t="s">
        <v>169</v>
      </c>
      <c r="D72" s="378"/>
      <c r="E72" s="433"/>
      <c r="F72" s="367"/>
      <c r="G72" s="363"/>
      <c r="H72" s="420"/>
      <c r="I72" s="363"/>
    </row>
    <row r="73" spans="1:9" ht="25.5" x14ac:dyDescent="0.25">
      <c r="A73" s="331">
        <v>63</v>
      </c>
      <c r="B73" s="418" t="s">
        <v>170</v>
      </c>
      <c r="C73" s="432" t="s">
        <v>171</v>
      </c>
      <c r="D73" s="378"/>
      <c r="E73" s="433"/>
      <c r="F73" s="367"/>
      <c r="G73" s="363"/>
      <c r="H73" s="420"/>
      <c r="I73" s="363"/>
    </row>
    <row r="74" spans="1:9" ht="25.5" x14ac:dyDescent="0.25">
      <c r="A74" s="331">
        <v>64</v>
      </c>
      <c r="B74" s="421" t="s">
        <v>172</v>
      </c>
      <c r="C74" s="432" t="s">
        <v>173</v>
      </c>
      <c r="D74" s="378"/>
      <c r="E74" s="433"/>
      <c r="F74" s="367"/>
      <c r="G74" s="363"/>
      <c r="H74" s="420"/>
      <c r="I74" s="363"/>
    </row>
    <row r="75" spans="1:9" ht="25.5" x14ac:dyDescent="0.25">
      <c r="A75" s="331">
        <v>65</v>
      </c>
      <c r="B75" s="421" t="s">
        <v>174</v>
      </c>
      <c r="C75" s="432" t="s">
        <v>175</v>
      </c>
      <c r="D75" s="378"/>
      <c r="E75" s="433"/>
      <c r="F75" s="367"/>
      <c r="G75" s="363"/>
      <c r="H75" s="420"/>
      <c r="I75" s="363"/>
    </row>
    <row r="76" spans="1:9" ht="25.5" x14ac:dyDescent="0.25">
      <c r="A76" s="331">
        <v>66</v>
      </c>
      <c r="B76" s="418" t="s">
        <v>176</v>
      </c>
      <c r="C76" s="432" t="s">
        <v>177</v>
      </c>
      <c r="D76" s="378"/>
      <c r="E76" s="433"/>
      <c r="F76" s="367"/>
      <c r="G76" s="363"/>
      <c r="H76" s="420"/>
      <c r="I76" s="363"/>
    </row>
    <row r="77" spans="1:9" ht="25.5" x14ac:dyDescent="0.25">
      <c r="A77" s="331">
        <v>67</v>
      </c>
      <c r="B77" s="418" t="s">
        <v>178</v>
      </c>
      <c r="C77" s="432" t="s">
        <v>179</v>
      </c>
      <c r="D77" s="378"/>
      <c r="E77" s="433"/>
      <c r="F77" s="367"/>
      <c r="G77" s="363"/>
      <c r="H77" s="420"/>
      <c r="I77" s="363"/>
    </row>
    <row r="78" spans="1:9" ht="25.5" x14ac:dyDescent="0.25">
      <c r="A78" s="331">
        <v>68</v>
      </c>
      <c r="B78" s="418" t="s">
        <v>180</v>
      </c>
      <c r="C78" s="432" t="s">
        <v>181</v>
      </c>
      <c r="D78" s="378"/>
      <c r="E78" s="433"/>
      <c r="F78" s="367"/>
      <c r="G78" s="363"/>
      <c r="H78" s="420"/>
      <c r="I78" s="363"/>
    </row>
    <row r="79" spans="1:9" ht="15.75" customHeight="1" x14ac:dyDescent="0.25">
      <c r="A79" s="331">
        <v>69</v>
      </c>
      <c r="B79" s="407" t="s">
        <v>182</v>
      </c>
      <c r="C79" s="432" t="s">
        <v>183</v>
      </c>
      <c r="D79" s="378"/>
      <c r="E79" s="433"/>
      <c r="F79" s="367"/>
      <c r="G79" s="363"/>
      <c r="H79" s="420"/>
      <c r="I79" s="363"/>
    </row>
    <row r="80" spans="1:9" x14ac:dyDescent="0.25">
      <c r="A80" s="331">
        <v>70</v>
      </c>
      <c r="B80" s="418" t="s">
        <v>184</v>
      </c>
      <c r="C80" s="432" t="s">
        <v>185</v>
      </c>
      <c r="D80" s="378"/>
      <c r="E80" s="433"/>
      <c r="F80" s="367"/>
      <c r="G80" s="363"/>
      <c r="H80" s="420"/>
      <c r="I80" s="363"/>
    </row>
    <row r="81" spans="1:9" x14ac:dyDescent="0.25">
      <c r="A81" s="331">
        <v>71</v>
      </c>
      <c r="B81" s="407" t="s">
        <v>186</v>
      </c>
      <c r="C81" s="432" t="s">
        <v>187</v>
      </c>
      <c r="D81" s="378"/>
      <c r="E81" s="433"/>
      <c r="F81" s="367"/>
      <c r="G81" s="363"/>
      <c r="H81" s="420"/>
      <c r="I81" s="363"/>
    </row>
    <row r="82" spans="1:9" x14ac:dyDescent="0.25">
      <c r="A82" s="331">
        <v>72</v>
      </c>
      <c r="B82" s="418" t="s">
        <v>188</v>
      </c>
      <c r="C82" s="432" t="s">
        <v>460</v>
      </c>
      <c r="D82" s="378"/>
      <c r="E82" s="433"/>
      <c r="F82" s="367"/>
      <c r="G82" s="363"/>
      <c r="H82" s="420"/>
      <c r="I82" s="363"/>
    </row>
    <row r="83" spans="1:9" x14ac:dyDescent="0.25">
      <c r="A83" s="331">
        <v>73</v>
      </c>
      <c r="B83" s="418" t="s">
        <v>190</v>
      </c>
      <c r="C83" s="432" t="s">
        <v>191</v>
      </c>
      <c r="D83" s="378"/>
      <c r="E83" s="433"/>
      <c r="F83" s="367"/>
      <c r="G83" s="363"/>
      <c r="H83" s="420"/>
      <c r="I83" s="363"/>
    </row>
    <row r="84" spans="1:9" x14ac:dyDescent="0.25">
      <c r="A84" s="331">
        <v>74</v>
      </c>
      <c r="B84" s="418" t="s">
        <v>192</v>
      </c>
      <c r="C84" s="432" t="s">
        <v>193</v>
      </c>
      <c r="D84" s="378"/>
      <c r="E84" s="433"/>
      <c r="F84" s="367"/>
      <c r="G84" s="363"/>
      <c r="H84" s="420"/>
      <c r="I84" s="363"/>
    </row>
    <row r="85" spans="1:9" x14ac:dyDescent="0.25">
      <c r="A85" s="331">
        <v>75</v>
      </c>
      <c r="B85" s="418" t="s">
        <v>194</v>
      </c>
      <c r="C85" s="432" t="s">
        <v>195</v>
      </c>
      <c r="D85" s="378"/>
      <c r="E85" s="433"/>
      <c r="F85" s="367"/>
      <c r="G85" s="363"/>
      <c r="H85" s="420"/>
      <c r="I85" s="363"/>
    </row>
    <row r="86" spans="1:9" x14ac:dyDescent="0.25">
      <c r="A86" s="331">
        <v>76</v>
      </c>
      <c r="B86" s="418" t="s">
        <v>196</v>
      </c>
      <c r="C86" s="432" t="s">
        <v>197</v>
      </c>
      <c r="D86" s="378"/>
      <c r="E86" s="433"/>
      <c r="F86" s="367"/>
      <c r="G86" s="363"/>
      <c r="H86" s="420"/>
      <c r="I86" s="363"/>
    </row>
    <row r="87" spans="1:9" x14ac:dyDescent="0.25">
      <c r="A87" s="331">
        <v>77</v>
      </c>
      <c r="B87" s="421" t="s">
        <v>30</v>
      </c>
      <c r="C87" s="432" t="s">
        <v>198</v>
      </c>
      <c r="D87" s="378"/>
      <c r="E87" s="433"/>
      <c r="F87" s="367"/>
      <c r="G87" s="363"/>
      <c r="H87" s="420"/>
      <c r="I87" s="363"/>
    </row>
    <row r="88" spans="1:9" ht="25.5" x14ac:dyDescent="0.25">
      <c r="A88" s="1234">
        <v>78</v>
      </c>
      <c r="B88" s="1346" t="s">
        <v>199</v>
      </c>
      <c r="C88" s="435" t="s">
        <v>200</v>
      </c>
      <c r="D88" s="378"/>
      <c r="E88" s="433"/>
      <c r="F88" s="367"/>
      <c r="G88" s="363"/>
      <c r="H88" s="420"/>
      <c r="I88" s="363"/>
    </row>
    <row r="89" spans="1:9" ht="38.25" x14ac:dyDescent="0.25">
      <c r="A89" s="1235"/>
      <c r="B89" s="1347"/>
      <c r="C89" s="432" t="s">
        <v>201</v>
      </c>
      <c r="D89" s="378"/>
      <c r="E89" s="433"/>
      <c r="F89" s="367"/>
      <c r="G89" s="363"/>
      <c r="H89" s="420"/>
      <c r="I89" s="363"/>
    </row>
    <row r="90" spans="1:9" ht="25.5" x14ac:dyDescent="0.25">
      <c r="A90" s="1235"/>
      <c r="B90" s="1347"/>
      <c r="C90" s="432" t="s">
        <v>202</v>
      </c>
      <c r="D90" s="378"/>
      <c r="E90" s="433"/>
      <c r="F90" s="367"/>
      <c r="G90" s="363"/>
      <c r="H90" s="420"/>
      <c r="I90" s="363"/>
    </row>
    <row r="91" spans="1:9" ht="38.25" x14ac:dyDescent="0.25">
      <c r="A91" s="1236"/>
      <c r="B91" s="1348"/>
      <c r="C91" s="436" t="s">
        <v>203</v>
      </c>
      <c r="D91" s="378"/>
      <c r="E91" s="433"/>
      <c r="F91" s="367"/>
      <c r="G91" s="363"/>
      <c r="H91" s="420"/>
      <c r="I91" s="363"/>
    </row>
    <row r="92" spans="1:9" ht="25.5" x14ac:dyDescent="0.25">
      <c r="A92" s="375">
        <v>79</v>
      </c>
      <c r="B92" s="421" t="s">
        <v>204</v>
      </c>
      <c r="C92" s="432" t="s">
        <v>205</v>
      </c>
      <c r="D92" s="378"/>
      <c r="E92" s="433"/>
      <c r="F92" s="367"/>
      <c r="G92" s="363"/>
      <c r="H92" s="420"/>
      <c r="I92" s="363"/>
    </row>
    <row r="93" spans="1:9" x14ac:dyDescent="0.25">
      <c r="A93" s="331">
        <v>80</v>
      </c>
      <c r="B93" s="421" t="s">
        <v>206</v>
      </c>
      <c r="C93" s="432" t="s">
        <v>207</v>
      </c>
      <c r="D93" s="378"/>
      <c r="E93" s="433"/>
      <c r="F93" s="367"/>
      <c r="G93" s="363"/>
      <c r="H93" s="420"/>
      <c r="I93" s="363"/>
    </row>
    <row r="94" spans="1:9" x14ac:dyDescent="0.25">
      <c r="A94" s="331">
        <v>81</v>
      </c>
      <c r="B94" s="407" t="s">
        <v>208</v>
      </c>
      <c r="C94" s="432" t="s">
        <v>209</v>
      </c>
      <c r="D94" s="378"/>
      <c r="E94" s="433"/>
      <c r="F94" s="367"/>
      <c r="G94" s="363"/>
      <c r="H94" s="420"/>
      <c r="I94" s="363"/>
    </row>
    <row r="95" spans="1:9" x14ac:dyDescent="0.25">
      <c r="A95" s="331">
        <v>82</v>
      </c>
      <c r="B95" s="421" t="s">
        <v>210</v>
      </c>
      <c r="C95" s="432" t="s">
        <v>211</v>
      </c>
      <c r="D95" s="378">
        <v>669</v>
      </c>
      <c r="E95" s="433">
        <v>88</v>
      </c>
      <c r="F95" s="367">
        <v>275</v>
      </c>
      <c r="G95" s="363">
        <v>8250</v>
      </c>
      <c r="H95" s="420"/>
      <c r="I95" s="363"/>
    </row>
    <row r="96" spans="1:9" x14ac:dyDescent="0.25">
      <c r="A96" s="331">
        <v>83</v>
      </c>
      <c r="B96" s="407" t="s">
        <v>212</v>
      </c>
      <c r="C96" s="432" t="s">
        <v>213</v>
      </c>
      <c r="D96" s="378">
        <v>1459</v>
      </c>
      <c r="E96" s="433">
        <v>88</v>
      </c>
      <c r="F96" s="367"/>
      <c r="G96" s="363"/>
      <c r="H96" s="420"/>
      <c r="I96" s="363"/>
    </row>
    <row r="97" spans="1:9" x14ac:dyDescent="0.25">
      <c r="A97" s="331">
        <v>84</v>
      </c>
      <c r="B97" s="407" t="s">
        <v>214</v>
      </c>
      <c r="C97" s="432" t="s">
        <v>215</v>
      </c>
      <c r="D97" s="378"/>
      <c r="E97" s="433"/>
      <c r="F97" s="367"/>
      <c r="G97" s="363"/>
      <c r="H97" s="420"/>
      <c r="I97" s="363"/>
    </row>
    <row r="98" spans="1:9" x14ac:dyDescent="0.25">
      <c r="A98" s="331">
        <v>85</v>
      </c>
      <c r="B98" s="421" t="s">
        <v>216</v>
      </c>
      <c r="C98" s="432" t="s">
        <v>217</v>
      </c>
      <c r="D98" s="378"/>
      <c r="E98" s="433"/>
      <c r="F98" s="367"/>
      <c r="G98" s="363"/>
      <c r="H98" s="420"/>
      <c r="I98" s="363"/>
    </row>
    <row r="99" spans="1:9" x14ac:dyDescent="0.25">
      <c r="A99" s="331">
        <v>86</v>
      </c>
      <c r="B99" s="418" t="s">
        <v>218</v>
      </c>
      <c r="C99" s="432" t="s">
        <v>219</v>
      </c>
      <c r="D99" s="378"/>
      <c r="E99" s="433"/>
      <c r="F99" s="367"/>
      <c r="G99" s="363"/>
      <c r="H99" s="420"/>
      <c r="I99" s="363"/>
    </row>
    <row r="100" spans="1:9" x14ac:dyDescent="0.25">
      <c r="A100" s="331">
        <v>88</v>
      </c>
      <c r="B100" s="418" t="s">
        <v>220</v>
      </c>
      <c r="C100" s="432" t="s">
        <v>221</v>
      </c>
      <c r="D100" s="378">
        <v>669</v>
      </c>
      <c r="E100" s="433"/>
      <c r="F100" s="367"/>
      <c r="G100" s="363"/>
      <c r="H100" s="420"/>
      <c r="I100" s="363"/>
    </row>
    <row r="101" spans="1:9" x14ac:dyDescent="0.25">
      <c r="A101" s="331">
        <v>89</v>
      </c>
      <c r="B101" s="407" t="s">
        <v>222</v>
      </c>
      <c r="C101" s="432" t="s">
        <v>223</v>
      </c>
      <c r="D101" s="378">
        <v>1280</v>
      </c>
      <c r="E101" s="433">
        <v>110</v>
      </c>
      <c r="F101" s="367">
        <v>363</v>
      </c>
      <c r="G101" s="363">
        <v>10890</v>
      </c>
      <c r="H101" s="420"/>
      <c r="I101" s="363"/>
    </row>
    <row r="102" spans="1:9" x14ac:dyDescent="0.25">
      <c r="A102" s="331">
        <v>90</v>
      </c>
      <c r="B102" s="418" t="s">
        <v>224</v>
      </c>
      <c r="C102" s="432" t="s">
        <v>225</v>
      </c>
      <c r="D102" s="378"/>
      <c r="E102" s="433"/>
      <c r="F102" s="367"/>
      <c r="G102" s="363"/>
      <c r="H102" s="420"/>
      <c r="I102" s="363"/>
    </row>
    <row r="103" spans="1:9" x14ac:dyDescent="0.25">
      <c r="A103" s="331">
        <v>91</v>
      </c>
      <c r="B103" s="418" t="s">
        <v>226</v>
      </c>
      <c r="C103" s="432" t="s">
        <v>227</v>
      </c>
      <c r="D103" s="378"/>
      <c r="E103" s="433"/>
      <c r="F103" s="367"/>
      <c r="G103" s="363"/>
      <c r="H103" s="420"/>
      <c r="I103" s="363"/>
    </row>
    <row r="104" spans="1:9" x14ac:dyDescent="0.25">
      <c r="A104" s="331">
        <v>92</v>
      </c>
      <c r="B104" s="421" t="s">
        <v>32</v>
      </c>
      <c r="C104" s="432" t="s">
        <v>33</v>
      </c>
      <c r="D104" s="378"/>
      <c r="E104" s="433"/>
      <c r="F104" s="367"/>
      <c r="G104" s="363"/>
      <c r="H104" s="420"/>
      <c r="I104" s="363"/>
    </row>
    <row r="105" spans="1:9" x14ac:dyDescent="0.25">
      <c r="A105" s="331">
        <v>93</v>
      </c>
      <c r="B105" s="407" t="s">
        <v>228</v>
      </c>
      <c r="C105" s="432" t="s">
        <v>229</v>
      </c>
      <c r="D105" s="378"/>
      <c r="E105" s="433"/>
      <c r="F105" s="367"/>
      <c r="G105" s="363"/>
      <c r="H105" s="420"/>
      <c r="I105" s="363"/>
    </row>
    <row r="106" spans="1:9" x14ac:dyDescent="0.25">
      <c r="A106" s="331">
        <v>94</v>
      </c>
      <c r="B106" s="418" t="s">
        <v>230</v>
      </c>
      <c r="C106" s="432" t="s">
        <v>231</v>
      </c>
      <c r="D106" s="378"/>
      <c r="E106" s="433"/>
      <c r="F106" s="367"/>
      <c r="G106" s="363"/>
      <c r="H106" s="420"/>
      <c r="I106" s="363"/>
    </row>
    <row r="107" spans="1:9" x14ac:dyDescent="0.25">
      <c r="A107" s="331">
        <v>96</v>
      </c>
      <c r="B107" s="418" t="s">
        <v>232</v>
      </c>
      <c r="C107" s="432" t="s">
        <v>233</v>
      </c>
      <c r="D107" s="378"/>
      <c r="E107" s="433"/>
      <c r="F107" s="367"/>
      <c r="G107" s="363"/>
      <c r="H107" s="420"/>
      <c r="I107" s="363"/>
    </row>
    <row r="108" spans="1:9" x14ac:dyDescent="0.25">
      <c r="A108" s="331">
        <v>98</v>
      </c>
      <c r="B108" s="418" t="s">
        <v>234</v>
      </c>
      <c r="C108" s="432" t="s">
        <v>235</v>
      </c>
      <c r="D108" s="378"/>
      <c r="E108" s="433"/>
      <c r="F108" s="367"/>
      <c r="G108" s="363"/>
      <c r="H108" s="420"/>
      <c r="I108" s="363"/>
    </row>
    <row r="109" spans="1:9" x14ac:dyDescent="0.25">
      <c r="A109" s="331">
        <v>99</v>
      </c>
      <c r="B109" s="407" t="s">
        <v>236</v>
      </c>
      <c r="C109" s="432" t="s">
        <v>237</v>
      </c>
      <c r="D109" s="378"/>
      <c r="E109" s="433"/>
      <c r="F109" s="367"/>
      <c r="G109" s="363"/>
      <c r="H109" s="420"/>
      <c r="I109" s="363"/>
    </row>
    <row r="110" spans="1:9" x14ac:dyDescent="0.25">
      <c r="A110" s="331">
        <v>100</v>
      </c>
      <c r="B110" s="407" t="s">
        <v>238</v>
      </c>
      <c r="C110" s="432" t="s">
        <v>239</v>
      </c>
      <c r="D110" s="378"/>
      <c r="E110" s="433"/>
      <c r="F110" s="367"/>
      <c r="G110" s="363"/>
      <c r="H110" s="420"/>
      <c r="I110" s="363"/>
    </row>
    <row r="111" spans="1:9" ht="15" customHeight="1" x14ac:dyDescent="0.25">
      <c r="A111" s="331">
        <v>101</v>
      </c>
      <c r="B111" s="407" t="s">
        <v>240</v>
      </c>
      <c r="C111" s="432" t="s">
        <v>241</v>
      </c>
      <c r="D111" s="378"/>
      <c r="E111" s="433"/>
      <c r="F111" s="367"/>
      <c r="G111" s="363"/>
      <c r="H111" s="420"/>
      <c r="I111" s="363"/>
    </row>
    <row r="112" spans="1:9" x14ac:dyDescent="0.25">
      <c r="A112" s="331">
        <v>102</v>
      </c>
      <c r="B112" s="407" t="s">
        <v>242</v>
      </c>
      <c r="C112" s="432" t="s">
        <v>243</v>
      </c>
      <c r="D112" s="378"/>
      <c r="E112" s="433"/>
      <c r="F112" s="367"/>
      <c r="G112" s="363"/>
      <c r="H112" s="420"/>
      <c r="I112" s="363"/>
    </row>
    <row r="113" spans="1:9" x14ac:dyDescent="0.25">
      <c r="A113" s="331">
        <v>103</v>
      </c>
      <c r="B113" s="407" t="s">
        <v>244</v>
      </c>
      <c r="C113" s="432" t="s">
        <v>245</v>
      </c>
      <c r="D113" s="378"/>
      <c r="E113" s="433"/>
      <c r="F113" s="367"/>
      <c r="G113" s="363"/>
      <c r="H113" s="420"/>
      <c r="I113" s="363"/>
    </row>
    <row r="114" spans="1:9" x14ac:dyDescent="0.25">
      <c r="A114" s="331">
        <v>104</v>
      </c>
      <c r="B114" s="376" t="s">
        <v>246</v>
      </c>
      <c r="C114" s="323" t="s">
        <v>247</v>
      </c>
      <c r="D114" s="378"/>
      <c r="E114" s="433"/>
      <c r="F114" s="367"/>
      <c r="G114" s="363"/>
      <c r="H114" s="420"/>
      <c r="I114" s="363"/>
    </row>
    <row r="115" spans="1:9" x14ac:dyDescent="0.25">
      <c r="A115" s="331">
        <v>105</v>
      </c>
      <c r="B115" s="421" t="s">
        <v>248</v>
      </c>
      <c r="C115" s="432" t="s">
        <v>249</v>
      </c>
      <c r="D115" s="378"/>
      <c r="E115" s="433"/>
      <c r="F115" s="367"/>
      <c r="G115" s="363"/>
      <c r="H115" s="420"/>
      <c r="I115" s="363"/>
    </row>
    <row r="116" spans="1:9" x14ac:dyDescent="0.25">
      <c r="A116" s="331">
        <v>106</v>
      </c>
      <c r="B116" s="407" t="s">
        <v>250</v>
      </c>
      <c r="C116" s="432" t="s">
        <v>251</v>
      </c>
      <c r="D116" s="378"/>
      <c r="E116" s="433"/>
      <c r="F116" s="367"/>
      <c r="G116" s="363"/>
      <c r="H116" s="420"/>
      <c r="I116" s="363"/>
    </row>
    <row r="117" spans="1:9" x14ac:dyDescent="0.25">
      <c r="A117" s="331">
        <v>107</v>
      </c>
      <c r="B117" s="418" t="s">
        <v>252</v>
      </c>
      <c r="C117" s="437" t="s">
        <v>253</v>
      </c>
      <c r="D117" s="378"/>
      <c r="E117" s="433"/>
      <c r="F117" s="367"/>
      <c r="G117" s="363"/>
      <c r="H117" s="420"/>
      <c r="I117" s="363"/>
    </row>
    <row r="118" spans="1:9" x14ac:dyDescent="0.25">
      <c r="A118" s="331">
        <v>108</v>
      </c>
      <c r="B118" s="407" t="s">
        <v>254</v>
      </c>
      <c r="C118" s="432" t="s">
        <v>255</v>
      </c>
      <c r="D118" s="378"/>
      <c r="E118" s="433"/>
      <c r="F118" s="367"/>
      <c r="G118" s="363"/>
      <c r="H118" s="420"/>
      <c r="I118" s="363"/>
    </row>
    <row r="119" spans="1:9" x14ac:dyDescent="0.25">
      <c r="A119" s="331">
        <v>109</v>
      </c>
      <c r="B119" s="421" t="s">
        <v>256</v>
      </c>
      <c r="C119" s="432" t="s">
        <v>257</v>
      </c>
      <c r="D119" s="378"/>
      <c r="E119" s="433"/>
      <c r="F119" s="367"/>
      <c r="G119" s="363"/>
      <c r="H119" s="420"/>
      <c r="I119" s="363"/>
    </row>
    <row r="120" spans="1:9" x14ac:dyDescent="0.25">
      <c r="A120" s="331">
        <v>110</v>
      </c>
      <c r="B120" s="418" t="s">
        <v>258</v>
      </c>
      <c r="C120" s="432" t="s">
        <v>259</v>
      </c>
      <c r="D120" s="378"/>
      <c r="E120" s="433"/>
      <c r="F120" s="367"/>
      <c r="G120" s="363"/>
      <c r="H120" s="420"/>
      <c r="I120" s="363"/>
    </row>
    <row r="121" spans="1:9" x14ac:dyDescent="0.25">
      <c r="A121" s="331">
        <v>111</v>
      </c>
      <c r="B121" s="407" t="s">
        <v>543</v>
      </c>
      <c r="C121" s="381" t="s">
        <v>544</v>
      </c>
      <c r="D121" s="378"/>
      <c r="E121" s="433"/>
      <c r="F121" s="367"/>
      <c r="G121" s="363"/>
      <c r="H121" s="420"/>
      <c r="I121" s="363"/>
    </row>
    <row r="122" spans="1:9" x14ac:dyDescent="0.25">
      <c r="A122" s="331">
        <v>112</v>
      </c>
      <c r="B122" s="421" t="s">
        <v>260</v>
      </c>
      <c r="C122" s="432" t="s">
        <v>261</v>
      </c>
      <c r="D122" s="378"/>
      <c r="E122" s="433"/>
      <c r="F122" s="367"/>
      <c r="G122" s="363"/>
      <c r="H122" s="420"/>
      <c r="I122" s="363"/>
    </row>
    <row r="123" spans="1:9" x14ac:dyDescent="0.25">
      <c r="A123" s="331">
        <v>113</v>
      </c>
      <c r="B123" s="407" t="s">
        <v>262</v>
      </c>
      <c r="C123" s="432" t="s">
        <v>263</v>
      </c>
      <c r="D123" s="378"/>
      <c r="E123" s="433"/>
      <c r="F123" s="367"/>
      <c r="G123" s="363"/>
      <c r="H123" s="420"/>
      <c r="I123" s="363"/>
    </row>
    <row r="124" spans="1:9" ht="25.5" x14ac:dyDescent="0.25">
      <c r="A124" s="331">
        <v>114</v>
      </c>
      <c r="B124" s="407" t="s">
        <v>264</v>
      </c>
      <c r="C124" s="438" t="s">
        <v>265</v>
      </c>
      <c r="D124" s="378"/>
      <c r="E124" s="433"/>
      <c r="F124" s="367"/>
      <c r="G124" s="363"/>
      <c r="H124" s="420"/>
      <c r="I124" s="363"/>
    </row>
    <row r="125" spans="1:9" x14ac:dyDescent="0.25">
      <c r="A125" s="331">
        <v>115</v>
      </c>
      <c r="B125" s="407" t="s">
        <v>266</v>
      </c>
      <c r="C125" s="432" t="s">
        <v>267</v>
      </c>
      <c r="D125" s="378"/>
      <c r="E125" s="433"/>
      <c r="F125" s="367"/>
      <c r="G125" s="363"/>
      <c r="H125" s="420"/>
      <c r="I125" s="363"/>
    </row>
    <row r="126" spans="1:9" x14ac:dyDescent="0.25">
      <c r="A126" s="331">
        <v>116</v>
      </c>
      <c r="B126" s="407" t="s">
        <v>268</v>
      </c>
      <c r="C126" s="432" t="s">
        <v>269</v>
      </c>
      <c r="D126" s="378"/>
      <c r="E126" s="433"/>
      <c r="F126" s="367"/>
      <c r="G126" s="363"/>
      <c r="H126" s="420"/>
      <c r="I126" s="363"/>
    </row>
    <row r="127" spans="1:9" x14ac:dyDescent="0.25">
      <c r="A127" s="331">
        <v>117</v>
      </c>
      <c r="B127" s="407" t="s">
        <v>270</v>
      </c>
      <c r="C127" s="432" t="s">
        <v>271</v>
      </c>
      <c r="D127" s="378"/>
      <c r="E127" s="433"/>
      <c r="F127" s="367"/>
      <c r="G127" s="363"/>
      <c r="H127" s="420"/>
      <c r="I127" s="363"/>
    </row>
    <row r="128" spans="1:9" x14ac:dyDescent="0.25">
      <c r="A128" s="331">
        <v>118</v>
      </c>
      <c r="B128" s="418" t="s">
        <v>272</v>
      </c>
      <c r="C128" s="432" t="s">
        <v>273</v>
      </c>
      <c r="D128" s="378"/>
      <c r="E128" s="433"/>
      <c r="F128" s="367"/>
      <c r="G128" s="363"/>
      <c r="H128" s="420"/>
      <c r="I128" s="363"/>
    </row>
    <row r="129" spans="1:9" x14ac:dyDescent="0.25">
      <c r="A129" s="331">
        <v>119</v>
      </c>
      <c r="B129" s="418" t="s">
        <v>274</v>
      </c>
      <c r="C129" s="432" t="s">
        <v>275</v>
      </c>
      <c r="D129" s="378"/>
      <c r="E129" s="433"/>
      <c r="F129" s="367"/>
      <c r="G129" s="363"/>
      <c r="H129" s="420"/>
      <c r="I129" s="363"/>
    </row>
    <row r="130" spans="1:9" x14ac:dyDescent="0.25">
      <c r="A130" s="331">
        <v>120</v>
      </c>
      <c r="B130" s="418" t="s">
        <v>276</v>
      </c>
      <c r="C130" s="432" t="s">
        <v>277</v>
      </c>
      <c r="D130" s="378"/>
      <c r="E130" s="433"/>
      <c r="F130" s="367"/>
      <c r="G130" s="363"/>
      <c r="H130" s="420"/>
      <c r="I130" s="363"/>
    </row>
    <row r="131" spans="1:9" x14ac:dyDescent="0.25">
      <c r="A131" s="331">
        <v>121</v>
      </c>
      <c r="B131" s="407" t="s">
        <v>278</v>
      </c>
      <c r="C131" s="432" t="s">
        <v>279</v>
      </c>
      <c r="D131" s="378"/>
      <c r="E131" s="433"/>
      <c r="F131" s="367"/>
      <c r="G131" s="363"/>
      <c r="H131" s="420"/>
      <c r="I131" s="363"/>
    </row>
    <row r="132" spans="1:9" x14ac:dyDescent="0.25">
      <c r="A132" s="331">
        <v>122</v>
      </c>
      <c r="B132" s="407" t="s">
        <v>280</v>
      </c>
      <c r="C132" s="432" t="s">
        <v>281</v>
      </c>
      <c r="D132" s="378"/>
      <c r="E132" s="433"/>
      <c r="F132" s="367"/>
      <c r="G132" s="363"/>
      <c r="H132" s="420"/>
      <c r="I132" s="363"/>
    </row>
    <row r="133" spans="1:9" x14ac:dyDescent="0.25">
      <c r="A133" s="331">
        <v>123</v>
      </c>
      <c r="B133" s="407" t="s">
        <v>282</v>
      </c>
      <c r="C133" s="432" t="s">
        <v>772</v>
      </c>
      <c r="D133" s="378"/>
      <c r="E133" s="433"/>
      <c r="F133" s="367"/>
      <c r="G133" s="363"/>
      <c r="H133" s="420"/>
      <c r="I133" s="363"/>
    </row>
    <row r="134" spans="1:9" x14ac:dyDescent="0.25">
      <c r="A134" s="331">
        <v>124</v>
      </c>
      <c r="B134" s="418" t="s">
        <v>283</v>
      </c>
      <c r="C134" s="432" t="s">
        <v>284</v>
      </c>
      <c r="D134" s="378"/>
      <c r="E134" s="433"/>
      <c r="F134" s="367"/>
      <c r="G134" s="363"/>
      <c r="H134" s="420"/>
      <c r="I134" s="363"/>
    </row>
    <row r="135" spans="1:9" ht="24" customHeight="1" x14ac:dyDescent="0.25">
      <c r="A135" s="331">
        <v>125</v>
      </c>
      <c r="B135" s="421" t="s">
        <v>285</v>
      </c>
      <c r="C135" s="432" t="s">
        <v>728</v>
      </c>
      <c r="D135" s="378"/>
      <c r="E135" s="433"/>
      <c r="F135" s="367"/>
      <c r="G135" s="363"/>
      <c r="H135" s="420"/>
      <c r="I135" s="363"/>
    </row>
    <row r="136" spans="1:9" x14ac:dyDescent="0.25">
      <c r="A136" s="331">
        <v>126</v>
      </c>
      <c r="B136" s="407" t="s">
        <v>286</v>
      </c>
      <c r="C136" s="432" t="s">
        <v>287</v>
      </c>
      <c r="D136" s="378"/>
      <c r="E136" s="433"/>
      <c r="F136" s="367"/>
      <c r="G136" s="363"/>
      <c r="H136" s="420"/>
      <c r="I136" s="363"/>
    </row>
    <row r="137" spans="1:9" x14ac:dyDescent="0.25">
      <c r="A137" s="331">
        <v>127</v>
      </c>
      <c r="B137" s="418" t="s">
        <v>288</v>
      </c>
      <c r="C137" s="432" t="s">
        <v>289</v>
      </c>
      <c r="D137" s="378"/>
      <c r="E137" s="433"/>
      <c r="F137" s="367"/>
      <c r="G137" s="363"/>
      <c r="H137" s="420"/>
      <c r="I137" s="363"/>
    </row>
    <row r="138" spans="1:9" x14ac:dyDescent="0.25">
      <c r="A138" s="331">
        <v>128</v>
      </c>
      <c r="B138" s="407" t="s">
        <v>290</v>
      </c>
      <c r="C138" s="432" t="s">
        <v>291</v>
      </c>
      <c r="D138" s="378"/>
      <c r="E138" s="433"/>
      <c r="F138" s="367"/>
      <c r="G138" s="363"/>
      <c r="H138" s="420"/>
      <c r="I138" s="363"/>
    </row>
    <row r="139" spans="1:9" x14ac:dyDescent="0.25">
      <c r="A139" s="331">
        <v>129</v>
      </c>
      <c r="B139" s="423" t="s">
        <v>292</v>
      </c>
      <c r="C139" s="439" t="s">
        <v>293</v>
      </c>
      <c r="D139" s="378"/>
      <c r="E139" s="433"/>
      <c r="F139" s="367"/>
      <c r="G139" s="363"/>
      <c r="H139" s="420"/>
      <c r="I139" s="363"/>
    </row>
    <row r="140" spans="1:9" x14ac:dyDescent="0.25">
      <c r="A140" s="331">
        <v>130</v>
      </c>
      <c r="B140" s="424" t="s">
        <v>294</v>
      </c>
      <c r="C140" s="439" t="s">
        <v>295</v>
      </c>
      <c r="D140" s="440">
        <v>26100</v>
      </c>
      <c r="E140" s="363">
        <v>4350</v>
      </c>
      <c r="F140" s="420">
        <v>2363</v>
      </c>
      <c r="G140" s="363">
        <v>75600</v>
      </c>
      <c r="H140" s="420">
        <v>2820</v>
      </c>
      <c r="I140" s="363">
        <v>59210</v>
      </c>
    </row>
    <row r="141" spans="1:9" x14ac:dyDescent="0.25">
      <c r="A141" s="331">
        <v>131</v>
      </c>
      <c r="B141" s="441" t="s">
        <v>296</v>
      </c>
      <c r="C141" s="387" t="s">
        <v>461</v>
      </c>
      <c r="D141" s="367"/>
      <c r="E141" s="442"/>
      <c r="F141" s="378"/>
      <c r="G141" s="363"/>
      <c r="H141" s="420"/>
      <c r="I141" s="363"/>
    </row>
    <row r="142" spans="1:9" x14ac:dyDescent="0.25">
      <c r="A142" s="331">
        <v>132</v>
      </c>
      <c r="B142" s="388" t="s">
        <v>298</v>
      </c>
      <c r="C142" s="425" t="s">
        <v>299</v>
      </c>
      <c r="D142" s="367"/>
      <c r="E142" s="442"/>
      <c r="F142" s="378"/>
      <c r="G142" s="363"/>
      <c r="H142" s="420"/>
      <c r="I142" s="363"/>
    </row>
    <row r="143" spans="1:9" x14ac:dyDescent="0.25">
      <c r="A143" s="331">
        <v>133</v>
      </c>
      <c r="B143" s="329" t="s">
        <v>300</v>
      </c>
      <c r="C143" s="425" t="s">
        <v>301</v>
      </c>
      <c r="D143" s="367"/>
      <c r="E143" s="442"/>
      <c r="F143" s="378"/>
      <c r="G143" s="363"/>
      <c r="H143" s="420"/>
      <c r="I143" s="363"/>
    </row>
    <row r="144" spans="1:9" x14ac:dyDescent="0.25">
      <c r="A144" s="331">
        <v>134</v>
      </c>
      <c r="B144" s="329" t="s">
        <v>302</v>
      </c>
      <c r="C144" s="425" t="s">
        <v>303</v>
      </c>
      <c r="D144" s="367"/>
      <c r="E144" s="442"/>
      <c r="F144" s="378"/>
      <c r="G144" s="363"/>
      <c r="H144" s="420"/>
      <c r="I144" s="363"/>
    </row>
    <row r="145" spans="1:9" ht="15.75" thickBot="1" x14ac:dyDescent="0.3">
      <c r="A145" s="326">
        <v>135</v>
      </c>
      <c r="B145" s="391" t="s">
        <v>304</v>
      </c>
      <c r="C145" s="392" t="s">
        <v>305</v>
      </c>
      <c r="D145" s="393"/>
      <c r="E145" s="394"/>
      <c r="F145" s="443"/>
      <c r="G145" s="394"/>
      <c r="H145" s="428"/>
      <c r="I145" s="394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F14" sqref="F14"/>
    </sheetView>
  </sheetViews>
  <sheetFormatPr defaultRowHeight="12.75" x14ac:dyDescent="0.25"/>
  <cols>
    <col min="1" max="1" width="21.140625" style="291" customWidth="1"/>
    <col min="2" max="4" width="22.28515625" style="277" customWidth="1"/>
    <col min="5" max="16384" width="9.140625" style="277"/>
  </cols>
  <sheetData>
    <row r="1" spans="1:4" ht="59.25" customHeight="1" x14ac:dyDescent="0.25">
      <c r="A1" s="865" t="s">
        <v>648</v>
      </c>
      <c r="B1" s="865"/>
      <c r="C1" s="865"/>
      <c r="D1" s="865"/>
    </row>
    <row r="2" spans="1:4" ht="18.75" customHeight="1" x14ac:dyDescent="0.25">
      <c r="A2" s="278"/>
      <c r="B2" s="278"/>
      <c r="C2" s="278"/>
    </row>
    <row r="3" spans="1:4" s="281" customFormat="1" ht="45" customHeight="1" x14ac:dyDescent="0.25">
      <c r="A3" s="279" t="s">
        <v>605</v>
      </c>
      <c r="B3" s="279" t="s">
        <v>606</v>
      </c>
      <c r="C3" s="280" t="s">
        <v>291</v>
      </c>
      <c r="D3" s="280" t="s">
        <v>15</v>
      </c>
    </row>
    <row r="4" spans="1:4" s="281" customFormat="1" ht="18.75" customHeight="1" x14ac:dyDescent="0.25">
      <c r="A4" s="282" t="s">
        <v>628</v>
      </c>
      <c r="B4" s="282"/>
      <c r="C4" s="283"/>
      <c r="D4" s="292"/>
    </row>
    <row r="5" spans="1:4" s="281" customFormat="1" ht="14.25" customHeight="1" x14ac:dyDescent="0.25">
      <c r="A5" s="282">
        <v>25</v>
      </c>
      <c r="B5" s="283"/>
      <c r="C5" s="283">
        <v>50</v>
      </c>
      <c r="D5" s="293">
        <f>B5+C5</f>
        <v>50</v>
      </c>
    </row>
    <row r="6" spans="1:4" s="281" customFormat="1" ht="14.25" customHeight="1" x14ac:dyDescent="0.25">
      <c r="A6" s="282">
        <v>26</v>
      </c>
      <c r="B6" s="283">
        <v>99</v>
      </c>
      <c r="C6" s="283">
        <v>60</v>
      </c>
      <c r="D6" s="293">
        <f>B6+C6</f>
        <v>159</v>
      </c>
    </row>
    <row r="7" spans="1:4" s="281" customFormat="1" ht="14.25" customHeight="1" x14ac:dyDescent="0.25">
      <c r="A7" s="282">
        <v>27</v>
      </c>
      <c r="B7" s="283">
        <v>10</v>
      </c>
      <c r="C7" s="284"/>
      <c r="D7" s="293">
        <f>B7+C7</f>
        <v>10</v>
      </c>
    </row>
    <row r="8" spans="1:4" s="281" customFormat="1" ht="18.75" customHeight="1" x14ac:dyDescent="0.25">
      <c r="A8" s="285" t="s">
        <v>44</v>
      </c>
      <c r="B8" s="286">
        <f>SUM(B5:B7)</f>
        <v>109</v>
      </c>
      <c r="C8" s="286">
        <f t="shared" ref="C8:D8" si="0">SUM(C5:C7)</f>
        <v>110</v>
      </c>
      <c r="D8" s="286">
        <f t="shared" si="0"/>
        <v>219</v>
      </c>
    </row>
    <row r="9" spans="1:4" s="288" customFormat="1" ht="15.75" x14ac:dyDescent="0.25">
      <c r="A9" s="287"/>
    </row>
    <row r="10" spans="1:4" s="290" customFormat="1" ht="15.75" x14ac:dyDescent="0.25">
      <c r="A10" s="289"/>
    </row>
    <row r="11" spans="1:4" s="290" customFormat="1" ht="15.75" x14ac:dyDescent="0.25">
      <c r="A11" s="289"/>
    </row>
    <row r="12" spans="1:4" s="290" customFormat="1" ht="15.75" x14ac:dyDescent="0.25">
      <c r="A12" s="289"/>
    </row>
    <row r="13" spans="1:4" s="290" customFormat="1" ht="15.75" x14ac:dyDescent="0.25">
      <c r="A13" s="289"/>
    </row>
    <row r="14" spans="1:4" s="290" customFormat="1" ht="15.75" x14ac:dyDescent="0.25">
      <c r="A14" s="289"/>
    </row>
    <row r="15" spans="1:4" s="290" customFormat="1" ht="15.75" x14ac:dyDescent="0.25">
      <c r="A15" s="289"/>
    </row>
  </sheetData>
  <mergeCells count="1">
    <mergeCell ref="A1:D1"/>
  </mergeCells>
  <pageMargins left="0" right="0" top="0.74803149606299213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45"/>
  <sheetViews>
    <sheetView zoomScale="90" zoomScaleNormal="90" workbookViewId="0">
      <pane xSplit="3" ySplit="7" topLeftCell="D127" activePane="bottomRight" state="frozen"/>
      <selection pane="topRight" activeCell="D1" sqref="D1"/>
      <selection pane="bottomLeft" activeCell="A8" sqref="A8"/>
      <selection pane="bottomRight" activeCell="N144" sqref="N144"/>
    </sheetView>
  </sheetViews>
  <sheetFormatPr defaultRowHeight="15" x14ac:dyDescent="0.25"/>
  <cols>
    <col min="1" max="1" width="5.42578125" style="108" customWidth="1"/>
    <col min="2" max="2" width="9.140625" style="108"/>
    <col min="3" max="3" width="36.140625" style="108" customWidth="1"/>
    <col min="4" max="5" width="16.140625" style="108" customWidth="1"/>
    <col min="6" max="6" width="13.7109375" style="108" customWidth="1"/>
    <col min="7" max="7" width="15.42578125" style="108" customWidth="1"/>
    <col min="8" max="8" width="14.42578125" style="108" customWidth="1"/>
    <col min="9" max="9" width="14.28515625" style="108" customWidth="1"/>
    <col min="10" max="10" width="14.7109375" style="108" customWidth="1"/>
    <col min="11" max="11" width="14.42578125" style="108" customWidth="1"/>
    <col min="12" max="16384" width="9.140625" style="108"/>
  </cols>
  <sheetData>
    <row r="1" spans="1:11" ht="44.25" customHeight="1" x14ac:dyDescent="0.25">
      <c r="A1" s="1240" t="s">
        <v>710</v>
      </c>
      <c r="B1" s="1349"/>
      <c r="C1" s="1349"/>
      <c r="D1" s="1349"/>
      <c r="E1" s="1349"/>
      <c r="F1" s="1349"/>
      <c r="G1" s="1349"/>
      <c r="H1" s="1349"/>
      <c r="I1" s="1349"/>
      <c r="J1" s="1349"/>
      <c r="K1" s="1349"/>
    </row>
    <row r="2" spans="1:11" ht="15.75" thickBot="1" x14ac:dyDescent="0.3">
      <c r="A2" s="397"/>
      <c r="B2" s="397"/>
      <c r="C2" s="398"/>
      <c r="D2" s="399"/>
      <c r="E2" s="399"/>
      <c r="F2" s="400"/>
      <c r="G2" s="399"/>
      <c r="H2" s="444"/>
      <c r="I2" s="399"/>
      <c r="J2" s="444"/>
      <c r="K2" s="399"/>
    </row>
    <row r="3" spans="1:11" x14ac:dyDescent="0.25">
      <c r="A3" s="1337" t="s">
        <v>0</v>
      </c>
      <c r="B3" s="1340" t="s">
        <v>693</v>
      </c>
      <c r="C3" s="1364" t="s">
        <v>2</v>
      </c>
      <c r="D3" s="1308" t="s">
        <v>703</v>
      </c>
      <c r="E3" s="1367"/>
      <c r="F3" s="1367"/>
      <c r="G3" s="1327"/>
      <c r="H3" s="1308" t="s">
        <v>711</v>
      </c>
      <c r="I3" s="1353"/>
      <c r="J3" s="1308" t="s">
        <v>712</v>
      </c>
      <c r="K3" s="1353"/>
    </row>
    <row r="4" spans="1:11" x14ac:dyDescent="0.25">
      <c r="A4" s="1338"/>
      <c r="B4" s="1341"/>
      <c r="C4" s="1365"/>
      <c r="D4" s="1351"/>
      <c r="E4" s="1368"/>
      <c r="F4" s="1368"/>
      <c r="G4" s="1352"/>
      <c r="H4" s="1351"/>
      <c r="I4" s="1354"/>
      <c r="J4" s="1351"/>
      <c r="K4" s="1354"/>
    </row>
    <row r="5" spans="1:11" ht="23.25" customHeight="1" x14ac:dyDescent="0.25">
      <c r="A5" s="1338"/>
      <c r="B5" s="1341"/>
      <c r="C5" s="1365"/>
      <c r="D5" s="1369" t="s">
        <v>441</v>
      </c>
      <c r="E5" s="1370" t="s">
        <v>713</v>
      </c>
      <c r="F5" s="1372" t="s">
        <v>707</v>
      </c>
      <c r="G5" s="1375" t="s">
        <v>697</v>
      </c>
      <c r="H5" s="1358" t="s">
        <v>714</v>
      </c>
      <c r="I5" s="1377" t="s">
        <v>699</v>
      </c>
      <c r="J5" s="1362" t="s">
        <v>700</v>
      </c>
      <c r="K5" s="1363" t="s">
        <v>701</v>
      </c>
    </row>
    <row r="6" spans="1:11" ht="19.5" customHeight="1" thickBot="1" x14ac:dyDescent="0.3">
      <c r="A6" s="1339"/>
      <c r="B6" s="1342"/>
      <c r="C6" s="1366"/>
      <c r="D6" s="1359"/>
      <c r="E6" s="1371"/>
      <c r="F6" s="1371"/>
      <c r="G6" s="1376"/>
      <c r="H6" s="1359"/>
      <c r="I6" s="1360"/>
      <c r="J6" s="1359"/>
      <c r="K6" s="1360"/>
    </row>
    <row r="7" spans="1:11" x14ac:dyDescent="0.25">
      <c r="A7" s="1334" t="s">
        <v>44</v>
      </c>
      <c r="B7" s="1335"/>
      <c r="C7" s="1336"/>
      <c r="D7" s="430">
        <f t="shared" ref="D7:K7" si="0">SUM(D8:D145)-D92</f>
        <v>639440</v>
      </c>
      <c r="E7" s="402">
        <f t="shared" si="0"/>
        <v>99924</v>
      </c>
      <c r="F7" s="402">
        <f t="shared" si="0"/>
        <v>739364</v>
      </c>
      <c r="G7" s="445">
        <f t="shared" si="0"/>
        <v>188557</v>
      </c>
      <c r="H7" s="431">
        <f t="shared" si="0"/>
        <v>5657</v>
      </c>
      <c r="I7" s="446">
        <f t="shared" si="0"/>
        <v>525590</v>
      </c>
      <c r="J7" s="430">
        <f t="shared" si="0"/>
        <v>799</v>
      </c>
      <c r="K7" s="403">
        <f t="shared" si="0"/>
        <v>41540</v>
      </c>
    </row>
    <row r="8" spans="1:11" x14ac:dyDescent="0.25">
      <c r="A8" s="357">
        <v>1</v>
      </c>
      <c r="B8" s="418" t="s">
        <v>54</v>
      </c>
      <c r="C8" s="432" t="s">
        <v>55</v>
      </c>
      <c r="D8" s="405">
        <v>2850</v>
      </c>
      <c r="E8" s="406"/>
      <c r="F8" s="402">
        <f>D8+E8</f>
        <v>2850</v>
      </c>
      <c r="G8" s="409">
        <v>475</v>
      </c>
      <c r="H8" s="447"/>
      <c r="I8" s="419"/>
      <c r="J8" s="448"/>
      <c r="K8" s="409"/>
    </row>
    <row r="9" spans="1:11" x14ac:dyDescent="0.25">
      <c r="A9" s="357">
        <v>2</v>
      </c>
      <c r="B9" s="421" t="s">
        <v>56</v>
      </c>
      <c r="C9" s="432" t="s">
        <v>57</v>
      </c>
      <c r="D9" s="405">
        <v>5458</v>
      </c>
      <c r="E9" s="406"/>
      <c r="F9" s="402">
        <f t="shared" ref="F9:F59" si="1">D9+E9</f>
        <v>5458</v>
      </c>
      <c r="G9" s="409">
        <v>912</v>
      </c>
      <c r="H9" s="447"/>
      <c r="I9" s="419"/>
      <c r="J9" s="448"/>
      <c r="K9" s="409"/>
    </row>
    <row r="10" spans="1:11" x14ac:dyDescent="0.25">
      <c r="A10" s="357">
        <v>3</v>
      </c>
      <c r="B10" s="407" t="s">
        <v>16</v>
      </c>
      <c r="C10" s="432" t="s">
        <v>17</v>
      </c>
      <c r="D10" s="405"/>
      <c r="E10" s="406"/>
      <c r="F10" s="402"/>
      <c r="G10" s="409"/>
      <c r="H10" s="447"/>
      <c r="I10" s="419"/>
      <c r="J10" s="448"/>
      <c r="K10" s="409"/>
    </row>
    <row r="11" spans="1:11" x14ac:dyDescent="0.25">
      <c r="A11" s="357">
        <v>4</v>
      </c>
      <c r="B11" s="418" t="s">
        <v>58</v>
      </c>
      <c r="C11" s="432" t="s">
        <v>59</v>
      </c>
      <c r="D11" s="405">
        <v>2250</v>
      </c>
      <c r="E11" s="406"/>
      <c r="F11" s="402">
        <f t="shared" si="1"/>
        <v>2250</v>
      </c>
      <c r="G11" s="409">
        <v>375</v>
      </c>
      <c r="H11" s="447"/>
      <c r="I11" s="419"/>
      <c r="J11" s="448"/>
      <c r="K11" s="409"/>
    </row>
    <row r="12" spans="1:11" x14ac:dyDescent="0.25">
      <c r="A12" s="357">
        <v>5</v>
      </c>
      <c r="B12" s="418" t="s">
        <v>60</v>
      </c>
      <c r="C12" s="422" t="s">
        <v>61</v>
      </c>
      <c r="D12" s="405">
        <v>3000</v>
      </c>
      <c r="E12" s="406"/>
      <c r="F12" s="402">
        <f t="shared" si="1"/>
        <v>3000</v>
      </c>
      <c r="G12" s="406">
        <v>500</v>
      </c>
      <c r="H12" s="449"/>
      <c r="I12" s="419"/>
      <c r="J12" s="448"/>
      <c r="K12" s="409"/>
    </row>
    <row r="13" spans="1:11" x14ac:dyDescent="0.25">
      <c r="A13" s="357">
        <v>6</v>
      </c>
      <c r="B13" s="407" t="s">
        <v>18</v>
      </c>
      <c r="C13" s="422" t="s">
        <v>19</v>
      </c>
      <c r="D13" s="405">
        <v>1500</v>
      </c>
      <c r="E13" s="406"/>
      <c r="F13" s="402">
        <f t="shared" si="1"/>
        <v>1500</v>
      </c>
      <c r="G13" s="406">
        <v>250</v>
      </c>
      <c r="H13" s="449"/>
      <c r="I13" s="419"/>
      <c r="J13" s="448"/>
      <c r="K13" s="409"/>
    </row>
    <row r="14" spans="1:11" x14ac:dyDescent="0.25">
      <c r="A14" s="357">
        <v>7</v>
      </c>
      <c r="B14" s="418" t="s">
        <v>62</v>
      </c>
      <c r="C14" s="422" t="s">
        <v>63</v>
      </c>
      <c r="D14" s="405">
        <v>5625</v>
      </c>
      <c r="E14" s="406"/>
      <c r="F14" s="402">
        <f t="shared" si="1"/>
        <v>5625</v>
      </c>
      <c r="G14" s="406">
        <v>938</v>
      </c>
      <c r="H14" s="449"/>
      <c r="I14" s="419"/>
      <c r="J14" s="448"/>
      <c r="K14" s="409"/>
    </row>
    <row r="15" spans="1:11" x14ac:dyDescent="0.25">
      <c r="A15" s="357">
        <v>8</v>
      </c>
      <c r="B15" s="407" t="s">
        <v>64</v>
      </c>
      <c r="C15" s="422" t="s">
        <v>65</v>
      </c>
      <c r="D15" s="405">
        <v>3375</v>
      </c>
      <c r="E15" s="406"/>
      <c r="F15" s="402">
        <f t="shared" si="1"/>
        <v>3375</v>
      </c>
      <c r="G15" s="406">
        <v>562</v>
      </c>
      <c r="H15" s="449"/>
      <c r="I15" s="419"/>
      <c r="J15" s="448"/>
      <c r="K15" s="409"/>
    </row>
    <row r="16" spans="1:11" x14ac:dyDescent="0.25">
      <c r="A16" s="357">
        <v>9</v>
      </c>
      <c r="B16" s="407" t="s">
        <v>66</v>
      </c>
      <c r="C16" s="422" t="s">
        <v>67</v>
      </c>
      <c r="D16" s="405">
        <v>3750</v>
      </c>
      <c r="E16" s="406"/>
      <c r="F16" s="402">
        <f t="shared" si="1"/>
        <v>3750</v>
      </c>
      <c r="G16" s="406">
        <v>625</v>
      </c>
      <c r="H16" s="449"/>
      <c r="I16" s="419"/>
      <c r="J16" s="448"/>
      <c r="K16" s="409"/>
    </row>
    <row r="17" spans="1:11" x14ac:dyDescent="0.25">
      <c r="A17" s="357">
        <v>10</v>
      </c>
      <c r="B17" s="407" t="s">
        <v>68</v>
      </c>
      <c r="C17" s="422" t="s">
        <v>69</v>
      </c>
      <c r="D17" s="405">
        <v>2625</v>
      </c>
      <c r="E17" s="406"/>
      <c r="F17" s="402">
        <f t="shared" si="1"/>
        <v>2625</v>
      </c>
      <c r="G17" s="406">
        <v>438</v>
      </c>
      <c r="H17" s="449"/>
      <c r="I17" s="419"/>
      <c r="J17" s="448"/>
      <c r="K17" s="409"/>
    </row>
    <row r="18" spans="1:11" x14ac:dyDescent="0.25">
      <c r="A18" s="357">
        <v>11</v>
      </c>
      <c r="B18" s="407" t="s">
        <v>70</v>
      </c>
      <c r="C18" s="422" t="s">
        <v>71</v>
      </c>
      <c r="D18" s="405">
        <v>3418</v>
      </c>
      <c r="E18" s="406"/>
      <c r="F18" s="402">
        <f t="shared" si="1"/>
        <v>3418</v>
      </c>
      <c r="G18" s="406">
        <v>569</v>
      </c>
      <c r="H18" s="449"/>
      <c r="I18" s="419"/>
      <c r="J18" s="448"/>
      <c r="K18" s="409"/>
    </row>
    <row r="19" spans="1:11" x14ac:dyDescent="0.25">
      <c r="A19" s="357">
        <v>12</v>
      </c>
      <c r="B19" s="407" t="s">
        <v>72</v>
      </c>
      <c r="C19" s="422" t="s">
        <v>73</v>
      </c>
      <c r="D19" s="405">
        <v>6525</v>
      </c>
      <c r="E19" s="406"/>
      <c r="F19" s="402">
        <f t="shared" si="1"/>
        <v>6525</v>
      </c>
      <c r="G19" s="406">
        <v>1088</v>
      </c>
      <c r="H19" s="449"/>
      <c r="I19" s="419"/>
      <c r="J19" s="448"/>
      <c r="K19" s="409"/>
    </row>
    <row r="20" spans="1:11" x14ac:dyDescent="0.25">
      <c r="A20" s="357">
        <v>13</v>
      </c>
      <c r="B20" s="407" t="s">
        <v>74</v>
      </c>
      <c r="C20" s="422" t="s">
        <v>75</v>
      </c>
      <c r="D20" s="405"/>
      <c r="E20" s="406"/>
      <c r="F20" s="402"/>
      <c r="G20" s="406"/>
      <c r="H20" s="449"/>
      <c r="I20" s="419"/>
      <c r="J20" s="448"/>
      <c r="K20" s="409"/>
    </row>
    <row r="21" spans="1:11" x14ac:dyDescent="0.25">
      <c r="A21" s="357">
        <v>14</v>
      </c>
      <c r="B21" s="407" t="s">
        <v>76</v>
      </c>
      <c r="C21" s="422" t="s">
        <v>77</v>
      </c>
      <c r="D21" s="405">
        <v>4575</v>
      </c>
      <c r="E21" s="406"/>
      <c r="F21" s="402">
        <f t="shared" si="1"/>
        <v>4575</v>
      </c>
      <c r="G21" s="406">
        <v>762</v>
      </c>
      <c r="H21" s="449"/>
      <c r="I21" s="419"/>
      <c r="J21" s="448"/>
      <c r="K21" s="409"/>
    </row>
    <row r="22" spans="1:11" x14ac:dyDescent="0.25">
      <c r="A22" s="357">
        <v>15</v>
      </c>
      <c r="B22" s="407" t="s">
        <v>78</v>
      </c>
      <c r="C22" s="422" t="s">
        <v>79</v>
      </c>
      <c r="D22" s="405">
        <v>6000</v>
      </c>
      <c r="E22" s="406"/>
      <c r="F22" s="402">
        <f t="shared" si="1"/>
        <v>6000</v>
      </c>
      <c r="G22" s="406">
        <v>1000</v>
      </c>
      <c r="H22" s="449"/>
      <c r="I22" s="419"/>
      <c r="J22" s="448"/>
      <c r="K22" s="409"/>
    </row>
    <row r="23" spans="1:11" x14ac:dyDescent="0.25">
      <c r="A23" s="357">
        <v>16</v>
      </c>
      <c r="B23" s="407" t="s">
        <v>80</v>
      </c>
      <c r="C23" s="422" t="s">
        <v>81</v>
      </c>
      <c r="D23" s="405">
        <v>7500</v>
      </c>
      <c r="E23" s="406"/>
      <c r="F23" s="402">
        <f t="shared" si="1"/>
        <v>7500</v>
      </c>
      <c r="G23" s="406">
        <v>1250</v>
      </c>
      <c r="H23" s="449"/>
      <c r="I23" s="419"/>
      <c r="J23" s="448"/>
      <c r="K23" s="409"/>
    </row>
    <row r="24" spans="1:11" x14ac:dyDescent="0.25">
      <c r="A24" s="357">
        <v>17</v>
      </c>
      <c r="B24" s="407" t="s">
        <v>20</v>
      </c>
      <c r="C24" s="422" t="s">
        <v>21</v>
      </c>
      <c r="D24" s="405"/>
      <c r="E24" s="406"/>
      <c r="F24" s="402"/>
      <c r="G24" s="406"/>
      <c r="H24" s="449"/>
      <c r="I24" s="419"/>
      <c r="J24" s="448"/>
      <c r="K24" s="409"/>
    </row>
    <row r="25" spans="1:11" x14ac:dyDescent="0.25">
      <c r="A25" s="357">
        <v>18</v>
      </c>
      <c r="B25" s="418" t="s">
        <v>82</v>
      </c>
      <c r="C25" s="422" t="s">
        <v>83</v>
      </c>
      <c r="D25" s="405">
        <v>2250</v>
      </c>
      <c r="E25" s="406"/>
      <c r="F25" s="402">
        <f t="shared" si="1"/>
        <v>2250</v>
      </c>
      <c r="G25" s="406">
        <v>375</v>
      </c>
      <c r="H25" s="449"/>
      <c r="I25" s="419"/>
      <c r="J25" s="448"/>
      <c r="K25" s="409"/>
    </row>
    <row r="26" spans="1:11" x14ac:dyDescent="0.25">
      <c r="A26" s="357">
        <v>19</v>
      </c>
      <c r="B26" s="418" t="s">
        <v>84</v>
      </c>
      <c r="C26" s="422" t="s">
        <v>85</v>
      </c>
      <c r="D26" s="405">
        <v>2250</v>
      </c>
      <c r="E26" s="406"/>
      <c r="F26" s="402">
        <f t="shared" si="1"/>
        <v>2250</v>
      </c>
      <c r="G26" s="406">
        <v>375</v>
      </c>
      <c r="H26" s="449"/>
      <c r="I26" s="419"/>
      <c r="J26" s="448"/>
      <c r="K26" s="409"/>
    </row>
    <row r="27" spans="1:11" x14ac:dyDescent="0.25">
      <c r="A27" s="357">
        <v>20</v>
      </c>
      <c r="B27" s="418" t="s">
        <v>86</v>
      </c>
      <c r="C27" s="422" t="s">
        <v>87</v>
      </c>
      <c r="D27" s="405">
        <v>5250</v>
      </c>
      <c r="E27" s="406"/>
      <c r="F27" s="402">
        <f t="shared" si="1"/>
        <v>5250</v>
      </c>
      <c r="G27" s="406">
        <v>875</v>
      </c>
      <c r="H27" s="449"/>
      <c r="I27" s="419"/>
      <c r="J27" s="448"/>
      <c r="K27" s="409"/>
    </row>
    <row r="28" spans="1:11" x14ac:dyDescent="0.25">
      <c r="A28" s="357">
        <v>21</v>
      </c>
      <c r="B28" s="418" t="s">
        <v>22</v>
      </c>
      <c r="C28" s="422" t="s">
        <v>23</v>
      </c>
      <c r="D28" s="405"/>
      <c r="E28" s="406"/>
      <c r="F28" s="402"/>
      <c r="G28" s="406"/>
      <c r="H28" s="449"/>
      <c r="I28" s="419"/>
      <c r="J28" s="448"/>
      <c r="K28" s="409"/>
    </row>
    <row r="29" spans="1:11" x14ac:dyDescent="0.25">
      <c r="A29" s="357">
        <v>22</v>
      </c>
      <c r="B29" s="407" t="s">
        <v>24</v>
      </c>
      <c r="C29" s="422" t="s">
        <v>25</v>
      </c>
      <c r="D29" s="405"/>
      <c r="E29" s="406"/>
      <c r="F29" s="402"/>
      <c r="G29" s="406"/>
      <c r="H29" s="449"/>
      <c r="I29" s="419"/>
      <c r="J29" s="448"/>
      <c r="K29" s="409"/>
    </row>
    <row r="30" spans="1:11" x14ac:dyDescent="0.25">
      <c r="A30" s="357">
        <v>23</v>
      </c>
      <c r="B30" s="407" t="s">
        <v>88</v>
      </c>
      <c r="C30" s="422" t="s">
        <v>89</v>
      </c>
      <c r="D30" s="405"/>
      <c r="E30" s="406"/>
      <c r="F30" s="402"/>
      <c r="G30" s="406"/>
      <c r="H30" s="449"/>
      <c r="I30" s="419"/>
      <c r="J30" s="448"/>
      <c r="K30" s="409"/>
    </row>
    <row r="31" spans="1:11" ht="25.5" x14ac:dyDescent="0.25">
      <c r="A31" s="357">
        <v>24</v>
      </c>
      <c r="B31" s="407" t="s">
        <v>90</v>
      </c>
      <c r="C31" s="422" t="s">
        <v>91</v>
      </c>
      <c r="D31" s="405"/>
      <c r="E31" s="406"/>
      <c r="F31" s="402"/>
      <c r="G31" s="406"/>
      <c r="H31" s="449"/>
      <c r="I31" s="419"/>
      <c r="J31" s="448"/>
      <c r="K31" s="409"/>
    </row>
    <row r="32" spans="1:11" x14ac:dyDescent="0.25">
      <c r="A32" s="357">
        <v>25</v>
      </c>
      <c r="B32" s="418" t="s">
        <v>92</v>
      </c>
      <c r="C32" s="422" t="s">
        <v>93</v>
      </c>
      <c r="D32" s="405">
        <v>5625</v>
      </c>
      <c r="E32" s="406"/>
      <c r="F32" s="402">
        <f t="shared" si="1"/>
        <v>5625</v>
      </c>
      <c r="G32" s="406">
        <v>938</v>
      </c>
      <c r="H32" s="449"/>
      <c r="I32" s="419"/>
      <c r="J32" s="448"/>
      <c r="K32" s="409"/>
    </row>
    <row r="33" spans="1:11" x14ac:dyDescent="0.25">
      <c r="A33" s="357">
        <v>26</v>
      </c>
      <c r="B33" s="407" t="s">
        <v>94</v>
      </c>
      <c r="C33" s="422" t="s">
        <v>95</v>
      </c>
      <c r="D33" s="405"/>
      <c r="E33" s="406"/>
      <c r="F33" s="402"/>
      <c r="G33" s="406"/>
      <c r="H33" s="449"/>
      <c r="I33" s="419"/>
      <c r="J33" s="448"/>
      <c r="K33" s="409"/>
    </row>
    <row r="34" spans="1:11" x14ac:dyDescent="0.25">
      <c r="A34" s="357">
        <v>27</v>
      </c>
      <c r="B34" s="421" t="s">
        <v>96</v>
      </c>
      <c r="C34" s="422" t="s">
        <v>97</v>
      </c>
      <c r="D34" s="405"/>
      <c r="E34" s="406"/>
      <c r="F34" s="402"/>
      <c r="G34" s="406"/>
      <c r="H34" s="449"/>
      <c r="I34" s="419"/>
      <c r="J34" s="448"/>
      <c r="K34" s="409"/>
    </row>
    <row r="35" spans="1:11" x14ac:dyDescent="0.25">
      <c r="A35" s="331">
        <v>28</v>
      </c>
      <c r="B35" s="421" t="s">
        <v>26</v>
      </c>
      <c r="C35" s="422" t="s">
        <v>27</v>
      </c>
      <c r="D35" s="405"/>
      <c r="E35" s="406"/>
      <c r="F35" s="402"/>
      <c r="G35" s="406"/>
      <c r="H35" s="449"/>
      <c r="I35" s="419"/>
      <c r="J35" s="448"/>
      <c r="K35" s="409"/>
    </row>
    <row r="36" spans="1:11" x14ac:dyDescent="0.25">
      <c r="A36" s="331">
        <v>29</v>
      </c>
      <c r="B36" s="418" t="s">
        <v>98</v>
      </c>
      <c r="C36" s="422" t="s">
        <v>99</v>
      </c>
      <c r="D36" s="405"/>
      <c r="E36" s="406"/>
      <c r="F36" s="402"/>
      <c r="G36" s="406"/>
      <c r="H36" s="449"/>
      <c r="I36" s="419"/>
      <c r="J36" s="448"/>
      <c r="K36" s="409"/>
    </row>
    <row r="37" spans="1:11" x14ac:dyDescent="0.25">
      <c r="A37" s="331">
        <v>30</v>
      </c>
      <c r="B37" s="421" t="s">
        <v>100</v>
      </c>
      <c r="C37" s="422" t="s">
        <v>101</v>
      </c>
      <c r="D37" s="405">
        <v>3750</v>
      </c>
      <c r="E37" s="406"/>
      <c r="F37" s="402">
        <f t="shared" si="1"/>
        <v>3750</v>
      </c>
      <c r="G37" s="406">
        <v>625</v>
      </c>
      <c r="H37" s="449"/>
      <c r="I37" s="419"/>
      <c r="J37" s="448"/>
      <c r="K37" s="409"/>
    </row>
    <row r="38" spans="1:11" x14ac:dyDescent="0.25">
      <c r="A38" s="331">
        <v>31</v>
      </c>
      <c r="B38" s="407" t="s">
        <v>102</v>
      </c>
      <c r="C38" s="422" t="s">
        <v>103</v>
      </c>
      <c r="D38" s="405"/>
      <c r="E38" s="406"/>
      <c r="F38" s="402"/>
      <c r="G38" s="406"/>
      <c r="H38" s="449"/>
      <c r="I38" s="419"/>
      <c r="J38" s="448"/>
      <c r="K38" s="409"/>
    </row>
    <row r="39" spans="1:11" x14ac:dyDescent="0.25">
      <c r="A39" s="331">
        <v>32</v>
      </c>
      <c r="B39" s="421" t="s">
        <v>104</v>
      </c>
      <c r="C39" s="422" t="s">
        <v>105</v>
      </c>
      <c r="D39" s="405">
        <v>3750</v>
      </c>
      <c r="E39" s="406"/>
      <c r="F39" s="402">
        <f t="shared" si="1"/>
        <v>3750</v>
      </c>
      <c r="G39" s="406">
        <v>625</v>
      </c>
      <c r="H39" s="449"/>
      <c r="I39" s="419"/>
      <c r="J39" s="448"/>
      <c r="K39" s="409"/>
    </row>
    <row r="40" spans="1:11" x14ac:dyDescent="0.25">
      <c r="A40" s="331">
        <v>33</v>
      </c>
      <c r="B40" s="418" t="s">
        <v>106</v>
      </c>
      <c r="C40" s="422" t="s">
        <v>107</v>
      </c>
      <c r="D40" s="405">
        <v>11250</v>
      </c>
      <c r="E40" s="406"/>
      <c r="F40" s="402">
        <f t="shared" si="1"/>
        <v>11250</v>
      </c>
      <c r="G40" s="406">
        <v>1875</v>
      </c>
      <c r="H40" s="449"/>
      <c r="I40" s="419"/>
      <c r="J40" s="448"/>
      <c r="K40" s="409"/>
    </row>
    <row r="41" spans="1:11" x14ac:dyDescent="0.25">
      <c r="A41" s="331">
        <v>34</v>
      </c>
      <c r="B41" s="371" t="s">
        <v>108</v>
      </c>
      <c r="C41" s="330" t="s">
        <v>109</v>
      </c>
      <c r="D41" s="405">
        <v>3000</v>
      </c>
      <c r="E41" s="406"/>
      <c r="F41" s="402">
        <f t="shared" si="1"/>
        <v>3000</v>
      </c>
      <c r="G41" s="406">
        <v>500</v>
      </c>
      <c r="H41" s="449"/>
      <c r="I41" s="419"/>
      <c r="J41" s="448"/>
      <c r="K41" s="409"/>
    </row>
    <row r="42" spans="1:11" x14ac:dyDescent="0.25">
      <c r="A42" s="331">
        <v>35</v>
      </c>
      <c r="B42" s="418" t="s">
        <v>110</v>
      </c>
      <c r="C42" s="422" t="s">
        <v>111</v>
      </c>
      <c r="D42" s="405">
        <v>2700</v>
      </c>
      <c r="E42" s="406"/>
      <c r="F42" s="402">
        <f t="shared" si="1"/>
        <v>2700</v>
      </c>
      <c r="G42" s="406">
        <v>450</v>
      </c>
      <c r="H42" s="449"/>
      <c r="I42" s="419"/>
      <c r="J42" s="448"/>
      <c r="K42" s="409"/>
    </row>
    <row r="43" spans="1:11" x14ac:dyDescent="0.25">
      <c r="A43" s="331">
        <v>36</v>
      </c>
      <c r="B43" s="418" t="s">
        <v>112</v>
      </c>
      <c r="C43" s="422" t="s">
        <v>113</v>
      </c>
      <c r="D43" s="405">
        <v>5025</v>
      </c>
      <c r="E43" s="406"/>
      <c r="F43" s="402">
        <f t="shared" si="1"/>
        <v>5025</v>
      </c>
      <c r="G43" s="406">
        <v>838</v>
      </c>
      <c r="H43" s="449"/>
      <c r="I43" s="419"/>
      <c r="J43" s="448"/>
      <c r="K43" s="409"/>
    </row>
    <row r="44" spans="1:11" x14ac:dyDescent="0.25">
      <c r="A44" s="331">
        <v>37</v>
      </c>
      <c r="B44" s="407" t="s">
        <v>114</v>
      </c>
      <c r="C44" s="422" t="s">
        <v>115</v>
      </c>
      <c r="D44" s="405">
        <v>2819</v>
      </c>
      <c r="E44" s="406"/>
      <c r="F44" s="402">
        <f t="shared" si="1"/>
        <v>2819</v>
      </c>
      <c r="G44" s="406">
        <v>470</v>
      </c>
      <c r="H44" s="449"/>
      <c r="I44" s="419"/>
      <c r="J44" s="448"/>
      <c r="K44" s="409"/>
    </row>
    <row r="45" spans="1:11" x14ac:dyDescent="0.25">
      <c r="A45" s="331">
        <v>38</v>
      </c>
      <c r="B45" s="421" t="s">
        <v>116</v>
      </c>
      <c r="C45" s="422" t="s">
        <v>117</v>
      </c>
      <c r="D45" s="405"/>
      <c r="E45" s="406"/>
      <c r="F45" s="402"/>
      <c r="G45" s="406"/>
      <c r="H45" s="449"/>
      <c r="I45" s="419"/>
      <c r="J45" s="448"/>
      <c r="K45" s="409"/>
    </row>
    <row r="46" spans="1:11" x14ac:dyDescent="0.25">
      <c r="A46" s="331">
        <v>39</v>
      </c>
      <c r="B46" s="407" t="s">
        <v>28</v>
      </c>
      <c r="C46" s="422" t="s">
        <v>29</v>
      </c>
      <c r="D46" s="405"/>
      <c r="E46" s="406"/>
      <c r="F46" s="402"/>
      <c r="G46" s="406"/>
      <c r="H46" s="449"/>
      <c r="I46" s="419"/>
      <c r="J46" s="448"/>
      <c r="K46" s="409"/>
    </row>
    <row r="47" spans="1:11" x14ac:dyDescent="0.25">
      <c r="A47" s="331">
        <v>40</v>
      </c>
      <c r="B47" s="418" t="s">
        <v>118</v>
      </c>
      <c r="C47" s="422" t="s">
        <v>119</v>
      </c>
      <c r="D47" s="405">
        <v>3000</v>
      </c>
      <c r="E47" s="406"/>
      <c r="F47" s="402">
        <f t="shared" si="1"/>
        <v>3000</v>
      </c>
      <c r="G47" s="406">
        <v>500</v>
      </c>
      <c r="H47" s="449"/>
      <c r="I47" s="419"/>
      <c r="J47" s="448"/>
      <c r="K47" s="409"/>
    </row>
    <row r="48" spans="1:11" x14ac:dyDescent="0.25">
      <c r="A48" s="331">
        <v>41</v>
      </c>
      <c r="B48" s="418" t="s">
        <v>120</v>
      </c>
      <c r="C48" s="422" t="s">
        <v>121</v>
      </c>
      <c r="D48" s="405">
        <v>6000</v>
      </c>
      <c r="E48" s="406"/>
      <c r="F48" s="402">
        <f t="shared" si="1"/>
        <v>6000</v>
      </c>
      <c r="G48" s="406">
        <v>1000</v>
      </c>
      <c r="H48" s="449"/>
      <c r="I48" s="419"/>
      <c r="J48" s="448"/>
      <c r="K48" s="409"/>
    </row>
    <row r="49" spans="1:11" x14ac:dyDescent="0.25">
      <c r="A49" s="331">
        <v>42</v>
      </c>
      <c r="B49" s="407" t="s">
        <v>122</v>
      </c>
      <c r="C49" s="422" t="s">
        <v>123</v>
      </c>
      <c r="D49" s="405">
        <v>3375</v>
      </c>
      <c r="E49" s="406"/>
      <c r="F49" s="402">
        <f t="shared" si="1"/>
        <v>3375</v>
      </c>
      <c r="G49" s="406">
        <v>562</v>
      </c>
      <c r="H49" s="449"/>
      <c r="I49" s="419"/>
      <c r="J49" s="448"/>
      <c r="K49" s="409"/>
    </row>
    <row r="50" spans="1:11" x14ac:dyDescent="0.25">
      <c r="A50" s="331">
        <v>43</v>
      </c>
      <c r="B50" s="421" t="s">
        <v>124</v>
      </c>
      <c r="C50" s="422" t="s">
        <v>125</v>
      </c>
      <c r="D50" s="405">
        <v>3750</v>
      </c>
      <c r="E50" s="406"/>
      <c r="F50" s="402">
        <f t="shared" si="1"/>
        <v>3750</v>
      </c>
      <c r="G50" s="406">
        <v>625</v>
      </c>
      <c r="H50" s="449"/>
      <c r="I50" s="419"/>
      <c r="J50" s="448"/>
      <c r="K50" s="409"/>
    </row>
    <row r="51" spans="1:11" x14ac:dyDescent="0.25">
      <c r="A51" s="331">
        <v>87</v>
      </c>
      <c r="B51" s="407" t="s">
        <v>126</v>
      </c>
      <c r="C51" s="422" t="s">
        <v>127</v>
      </c>
      <c r="D51" s="405">
        <v>3750</v>
      </c>
      <c r="E51" s="406"/>
      <c r="F51" s="402">
        <f t="shared" si="1"/>
        <v>3750</v>
      </c>
      <c r="G51" s="406">
        <v>625</v>
      </c>
      <c r="H51" s="449"/>
      <c r="I51" s="419"/>
      <c r="J51" s="448"/>
      <c r="K51" s="409"/>
    </row>
    <row r="52" spans="1:11" x14ac:dyDescent="0.25">
      <c r="A52" s="331">
        <v>44</v>
      </c>
      <c r="B52" s="421" t="s">
        <v>128</v>
      </c>
      <c r="C52" s="422" t="s">
        <v>129</v>
      </c>
      <c r="D52" s="405">
        <v>5625</v>
      </c>
      <c r="E52" s="406"/>
      <c r="F52" s="402">
        <f t="shared" si="1"/>
        <v>5625</v>
      </c>
      <c r="G52" s="406">
        <v>938</v>
      </c>
      <c r="H52" s="449"/>
      <c r="I52" s="419"/>
      <c r="J52" s="448"/>
      <c r="K52" s="409"/>
    </row>
    <row r="53" spans="1:11" x14ac:dyDescent="0.25">
      <c r="A53" s="331">
        <v>45</v>
      </c>
      <c r="B53" s="407" t="s">
        <v>130</v>
      </c>
      <c r="C53" s="422" t="s">
        <v>131</v>
      </c>
      <c r="D53" s="405">
        <v>2250</v>
      </c>
      <c r="E53" s="406"/>
      <c r="F53" s="402">
        <f t="shared" si="1"/>
        <v>2250</v>
      </c>
      <c r="G53" s="406">
        <v>375</v>
      </c>
      <c r="H53" s="449"/>
      <c r="I53" s="419"/>
      <c r="J53" s="448"/>
      <c r="K53" s="409"/>
    </row>
    <row r="54" spans="1:11" x14ac:dyDescent="0.25">
      <c r="A54" s="331">
        <v>46</v>
      </c>
      <c r="B54" s="421" t="s">
        <v>132</v>
      </c>
      <c r="C54" s="422" t="s">
        <v>133</v>
      </c>
      <c r="D54" s="405">
        <v>3750</v>
      </c>
      <c r="E54" s="406"/>
      <c r="F54" s="402">
        <f t="shared" si="1"/>
        <v>3750</v>
      </c>
      <c r="G54" s="406">
        <v>625</v>
      </c>
      <c r="H54" s="449"/>
      <c r="I54" s="419"/>
      <c r="J54" s="448"/>
      <c r="K54" s="409"/>
    </row>
    <row r="55" spans="1:11" x14ac:dyDescent="0.25">
      <c r="A55" s="331">
        <v>47</v>
      </c>
      <c r="B55" s="407" t="s">
        <v>134</v>
      </c>
      <c r="C55" s="422" t="s">
        <v>135</v>
      </c>
      <c r="D55" s="405">
        <v>5850</v>
      </c>
      <c r="E55" s="406"/>
      <c r="F55" s="402">
        <f t="shared" si="1"/>
        <v>5850</v>
      </c>
      <c r="G55" s="406">
        <v>975</v>
      </c>
      <c r="H55" s="449"/>
      <c r="I55" s="419"/>
      <c r="J55" s="448"/>
      <c r="K55" s="409"/>
    </row>
    <row r="56" spans="1:11" x14ac:dyDescent="0.25">
      <c r="A56" s="331">
        <v>48</v>
      </c>
      <c r="B56" s="407" t="s">
        <v>136</v>
      </c>
      <c r="C56" s="422" t="s">
        <v>137</v>
      </c>
      <c r="D56" s="405">
        <v>11250</v>
      </c>
      <c r="E56" s="406"/>
      <c r="F56" s="402">
        <f t="shared" si="1"/>
        <v>11250</v>
      </c>
      <c r="G56" s="406">
        <v>1875</v>
      </c>
      <c r="H56" s="449"/>
      <c r="I56" s="419"/>
      <c r="J56" s="448"/>
      <c r="K56" s="409"/>
    </row>
    <row r="57" spans="1:11" x14ac:dyDescent="0.25">
      <c r="A57" s="331">
        <v>49</v>
      </c>
      <c r="B57" s="407" t="s">
        <v>138</v>
      </c>
      <c r="C57" s="422" t="s">
        <v>139</v>
      </c>
      <c r="D57" s="405">
        <v>4200</v>
      </c>
      <c r="E57" s="406"/>
      <c r="F57" s="402">
        <f t="shared" si="1"/>
        <v>4200</v>
      </c>
      <c r="G57" s="406">
        <v>700</v>
      </c>
      <c r="H57" s="449"/>
      <c r="I57" s="419"/>
      <c r="J57" s="448"/>
      <c r="K57" s="409"/>
    </row>
    <row r="58" spans="1:11" x14ac:dyDescent="0.25">
      <c r="A58" s="331">
        <v>95</v>
      </c>
      <c r="B58" s="407" t="s">
        <v>140</v>
      </c>
      <c r="C58" s="422" t="s">
        <v>141</v>
      </c>
      <c r="D58" s="405">
        <v>3075</v>
      </c>
      <c r="E58" s="406"/>
      <c r="F58" s="402">
        <f t="shared" si="1"/>
        <v>3075</v>
      </c>
      <c r="G58" s="406">
        <v>512</v>
      </c>
      <c r="H58" s="449"/>
      <c r="I58" s="419"/>
      <c r="J58" s="448"/>
      <c r="K58" s="409"/>
    </row>
    <row r="59" spans="1:11" x14ac:dyDescent="0.25">
      <c r="A59" s="331">
        <v>50</v>
      </c>
      <c r="B59" s="421" t="s">
        <v>142</v>
      </c>
      <c r="C59" s="422" t="s">
        <v>143</v>
      </c>
      <c r="D59" s="405">
        <v>3225</v>
      </c>
      <c r="E59" s="406"/>
      <c r="F59" s="402">
        <f t="shared" si="1"/>
        <v>3225</v>
      </c>
      <c r="G59" s="406">
        <v>538</v>
      </c>
      <c r="H59" s="449"/>
      <c r="I59" s="419"/>
      <c r="J59" s="448"/>
      <c r="K59" s="409"/>
    </row>
    <row r="60" spans="1:11" x14ac:dyDescent="0.25">
      <c r="A60" s="331">
        <v>97</v>
      </c>
      <c r="B60" s="407" t="s">
        <v>144</v>
      </c>
      <c r="C60" s="422" t="s">
        <v>145</v>
      </c>
      <c r="D60" s="405"/>
      <c r="E60" s="406"/>
      <c r="F60" s="402"/>
      <c r="G60" s="406"/>
      <c r="H60" s="449"/>
      <c r="I60" s="419"/>
      <c r="J60" s="448"/>
      <c r="K60" s="409"/>
    </row>
    <row r="61" spans="1:11" x14ac:dyDescent="0.25">
      <c r="A61" s="331">
        <v>51</v>
      </c>
      <c r="B61" s="407" t="s">
        <v>146</v>
      </c>
      <c r="C61" s="422" t="s">
        <v>147</v>
      </c>
      <c r="D61" s="405"/>
      <c r="E61" s="406"/>
      <c r="F61" s="402"/>
      <c r="G61" s="406"/>
      <c r="H61" s="449"/>
      <c r="I61" s="419"/>
      <c r="J61" s="448"/>
      <c r="K61" s="409"/>
    </row>
    <row r="62" spans="1:11" x14ac:dyDescent="0.25">
      <c r="A62" s="331">
        <v>52</v>
      </c>
      <c r="B62" s="407" t="s">
        <v>148</v>
      </c>
      <c r="C62" s="422" t="s">
        <v>149</v>
      </c>
      <c r="D62" s="405"/>
      <c r="E62" s="406"/>
      <c r="F62" s="402"/>
      <c r="G62" s="406"/>
      <c r="H62" s="449"/>
      <c r="I62" s="419"/>
      <c r="J62" s="448"/>
      <c r="K62" s="409"/>
    </row>
    <row r="63" spans="1:11" x14ac:dyDescent="0.25">
      <c r="A63" s="331">
        <v>53</v>
      </c>
      <c r="B63" s="421" t="s">
        <v>150</v>
      </c>
      <c r="C63" s="422" t="s">
        <v>151</v>
      </c>
      <c r="D63" s="405"/>
      <c r="E63" s="406"/>
      <c r="F63" s="402"/>
      <c r="G63" s="406"/>
      <c r="H63" s="449"/>
      <c r="I63" s="419"/>
      <c r="J63" s="448"/>
      <c r="K63" s="409"/>
    </row>
    <row r="64" spans="1:11" x14ac:dyDescent="0.25">
      <c r="A64" s="331">
        <v>54</v>
      </c>
      <c r="B64" s="418" t="s">
        <v>152</v>
      </c>
      <c r="C64" s="422" t="s">
        <v>153</v>
      </c>
      <c r="D64" s="405"/>
      <c r="E64" s="406"/>
      <c r="F64" s="402"/>
      <c r="G64" s="406"/>
      <c r="H64" s="449"/>
      <c r="I64" s="419"/>
      <c r="J64" s="448"/>
      <c r="K64" s="409"/>
    </row>
    <row r="65" spans="1:11" x14ac:dyDescent="0.25">
      <c r="A65" s="331">
        <v>55</v>
      </c>
      <c r="B65" s="421" t="s">
        <v>154</v>
      </c>
      <c r="C65" s="422" t="s">
        <v>155</v>
      </c>
      <c r="D65" s="405"/>
      <c r="E65" s="406"/>
      <c r="F65" s="402"/>
      <c r="G65" s="406"/>
      <c r="H65" s="449"/>
      <c r="I65" s="419"/>
      <c r="J65" s="448"/>
      <c r="K65" s="409"/>
    </row>
    <row r="66" spans="1:11" x14ac:dyDescent="0.25">
      <c r="A66" s="331">
        <v>56</v>
      </c>
      <c r="B66" s="407" t="s">
        <v>156</v>
      </c>
      <c r="C66" s="422" t="s">
        <v>157</v>
      </c>
      <c r="D66" s="405"/>
      <c r="E66" s="406"/>
      <c r="F66" s="402"/>
      <c r="G66" s="406"/>
      <c r="H66" s="449"/>
      <c r="I66" s="419"/>
      <c r="J66" s="448"/>
      <c r="K66" s="409"/>
    </row>
    <row r="67" spans="1:11" ht="25.5" x14ac:dyDescent="0.25">
      <c r="A67" s="331">
        <v>57</v>
      </c>
      <c r="B67" s="418" t="s">
        <v>158</v>
      </c>
      <c r="C67" s="422" t="s">
        <v>159</v>
      </c>
      <c r="D67" s="405"/>
      <c r="E67" s="406"/>
      <c r="F67" s="402"/>
      <c r="G67" s="406"/>
      <c r="H67" s="449"/>
      <c r="I67" s="419"/>
      <c r="J67" s="448"/>
      <c r="K67" s="409"/>
    </row>
    <row r="68" spans="1:11" ht="25.5" x14ac:dyDescent="0.25">
      <c r="A68" s="331">
        <v>58</v>
      </c>
      <c r="B68" s="418" t="s">
        <v>160</v>
      </c>
      <c r="C68" s="422" t="s">
        <v>161</v>
      </c>
      <c r="D68" s="405"/>
      <c r="E68" s="406"/>
      <c r="F68" s="402"/>
      <c r="G68" s="406"/>
      <c r="H68" s="449"/>
      <c r="I68" s="419"/>
      <c r="J68" s="448"/>
      <c r="K68" s="409"/>
    </row>
    <row r="69" spans="1:11" x14ac:dyDescent="0.25">
      <c r="A69" s="331">
        <v>59</v>
      </c>
      <c r="B69" s="421" t="s">
        <v>162</v>
      </c>
      <c r="C69" s="422" t="s">
        <v>163</v>
      </c>
      <c r="D69" s="405"/>
      <c r="E69" s="406"/>
      <c r="F69" s="402"/>
      <c r="G69" s="406"/>
      <c r="H69" s="449"/>
      <c r="I69" s="419"/>
      <c r="J69" s="448"/>
      <c r="K69" s="409"/>
    </row>
    <row r="70" spans="1:11" x14ac:dyDescent="0.25">
      <c r="A70" s="331">
        <v>60</v>
      </c>
      <c r="B70" s="421" t="s">
        <v>164</v>
      </c>
      <c r="C70" s="422" t="s">
        <v>165</v>
      </c>
      <c r="D70" s="405"/>
      <c r="E70" s="406"/>
      <c r="F70" s="402"/>
      <c r="G70" s="406"/>
      <c r="H70" s="449"/>
      <c r="I70" s="419"/>
      <c r="J70" s="448"/>
      <c r="K70" s="409"/>
    </row>
    <row r="71" spans="1:11" x14ac:dyDescent="0.25">
      <c r="A71" s="331">
        <v>61</v>
      </c>
      <c r="B71" s="421" t="s">
        <v>166</v>
      </c>
      <c r="C71" s="422" t="s">
        <v>167</v>
      </c>
      <c r="D71" s="405"/>
      <c r="E71" s="406"/>
      <c r="F71" s="402"/>
      <c r="G71" s="406"/>
      <c r="H71" s="449"/>
      <c r="I71" s="419"/>
      <c r="J71" s="448"/>
      <c r="K71" s="409"/>
    </row>
    <row r="72" spans="1:11" ht="25.5" x14ac:dyDescent="0.25">
      <c r="A72" s="331">
        <v>62</v>
      </c>
      <c r="B72" s="421" t="s">
        <v>168</v>
      </c>
      <c r="C72" s="422" t="s">
        <v>169</v>
      </c>
      <c r="D72" s="405"/>
      <c r="E72" s="406"/>
      <c r="F72" s="402"/>
      <c r="G72" s="406"/>
      <c r="H72" s="449"/>
      <c r="I72" s="419"/>
      <c r="J72" s="448"/>
      <c r="K72" s="409"/>
    </row>
    <row r="73" spans="1:11" ht="25.5" x14ac:dyDescent="0.25">
      <c r="A73" s="331">
        <v>63</v>
      </c>
      <c r="B73" s="418" t="s">
        <v>170</v>
      </c>
      <c r="C73" s="422" t="s">
        <v>171</v>
      </c>
      <c r="D73" s="405"/>
      <c r="E73" s="406"/>
      <c r="F73" s="402"/>
      <c r="G73" s="406"/>
      <c r="H73" s="449"/>
      <c r="I73" s="419"/>
      <c r="J73" s="448"/>
      <c r="K73" s="409"/>
    </row>
    <row r="74" spans="1:11" ht="25.5" x14ac:dyDescent="0.25">
      <c r="A74" s="331">
        <v>64</v>
      </c>
      <c r="B74" s="421" t="s">
        <v>172</v>
      </c>
      <c r="C74" s="422" t="s">
        <v>173</v>
      </c>
      <c r="D74" s="405"/>
      <c r="E74" s="406"/>
      <c r="F74" s="402"/>
      <c r="G74" s="406"/>
      <c r="H74" s="449"/>
      <c r="I74" s="419"/>
      <c r="J74" s="448"/>
      <c r="K74" s="409"/>
    </row>
    <row r="75" spans="1:11" ht="25.5" x14ac:dyDescent="0.25">
      <c r="A75" s="331">
        <v>65</v>
      </c>
      <c r="B75" s="421" t="s">
        <v>174</v>
      </c>
      <c r="C75" s="422" t="s">
        <v>175</v>
      </c>
      <c r="D75" s="405"/>
      <c r="E75" s="406"/>
      <c r="F75" s="402"/>
      <c r="G75" s="406"/>
      <c r="H75" s="449"/>
      <c r="I75" s="419"/>
      <c r="J75" s="448"/>
      <c r="K75" s="409"/>
    </row>
    <row r="76" spans="1:11" ht="25.5" x14ac:dyDescent="0.25">
      <c r="A76" s="331">
        <v>66</v>
      </c>
      <c r="B76" s="418" t="s">
        <v>176</v>
      </c>
      <c r="C76" s="422" t="s">
        <v>177</v>
      </c>
      <c r="D76" s="405"/>
      <c r="E76" s="406"/>
      <c r="F76" s="402"/>
      <c r="G76" s="406"/>
      <c r="H76" s="449"/>
      <c r="I76" s="419"/>
      <c r="J76" s="448"/>
      <c r="K76" s="409"/>
    </row>
    <row r="77" spans="1:11" ht="25.5" x14ac:dyDescent="0.25">
      <c r="A77" s="331">
        <v>67</v>
      </c>
      <c r="B77" s="418" t="s">
        <v>178</v>
      </c>
      <c r="C77" s="422" t="s">
        <v>179</v>
      </c>
      <c r="D77" s="405"/>
      <c r="E77" s="406"/>
      <c r="F77" s="402"/>
      <c r="G77" s="406"/>
      <c r="H77" s="449"/>
      <c r="I77" s="419"/>
      <c r="J77" s="448"/>
      <c r="K77" s="409"/>
    </row>
    <row r="78" spans="1:11" ht="25.5" x14ac:dyDescent="0.25">
      <c r="A78" s="331">
        <v>68</v>
      </c>
      <c r="B78" s="418" t="s">
        <v>180</v>
      </c>
      <c r="C78" s="422" t="s">
        <v>181</v>
      </c>
      <c r="D78" s="405"/>
      <c r="E78" s="406"/>
      <c r="F78" s="402"/>
      <c r="G78" s="406"/>
      <c r="H78" s="449"/>
      <c r="I78" s="419"/>
      <c r="J78" s="448"/>
      <c r="K78" s="409"/>
    </row>
    <row r="79" spans="1:11" x14ac:dyDescent="0.25">
      <c r="A79" s="331">
        <v>69</v>
      </c>
      <c r="B79" s="407" t="s">
        <v>182</v>
      </c>
      <c r="C79" s="422" t="s">
        <v>183</v>
      </c>
      <c r="D79" s="405"/>
      <c r="E79" s="406"/>
      <c r="F79" s="402"/>
      <c r="G79" s="406"/>
      <c r="H79" s="449"/>
      <c r="I79" s="419"/>
      <c r="J79" s="448"/>
      <c r="K79" s="409"/>
    </row>
    <row r="80" spans="1:11" x14ac:dyDescent="0.25">
      <c r="A80" s="331">
        <v>70</v>
      </c>
      <c r="B80" s="418" t="s">
        <v>184</v>
      </c>
      <c r="C80" s="422" t="s">
        <v>185</v>
      </c>
      <c r="D80" s="405"/>
      <c r="E80" s="406"/>
      <c r="F80" s="402"/>
      <c r="G80" s="406"/>
      <c r="H80" s="449"/>
      <c r="I80" s="419"/>
      <c r="J80" s="448"/>
      <c r="K80" s="409"/>
    </row>
    <row r="81" spans="1:11" x14ac:dyDescent="0.25">
      <c r="A81" s="331">
        <v>71</v>
      </c>
      <c r="B81" s="407" t="s">
        <v>186</v>
      </c>
      <c r="C81" s="422" t="s">
        <v>187</v>
      </c>
      <c r="D81" s="405"/>
      <c r="E81" s="406"/>
      <c r="F81" s="402"/>
      <c r="G81" s="406"/>
      <c r="H81" s="449"/>
      <c r="I81" s="419"/>
      <c r="J81" s="448"/>
      <c r="K81" s="409"/>
    </row>
    <row r="82" spans="1:11" x14ac:dyDescent="0.25">
      <c r="A82" s="331">
        <v>72</v>
      </c>
      <c r="B82" s="418" t="s">
        <v>188</v>
      </c>
      <c r="C82" s="422" t="s">
        <v>460</v>
      </c>
      <c r="D82" s="405"/>
      <c r="E82" s="406"/>
      <c r="F82" s="402"/>
      <c r="G82" s="406"/>
      <c r="H82" s="449"/>
      <c r="I82" s="419"/>
      <c r="J82" s="448"/>
      <c r="K82" s="409"/>
    </row>
    <row r="83" spans="1:11" x14ac:dyDescent="0.25">
      <c r="A83" s="331">
        <v>73</v>
      </c>
      <c r="B83" s="418" t="s">
        <v>190</v>
      </c>
      <c r="C83" s="422" t="s">
        <v>191</v>
      </c>
      <c r="D83" s="405"/>
      <c r="E83" s="406"/>
      <c r="F83" s="402"/>
      <c r="G83" s="406"/>
      <c r="H83" s="449"/>
      <c r="I83" s="419"/>
      <c r="J83" s="448"/>
      <c r="K83" s="409"/>
    </row>
    <row r="84" spans="1:11" x14ac:dyDescent="0.25">
      <c r="A84" s="331">
        <v>74</v>
      </c>
      <c r="B84" s="418" t="s">
        <v>192</v>
      </c>
      <c r="C84" s="422" t="s">
        <v>193</v>
      </c>
      <c r="D84" s="405"/>
      <c r="E84" s="406"/>
      <c r="F84" s="402"/>
      <c r="G84" s="406"/>
      <c r="H84" s="449"/>
      <c r="I84" s="419"/>
      <c r="J84" s="448"/>
      <c r="K84" s="409"/>
    </row>
    <row r="85" spans="1:11" x14ac:dyDescent="0.25">
      <c r="A85" s="331">
        <v>75</v>
      </c>
      <c r="B85" s="418" t="s">
        <v>194</v>
      </c>
      <c r="C85" s="422" t="s">
        <v>195</v>
      </c>
      <c r="D85" s="405"/>
      <c r="E85" s="406"/>
      <c r="F85" s="402"/>
      <c r="G85" s="406"/>
      <c r="H85" s="449"/>
      <c r="I85" s="419"/>
      <c r="J85" s="448"/>
      <c r="K85" s="409"/>
    </row>
    <row r="86" spans="1:11" x14ac:dyDescent="0.25">
      <c r="A86" s="331">
        <v>76</v>
      </c>
      <c r="B86" s="418" t="s">
        <v>196</v>
      </c>
      <c r="C86" s="422" t="s">
        <v>197</v>
      </c>
      <c r="D86" s="405"/>
      <c r="E86" s="406"/>
      <c r="F86" s="402"/>
      <c r="G86" s="406"/>
      <c r="H86" s="449"/>
      <c r="I86" s="419"/>
      <c r="J86" s="448"/>
      <c r="K86" s="409"/>
    </row>
    <row r="87" spans="1:11" x14ac:dyDescent="0.25">
      <c r="A87" s="331">
        <v>77</v>
      </c>
      <c r="B87" s="421" t="s">
        <v>30</v>
      </c>
      <c r="C87" s="422" t="s">
        <v>198</v>
      </c>
      <c r="D87" s="405"/>
      <c r="E87" s="406"/>
      <c r="F87" s="402"/>
      <c r="G87" s="406"/>
      <c r="H87" s="449"/>
      <c r="I87" s="419"/>
      <c r="J87" s="448"/>
      <c r="K87" s="409"/>
    </row>
    <row r="88" spans="1:11" ht="25.5" x14ac:dyDescent="0.25">
      <c r="A88" s="1234">
        <v>78</v>
      </c>
      <c r="B88" s="1346" t="s">
        <v>199</v>
      </c>
      <c r="C88" s="450" t="s">
        <v>200</v>
      </c>
      <c r="D88" s="405"/>
      <c r="E88" s="406"/>
      <c r="F88" s="402"/>
      <c r="G88" s="406"/>
      <c r="H88" s="449"/>
      <c r="I88" s="419"/>
      <c r="J88" s="448"/>
      <c r="K88" s="409"/>
    </row>
    <row r="89" spans="1:11" ht="38.25" x14ac:dyDescent="0.25">
      <c r="A89" s="1373"/>
      <c r="B89" s="1347"/>
      <c r="C89" s="422" t="s">
        <v>201</v>
      </c>
      <c r="D89" s="405"/>
      <c r="E89" s="406"/>
      <c r="F89" s="402"/>
      <c r="G89" s="406"/>
      <c r="H89" s="449"/>
      <c r="I89" s="419"/>
      <c r="J89" s="448"/>
      <c r="K89" s="409"/>
    </row>
    <row r="90" spans="1:11" ht="25.5" x14ac:dyDescent="0.25">
      <c r="A90" s="1373"/>
      <c r="B90" s="1347"/>
      <c r="C90" s="422" t="s">
        <v>202</v>
      </c>
      <c r="D90" s="405"/>
      <c r="E90" s="406"/>
      <c r="F90" s="402"/>
      <c r="G90" s="406"/>
      <c r="H90" s="449"/>
      <c r="I90" s="419"/>
      <c r="J90" s="448"/>
      <c r="K90" s="409"/>
    </row>
    <row r="91" spans="1:11" ht="38.25" x14ac:dyDescent="0.25">
      <c r="A91" s="1374"/>
      <c r="B91" s="1348"/>
      <c r="C91" s="374" t="s">
        <v>203</v>
      </c>
      <c r="D91" s="405"/>
      <c r="E91" s="406"/>
      <c r="F91" s="402"/>
      <c r="G91" s="406"/>
      <c r="H91" s="449"/>
      <c r="I91" s="419"/>
      <c r="J91" s="448"/>
      <c r="K91" s="409"/>
    </row>
    <row r="92" spans="1:11" ht="25.5" x14ac:dyDescent="0.25">
      <c r="A92" s="375">
        <v>79</v>
      </c>
      <c r="B92" s="421" t="s">
        <v>204</v>
      </c>
      <c r="C92" s="422" t="s">
        <v>205</v>
      </c>
      <c r="D92" s="405"/>
      <c r="E92" s="406"/>
      <c r="F92" s="402"/>
      <c r="G92" s="406"/>
      <c r="H92" s="449"/>
      <c r="I92" s="419"/>
      <c r="J92" s="448"/>
      <c r="K92" s="409"/>
    </row>
    <row r="93" spans="1:11" x14ac:dyDescent="0.25">
      <c r="A93" s="331">
        <v>80</v>
      </c>
      <c r="B93" s="421" t="s">
        <v>206</v>
      </c>
      <c r="C93" s="422" t="s">
        <v>207</v>
      </c>
      <c r="D93" s="405"/>
      <c r="E93" s="406"/>
      <c r="F93" s="402"/>
      <c r="G93" s="406"/>
      <c r="H93" s="449"/>
      <c r="I93" s="419"/>
      <c r="J93" s="448"/>
      <c r="K93" s="409"/>
    </row>
    <row r="94" spans="1:11" x14ac:dyDescent="0.25">
      <c r="A94" s="331">
        <v>81</v>
      </c>
      <c r="B94" s="407" t="s">
        <v>208</v>
      </c>
      <c r="C94" s="422" t="s">
        <v>209</v>
      </c>
      <c r="D94" s="405"/>
      <c r="E94" s="406"/>
      <c r="F94" s="402"/>
      <c r="G94" s="406"/>
      <c r="H94" s="449"/>
      <c r="I94" s="419"/>
      <c r="J94" s="448"/>
      <c r="K94" s="409"/>
    </row>
    <row r="95" spans="1:11" x14ac:dyDescent="0.25">
      <c r="A95" s="331">
        <v>82</v>
      </c>
      <c r="B95" s="421" t="s">
        <v>210</v>
      </c>
      <c r="C95" s="422" t="s">
        <v>211</v>
      </c>
      <c r="D95" s="405">
        <v>2475</v>
      </c>
      <c r="E95" s="406"/>
      <c r="F95" s="402">
        <f t="shared" ref="F95:F135" si="2">D95+E95</f>
        <v>2475</v>
      </c>
      <c r="G95" s="406">
        <v>413</v>
      </c>
      <c r="H95" s="449"/>
      <c r="I95" s="419"/>
      <c r="J95" s="448"/>
      <c r="K95" s="409"/>
    </row>
    <row r="96" spans="1:11" x14ac:dyDescent="0.25">
      <c r="A96" s="331">
        <v>83</v>
      </c>
      <c r="B96" s="407" t="s">
        <v>212</v>
      </c>
      <c r="C96" s="422" t="s">
        <v>213</v>
      </c>
      <c r="D96" s="405">
        <v>3375</v>
      </c>
      <c r="E96" s="406"/>
      <c r="F96" s="402">
        <f t="shared" si="2"/>
        <v>3375</v>
      </c>
      <c r="G96" s="406">
        <v>562</v>
      </c>
      <c r="H96" s="449"/>
      <c r="I96" s="419"/>
      <c r="J96" s="448"/>
      <c r="K96" s="409"/>
    </row>
    <row r="97" spans="1:11" x14ac:dyDescent="0.25">
      <c r="A97" s="331">
        <v>84</v>
      </c>
      <c r="B97" s="407" t="s">
        <v>214</v>
      </c>
      <c r="C97" s="422" t="s">
        <v>215</v>
      </c>
      <c r="D97" s="405">
        <v>6450</v>
      </c>
      <c r="E97" s="406"/>
      <c r="F97" s="402">
        <f t="shared" si="2"/>
        <v>6450</v>
      </c>
      <c r="G97" s="406">
        <v>1075</v>
      </c>
      <c r="H97" s="449"/>
      <c r="I97" s="419"/>
      <c r="J97" s="448"/>
      <c r="K97" s="409"/>
    </row>
    <row r="98" spans="1:11" x14ac:dyDescent="0.25">
      <c r="A98" s="331">
        <v>85</v>
      </c>
      <c r="B98" s="421" t="s">
        <v>216</v>
      </c>
      <c r="C98" s="422" t="s">
        <v>217</v>
      </c>
      <c r="D98" s="405">
        <v>3375</v>
      </c>
      <c r="E98" s="406"/>
      <c r="F98" s="402">
        <f t="shared" si="2"/>
        <v>3375</v>
      </c>
      <c r="G98" s="406">
        <v>562</v>
      </c>
      <c r="H98" s="449"/>
      <c r="I98" s="419"/>
      <c r="J98" s="448"/>
      <c r="K98" s="409"/>
    </row>
    <row r="99" spans="1:11" x14ac:dyDescent="0.25">
      <c r="A99" s="331">
        <v>86</v>
      </c>
      <c r="B99" s="418" t="s">
        <v>218</v>
      </c>
      <c r="C99" s="422" t="s">
        <v>219</v>
      </c>
      <c r="D99" s="405">
        <v>6125</v>
      </c>
      <c r="E99" s="406"/>
      <c r="F99" s="402">
        <f t="shared" si="2"/>
        <v>6125</v>
      </c>
      <c r="G99" s="406">
        <v>1028</v>
      </c>
      <c r="H99" s="449"/>
      <c r="I99" s="419"/>
      <c r="J99" s="448"/>
      <c r="K99" s="409"/>
    </row>
    <row r="100" spans="1:11" x14ac:dyDescent="0.25">
      <c r="A100" s="331">
        <v>88</v>
      </c>
      <c r="B100" s="418" t="s">
        <v>220</v>
      </c>
      <c r="C100" s="422" t="s">
        <v>221</v>
      </c>
      <c r="D100" s="405">
        <v>4125</v>
      </c>
      <c r="E100" s="406"/>
      <c r="F100" s="402">
        <f t="shared" si="2"/>
        <v>4125</v>
      </c>
      <c r="G100" s="406">
        <v>687</v>
      </c>
      <c r="H100" s="449"/>
      <c r="I100" s="419"/>
      <c r="J100" s="448"/>
      <c r="K100" s="409"/>
    </row>
    <row r="101" spans="1:11" x14ac:dyDescent="0.25">
      <c r="A101" s="331">
        <v>89</v>
      </c>
      <c r="B101" s="407" t="s">
        <v>222</v>
      </c>
      <c r="C101" s="422" t="s">
        <v>223</v>
      </c>
      <c r="D101" s="405">
        <v>2250</v>
      </c>
      <c r="E101" s="406"/>
      <c r="F101" s="402">
        <f t="shared" si="2"/>
        <v>2250</v>
      </c>
      <c r="G101" s="406">
        <v>375</v>
      </c>
      <c r="H101" s="449"/>
      <c r="I101" s="419"/>
      <c r="J101" s="448"/>
      <c r="K101" s="409"/>
    </row>
    <row r="102" spans="1:11" x14ac:dyDescent="0.25">
      <c r="A102" s="331">
        <v>90</v>
      </c>
      <c r="B102" s="418" t="s">
        <v>224</v>
      </c>
      <c r="C102" s="422" t="s">
        <v>225</v>
      </c>
      <c r="D102" s="405">
        <v>3000</v>
      </c>
      <c r="E102" s="406"/>
      <c r="F102" s="402">
        <f t="shared" si="2"/>
        <v>3000</v>
      </c>
      <c r="G102" s="406">
        <v>500</v>
      </c>
      <c r="H102" s="449"/>
      <c r="I102" s="419"/>
      <c r="J102" s="448"/>
      <c r="K102" s="409"/>
    </row>
    <row r="103" spans="1:11" x14ac:dyDescent="0.25">
      <c r="A103" s="331">
        <v>91</v>
      </c>
      <c r="B103" s="418" t="s">
        <v>226</v>
      </c>
      <c r="C103" s="422" t="s">
        <v>227</v>
      </c>
      <c r="D103" s="405">
        <v>3000</v>
      </c>
      <c r="E103" s="406"/>
      <c r="F103" s="402">
        <f t="shared" si="2"/>
        <v>3000</v>
      </c>
      <c r="G103" s="406">
        <v>500</v>
      </c>
      <c r="H103" s="449"/>
      <c r="I103" s="419"/>
      <c r="J103" s="448"/>
      <c r="K103" s="409"/>
    </row>
    <row r="104" spans="1:11" x14ac:dyDescent="0.25">
      <c r="A104" s="331">
        <v>92</v>
      </c>
      <c r="B104" s="421" t="s">
        <v>32</v>
      </c>
      <c r="C104" s="422" t="s">
        <v>33</v>
      </c>
      <c r="D104" s="405">
        <v>3750</v>
      </c>
      <c r="E104" s="406"/>
      <c r="F104" s="402">
        <f t="shared" si="2"/>
        <v>3750</v>
      </c>
      <c r="G104" s="406">
        <v>625</v>
      </c>
      <c r="H104" s="449"/>
      <c r="I104" s="419"/>
      <c r="J104" s="448"/>
      <c r="K104" s="409"/>
    </row>
    <row r="105" spans="1:11" x14ac:dyDescent="0.25">
      <c r="A105" s="331">
        <v>93</v>
      </c>
      <c r="B105" s="407" t="s">
        <v>228</v>
      </c>
      <c r="C105" s="422" t="s">
        <v>229</v>
      </c>
      <c r="D105" s="405">
        <v>2850</v>
      </c>
      <c r="E105" s="406"/>
      <c r="F105" s="402">
        <f t="shared" si="2"/>
        <v>2850</v>
      </c>
      <c r="G105" s="406">
        <v>475</v>
      </c>
      <c r="H105" s="449"/>
      <c r="I105" s="419"/>
      <c r="J105" s="448"/>
      <c r="K105" s="409"/>
    </row>
    <row r="106" spans="1:11" x14ac:dyDescent="0.25">
      <c r="A106" s="331">
        <v>94</v>
      </c>
      <c r="B106" s="418" t="s">
        <v>230</v>
      </c>
      <c r="C106" s="422" t="s">
        <v>231</v>
      </c>
      <c r="D106" s="405">
        <v>6750</v>
      </c>
      <c r="E106" s="406"/>
      <c r="F106" s="402">
        <f t="shared" si="2"/>
        <v>6750</v>
      </c>
      <c r="G106" s="406">
        <v>1125</v>
      </c>
      <c r="H106" s="449"/>
      <c r="I106" s="419"/>
      <c r="J106" s="448"/>
      <c r="K106" s="409"/>
    </row>
    <row r="107" spans="1:11" x14ac:dyDescent="0.25">
      <c r="A107" s="331">
        <v>96</v>
      </c>
      <c r="B107" s="418" t="s">
        <v>232</v>
      </c>
      <c r="C107" s="422" t="s">
        <v>233</v>
      </c>
      <c r="D107" s="405"/>
      <c r="E107" s="406"/>
      <c r="F107" s="402"/>
      <c r="G107" s="406"/>
      <c r="H107" s="449"/>
      <c r="I107" s="419"/>
      <c r="J107" s="448"/>
      <c r="K107" s="409"/>
    </row>
    <row r="108" spans="1:11" x14ac:dyDescent="0.25">
      <c r="A108" s="331">
        <v>98</v>
      </c>
      <c r="B108" s="418" t="s">
        <v>234</v>
      </c>
      <c r="C108" s="422" t="s">
        <v>235</v>
      </c>
      <c r="D108" s="405"/>
      <c r="E108" s="406"/>
      <c r="F108" s="402"/>
      <c r="G108" s="406"/>
      <c r="H108" s="449"/>
      <c r="I108" s="419"/>
      <c r="J108" s="448"/>
      <c r="K108" s="409"/>
    </row>
    <row r="109" spans="1:11" x14ac:dyDescent="0.25">
      <c r="A109" s="331">
        <v>99</v>
      </c>
      <c r="B109" s="407" t="s">
        <v>236</v>
      </c>
      <c r="C109" s="422" t="s">
        <v>237</v>
      </c>
      <c r="D109" s="405"/>
      <c r="E109" s="406"/>
      <c r="F109" s="402"/>
      <c r="G109" s="406"/>
      <c r="H109" s="449"/>
      <c r="I109" s="419"/>
      <c r="J109" s="448"/>
      <c r="K109" s="409"/>
    </row>
    <row r="110" spans="1:11" x14ac:dyDescent="0.25">
      <c r="A110" s="331">
        <v>100</v>
      </c>
      <c r="B110" s="407" t="s">
        <v>238</v>
      </c>
      <c r="C110" s="422" t="s">
        <v>239</v>
      </c>
      <c r="D110" s="405"/>
      <c r="E110" s="406"/>
      <c r="F110" s="402"/>
      <c r="G110" s="406"/>
      <c r="H110" s="449"/>
      <c r="I110" s="419"/>
      <c r="J110" s="448"/>
      <c r="K110" s="409"/>
    </row>
    <row r="111" spans="1:11" x14ac:dyDescent="0.25">
      <c r="A111" s="331">
        <v>101</v>
      </c>
      <c r="B111" s="407" t="s">
        <v>240</v>
      </c>
      <c r="C111" s="422" t="s">
        <v>241</v>
      </c>
      <c r="D111" s="405"/>
      <c r="E111" s="406"/>
      <c r="F111" s="402"/>
      <c r="G111" s="406"/>
      <c r="H111" s="449"/>
      <c r="I111" s="419"/>
      <c r="J111" s="448"/>
      <c r="K111" s="409"/>
    </row>
    <row r="112" spans="1:11" x14ac:dyDescent="0.25">
      <c r="A112" s="331">
        <v>102</v>
      </c>
      <c r="B112" s="407" t="s">
        <v>242</v>
      </c>
      <c r="C112" s="422" t="s">
        <v>243</v>
      </c>
      <c r="D112" s="405"/>
      <c r="E112" s="406"/>
      <c r="F112" s="402"/>
      <c r="G112" s="406"/>
      <c r="H112" s="449"/>
      <c r="I112" s="419"/>
      <c r="J112" s="448"/>
      <c r="K112" s="409"/>
    </row>
    <row r="113" spans="1:11" x14ac:dyDescent="0.25">
      <c r="A113" s="331">
        <v>103</v>
      </c>
      <c r="B113" s="407" t="s">
        <v>244</v>
      </c>
      <c r="C113" s="422" t="s">
        <v>245</v>
      </c>
      <c r="D113" s="405"/>
      <c r="E113" s="406"/>
      <c r="F113" s="402"/>
      <c r="G113" s="406"/>
      <c r="H113" s="449"/>
      <c r="I113" s="419"/>
      <c r="J113" s="448"/>
      <c r="K113" s="409"/>
    </row>
    <row r="114" spans="1:11" x14ac:dyDescent="0.25">
      <c r="A114" s="331">
        <v>104</v>
      </c>
      <c r="B114" s="376" t="s">
        <v>246</v>
      </c>
      <c r="C114" s="330" t="s">
        <v>247</v>
      </c>
      <c r="D114" s="405"/>
      <c r="E114" s="406"/>
      <c r="F114" s="402"/>
      <c r="G114" s="406"/>
      <c r="H114" s="449"/>
      <c r="I114" s="419"/>
      <c r="J114" s="448"/>
      <c r="K114" s="409"/>
    </row>
    <row r="115" spans="1:11" x14ac:dyDescent="0.25">
      <c r="A115" s="331">
        <v>105</v>
      </c>
      <c r="B115" s="421" t="s">
        <v>248</v>
      </c>
      <c r="C115" s="422" t="s">
        <v>249</v>
      </c>
      <c r="D115" s="405"/>
      <c r="E115" s="406"/>
      <c r="F115" s="402"/>
      <c r="G115" s="406"/>
      <c r="H115" s="449"/>
      <c r="I115" s="419"/>
      <c r="J115" s="448"/>
      <c r="K115" s="409"/>
    </row>
    <row r="116" spans="1:11" x14ac:dyDescent="0.25">
      <c r="A116" s="331">
        <v>106</v>
      </c>
      <c r="B116" s="407" t="s">
        <v>250</v>
      </c>
      <c r="C116" s="422" t="s">
        <v>251</v>
      </c>
      <c r="D116" s="405"/>
      <c r="E116" s="406"/>
      <c r="F116" s="402"/>
      <c r="G116" s="406"/>
      <c r="H116" s="449"/>
      <c r="I116" s="419"/>
      <c r="J116" s="448"/>
      <c r="K116" s="409"/>
    </row>
    <row r="117" spans="1:11" x14ac:dyDescent="0.25">
      <c r="A117" s="331">
        <v>107</v>
      </c>
      <c r="B117" s="418" t="s">
        <v>252</v>
      </c>
      <c r="C117" s="451" t="s">
        <v>253</v>
      </c>
      <c r="D117" s="405"/>
      <c r="E117" s="406"/>
      <c r="F117" s="402"/>
      <c r="G117" s="406"/>
      <c r="H117" s="449"/>
      <c r="I117" s="419"/>
      <c r="J117" s="448"/>
      <c r="K117" s="409"/>
    </row>
    <row r="118" spans="1:11" x14ac:dyDescent="0.25">
      <c r="A118" s="331">
        <v>108</v>
      </c>
      <c r="B118" s="407" t="s">
        <v>254</v>
      </c>
      <c r="C118" s="422" t="s">
        <v>255</v>
      </c>
      <c r="D118" s="405"/>
      <c r="E118" s="406"/>
      <c r="F118" s="402"/>
      <c r="G118" s="406"/>
      <c r="H118" s="449"/>
      <c r="I118" s="419"/>
      <c r="J118" s="448"/>
      <c r="K118" s="409"/>
    </row>
    <row r="119" spans="1:11" x14ac:dyDescent="0.25">
      <c r="A119" s="331">
        <v>109</v>
      </c>
      <c r="B119" s="421" t="s">
        <v>256</v>
      </c>
      <c r="C119" s="422" t="s">
        <v>257</v>
      </c>
      <c r="D119" s="405"/>
      <c r="E119" s="406"/>
      <c r="F119" s="402"/>
      <c r="G119" s="406"/>
      <c r="H119" s="449"/>
      <c r="I119" s="419"/>
      <c r="J119" s="448"/>
      <c r="K119" s="409"/>
    </row>
    <row r="120" spans="1:11" x14ac:dyDescent="0.25">
      <c r="A120" s="331">
        <v>110</v>
      </c>
      <c r="B120" s="418" t="s">
        <v>258</v>
      </c>
      <c r="C120" s="422" t="s">
        <v>259</v>
      </c>
      <c r="D120" s="405"/>
      <c r="E120" s="406"/>
      <c r="F120" s="402"/>
      <c r="G120" s="406"/>
      <c r="H120" s="449"/>
      <c r="I120" s="419"/>
      <c r="J120" s="448"/>
      <c r="K120" s="409"/>
    </row>
    <row r="121" spans="1:11" x14ac:dyDescent="0.25">
      <c r="A121" s="331">
        <v>111</v>
      </c>
      <c r="B121" s="407" t="s">
        <v>543</v>
      </c>
      <c r="C121" s="381" t="s">
        <v>544</v>
      </c>
      <c r="D121" s="405"/>
      <c r="E121" s="406"/>
      <c r="F121" s="402"/>
      <c r="G121" s="406"/>
      <c r="H121" s="449"/>
      <c r="I121" s="419"/>
      <c r="J121" s="448"/>
      <c r="K121" s="409"/>
    </row>
    <row r="122" spans="1:11" x14ac:dyDescent="0.25">
      <c r="A122" s="331">
        <v>112</v>
      </c>
      <c r="B122" s="421" t="s">
        <v>260</v>
      </c>
      <c r="C122" s="422" t="s">
        <v>261</v>
      </c>
      <c r="D122" s="405"/>
      <c r="E122" s="406"/>
      <c r="F122" s="402"/>
      <c r="G122" s="406"/>
      <c r="H122" s="449"/>
      <c r="I122" s="419"/>
      <c r="J122" s="448"/>
      <c r="K122" s="409"/>
    </row>
    <row r="123" spans="1:11" x14ac:dyDescent="0.25">
      <c r="A123" s="331">
        <v>113</v>
      </c>
      <c r="B123" s="407" t="s">
        <v>262</v>
      </c>
      <c r="C123" s="422" t="s">
        <v>263</v>
      </c>
      <c r="D123" s="405"/>
      <c r="E123" s="406"/>
      <c r="F123" s="402"/>
      <c r="G123" s="406"/>
      <c r="H123" s="449"/>
      <c r="I123" s="419"/>
      <c r="J123" s="448"/>
      <c r="K123" s="409"/>
    </row>
    <row r="124" spans="1:11" ht="25.5" x14ac:dyDescent="0.25">
      <c r="A124" s="331">
        <v>114</v>
      </c>
      <c r="B124" s="407" t="s">
        <v>264</v>
      </c>
      <c r="C124" s="452" t="s">
        <v>265</v>
      </c>
      <c r="D124" s="405"/>
      <c r="E124" s="406"/>
      <c r="F124" s="402"/>
      <c r="G124" s="406"/>
      <c r="H124" s="449"/>
      <c r="I124" s="419"/>
      <c r="J124" s="448"/>
      <c r="K124" s="409"/>
    </row>
    <row r="125" spans="1:11" x14ac:dyDescent="0.25">
      <c r="A125" s="331">
        <v>115</v>
      </c>
      <c r="B125" s="407" t="s">
        <v>266</v>
      </c>
      <c r="C125" s="422" t="s">
        <v>267</v>
      </c>
      <c r="D125" s="405"/>
      <c r="E125" s="406"/>
      <c r="F125" s="402"/>
      <c r="G125" s="406"/>
      <c r="H125" s="449"/>
      <c r="I125" s="419"/>
      <c r="J125" s="448"/>
      <c r="K125" s="409"/>
    </row>
    <row r="126" spans="1:11" x14ac:dyDescent="0.25">
      <c r="A126" s="331">
        <v>116</v>
      </c>
      <c r="B126" s="407" t="s">
        <v>268</v>
      </c>
      <c r="C126" s="422" t="s">
        <v>269</v>
      </c>
      <c r="D126" s="405"/>
      <c r="E126" s="406"/>
      <c r="F126" s="402"/>
      <c r="G126" s="406"/>
      <c r="H126" s="449"/>
      <c r="I126" s="419"/>
      <c r="J126" s="448"/>
      <c r="K126" s="409"/>
    </row>
    <row r="127" spans="1:11" x14ac:dyDescent="0.25">
      <c r="A127" s="331">
        <v>117</v>
      </c>
      <c r="B127" s="407" t="s">
        <v>270</v>
      </c>
      <c r="C127" s="422" t="s">
        <v>271</v>
      </c>
      <c r="D127" s="405"/>
      <c r="E127" s="406"/>
      <c r="F127" s="402"/>
      <c r="G127" s="406"/>
      <c r="H127" s="449"/>
      <c r="I127" s="419"/>
      <c r="J127" s="448"/>
      <c r="K127" s="409"/>
    </row>
    <row r="128" spans="1:11" x14ac:dyDescent="0.25">
      <c r="A128" s="331">
        <v>118</v>
      </c>
      <c r="B128" s="418" t="s">
        <v>272</v>
      </c>
      <c r="C128" s="422" t="s">
        <v>273</v>
      </c>
      <c r="D128" s="405"/>
      <c r="E128" s="406"/>
      <c r="F128" s="402"/>
      <c r="G128" s="406"/>
      <c r="H128" s="449"/>
      <c r="I128" s="419"/>
      <c r="J128" s="448"/>
      <c r="K128" s="409"/>
    </row>
    <row r="129" spans="1:11" x14ac:dyDescent="0.25">
      <c r="A129" s="331">
        <v>119</v>
      </c>
      <c r="B129" s="418" t="s">
        <v>274</v>
      </c>
      <c r="C129" s="422" t="s">
        <v>275</v>
      </c>
      <c r="D129" s="405"/>
      <c r="E129" s="406"/>
      <c r="F129" s="402"/>
      <c r="G129" s="406"/>
      <c r="H129" s="449"/>
      <c r="I129" s="419"/>
      <c r="J129" s="448"/>
      <c r="K129" s="409"/>
    </row>
    <row r="130" spans="1:11" x14ac:dyDescent="0.25">
      <c r="A130" s="331">
        <v>120</v>
      </c>
      <c r="B130" s="418" t="s">
        <v>276</v>
      </c>
      <c r="C130" s="422" t="s">
        <v>277</v>
      </c>
      <c r="D130" s="405"/>
      <c r="E130" s="406"/>
      <c r="F130" s="402"/>
      <c r="G130" s="406"/>
      <c r="H130" s="449"/>
      <c r="I130" s="419"/>
      <c r="J130" s="448"/>
      <c r="K130" s="409"/>
    </row>
    <row r="131" spans="1:11" x14ac:dyDescent="0.25">
      <c r="A131" s="331">
        <v>121</v>
      </c>
      <c r="B131" s="407" t="s">
        <v>278</v>
      </c>
      <c r="C131" s="422" t="s">
        <v>279</v>
      </c>
      <c r="D131" s="405"/>
      <c r="E131" s="406"/>
      <c r="F131" s="402"/>
      <c r="G131" s="406"/>
      <c r="H131" s="449"/>
      <c r="I131" s="419"/>
      <c r="J131" s="448"/>
      <c r="K131" s="409"/>
    </row>
    <row r="132" spans="1:11" x14ac:dyDescent="0.25">
      <c r="A132" s="331">
        <v>122</v>
      </c>
      <c r="B132" s="407" t="s">
        <v>280</v>
      </c>
      <c r="C132" s="422" t="s">
        <v>281</v>
      </c>
      <c r="D132" s="405"/>
      <c r="E132" s="406"/>
      <c r="F132" s="402"/>
      <c r="G132" s="406"/>
      <c r="H132" s="449"/>
      <c r="I132" s="419"/>
      <c r="J132" s="448"/>
      <c r="K132" s="409"/>
    </row>
    <row r="133" spans="1:11" x14ac:dyDescent="0.25">
      <c r="A133" s="331">
        <v>123</v>
      </c>
      <c r="B133" s="407" t="s">
        <v>282</v>
      </c>
      <c r="C133" s="422" t="s">
        <v>772</v>
      </c>
      <c r="D133" s="405"/>
      <c r="E133" s="406"/>
      <c r="F133" s="402"/>
      <c r="G133" s="406"/>
      <c r="H133" s="449"/>
      <c r="I133" s="419"/>
      <c r="J133" s="448"/>
      <c r="K133" s="409"/>
    </row>
    <row r="134" spans="1:11" x14ac:dyDescent="0.25">
      <c r="A134" s="331">
        <v>124</v>
      </c>
      <c r="B134" s="418" t="s">
        <v>283</v>
      </c>
      <c r="C134" s="422" t="s">
        <v>284</v>
      </c>
      <c r="D134" s="405"/>
      <c r="E134" s="406"/>
      <c r="F134" s="402"/>
      <c r="G134" s="406"/>
      <c r="H134" s="449"/>
      <c r="I134" s="419"/>
      <c r="J134" s="448"/>
      <c r="K134" s="409"/>
    </row>
    <row r="135" spans="1:11" ht="27" customHeight="1" x14ac:dyDescent="0.25">
      <c r="A135" s="331">
        <v>125</v>
      </c>
      <c r="B135" s="421" t="s">
        <v>285</v>
      </c>
      <c r="C135" s="422" t="s">
        <v>728</v>
      </c>
      <c r="D135" s="405">
        <v>4080</v>
      </c>
      <c r="E135" s="406"/>
      <c r="F135" s="402">
        <f t="shared" si="2"/>
        <v>4080</v>
      </c>
      <c r="G135" s="406">
        <v>684</v>
      </c>
      <c r="H135" s="449"/>
      <c r="I135" s="419"/>
      <c r="J135" s="448"/>
      <c r="K135" s="409"/>
    </row>
    <row r="136" spans="1:11" x14ac:dyDescent="0.25">
      <c r="A136" s="331">
        <v>126</v>
      </c>
      <c r="B136" s="407" t="s">
        <v>286</v>
      </c>
      <c r="C136" s="422" t="s">
        <v>287</v>
      </c>
      <c r="D136" s="405"/>
      <c r="E136" s="406"/>
      <c r="F136" s="402"/>
      <c r="G136" s="406"/>
      <c r="H136" s="449"/>
      <c r="I136" s="419"/>
      <c r="J136" s="448"/>
      <c r="K136" s="409"/>
    </row>
    <row r="137" spans="1:11" x14ac:dyDescent="0.25">
      <c r="A137" s="331">
        <v>127</v>
      </c>
      <c r="B137" s="418" t="s">
        <v>288</v>
      </c>
      <c r="C137" s="422" t="s">
        <v>289</v>
      </c>
      <c r="D137" s="405"/>
      <c r="E137" s="406"/>
      <c r="F137" s="402"/>
      <c r="G137" s="406"/>
      <c r="H137" s="449"/>
      <c r="I137" s="419"/>
      <c r="J137" s="448"/>
      <c r="K137" s="409"/>
    </row>
    <row r="138" spans="1:11" x14ac:dyDescent="0.25">
      <c r="A138" s="331">
        <v>128</v>
      </c>
      <c r="B138" s="407" t="s">
        <v>290</v>
      </c>
      <c r="C138" s="422" t="s">
        <v>291</v>
      </c>
      <c r="D138" s="405"/>
      <c r="E138" s="406"/>
      <c r="F138" s="402"/>
      <c r="G138" s="406"/>
      <c r="H138" s="449"/>
      <c r="I138" s="419"/>
      <c r="J138" s="448"/>
      <c r="K138" s="409"/>
    </row>
    <row r="139" spans="1:11" x14ac:dyDescent="0.25">
      <c r="A139" s="331">
        <v>129</v>
      </c>
      <c r="B139" s="423" t="s">
        <v>292</v>
      </c>
      <c r="C139" s="384" t="s">
        <v>293</v>
      </c>
      <c r="D139" s="405"/>
      <c r="E139" s="406"/>
      <c r="F139" s="402"/>
      <c r="G139" s="409"/>
      <c r="H139" s="447"/>
      <c r="I139" s="419"/>
      <c r="J139" s="448"/>
      <c r="K139" s="409"/>
    </row>
    <row r="140" spans="1:11" x14ac:dyDescent="0.25">
      <c r="A140" s="331">
        <v>130</v>
      </c>
      <c r="B140" s="424" t="s">
        <v>294</v>
      </c>
      <c r="C140" s="384" t="s">
        <v>295</v>
      </c>
      <c r="D140" s="405"/>
      <c r="E140" s="406"/>
      <c r="F140" s="402"/>
      <c r="G140" s="409"/>
      <c r="H140" s="447"/>
      <c r="I140" s="419"/>
      <c r="J140" s="448"/>
      <c r="K140" s="409"/>
    </row>
    <row r="141" spans="1:11" x14ac:dyDescent="0.25">
      <c r="A141" s="331">
        <v>131</v>
      </c>
      <c r="B141" s="441" t="s">
        <v>296</v>
      </c>
      <c r="C141" s="453" t="s">
        <v>461</v>
      </c>
      <c r="D141" s="405">
        <v>422615</v>
      </c>
      <c r="E141" s="406">
        <v>99924</v>
      </c>
      <c r="F141" s="402">
        <f t="shared" ref="F141" si="3">D141+E141</f>
        <v>522539</v>
      </c>
      <c r="G141" s="409">
        <v>152406</v>
      </c>
      <c r="H141" s="408">
        <v>5657</v>
      </c>
      <c r="I141" s="419">
        <v>525590</v>
      </c>
      <c r="J141" s="405">
        <v>799</v>
      </c>
      <c r="K141" s="409">
        <v>41540</v>
      </c>
    </row>
    <row r="142" spans="1:11" x14ac:dyDescent="0.25">
      <c r="A142" s="331">
        <v>132</v>
      </c>
      <c r="B142" s="388" t="s">
        <v>298</v>
      </c>
      <c r="C142" s="425" t="s">
        <v>299</v>
      </c>
      <c r="D142" s="405"/>
      <c r="E142" s="406"/>
      <c r="F142" s="402"/>
      <c r="G142" s="409"/>
      <c r="H142" s="447"/>
      <c r="I142" s="419"/>
      <c r="J142" s="448"/>
      <c r="K142" s="409"/>
    </row>
    <row r="143" spans="1:11" x14ac:dyDescent="0.25">
      <c r="A143" s="331">
        <v>133</v>
      </c>
      <c r="B143" s="329" t="s">
        <v>300</v>
      </c>
      <c r="C143" s="425" t="s">
        <v>301</v>
      </c>
      <c r="D143" s="405"/>
      <c r="E143" s="406"/>
      <c r="F143" s="402"/>
      <c r="G143" s="409"/>
      <c r="H143" s="447"/>
      <c r="I143" s="419"/>
      <c r="J143" s="448"/>
      <c r="K143" s="409"/>
    </row>
    <row r="144" spans="1:11" x14ac:dyDescent="0.25">
      <c r="A144" s="331">
        <v>134</v>
      </c>
      <c r="B144" s="329" t="s">
        <v>302</v>
      </c>
      <c r="C144" s="425" t="s">
        <v>303</v>
      </c>
      <c r="D144" s="405"/>
      <c r="E144" s="406"/>
      <c r="F144" s="402"/>
      <c r="G144" s="409"/>
      <c r="H144" s="447"/>
      <c r="I144" s="419"/>
      <c r="J144" s="448"/>
      <c r="K144" s="409"/>
    </row>
    <row r="145" spans="1:11" ht="15.75" thickBot="1" x14ac:dyDescent="0.3">
      <c r="A145" s="326">
        <v>135</v>
      </c>
      <c r="B145" s="327" t="s">
        <v>304</v>
      </c>
      <c r="C145" s="328" t="s">
        <v>305</v>
      </c>
      <c r="D145" s="426"/>
      <c r="E145" s="410"/>
      <c r="F145" s="411"/>
      <c r="G145" s="412"/>
      <c r="H145" s="454"/>
      <c r="I145" s="412"/>
      <c r="J145" s="455"/>
      <c r="K145" s="412"/>
    </row>
  </sheetData>
  <mergeCells count="18">
    <mergeCell ref="A88:A91"/>
    <mergeCell ref="B88:B91"/>
    <mergeCell ref="G5:G6"/>
    <mergeCell ref="H5:H6"/>
    <mergeCell ref="I5:I6"/>
    <mergeCell ref="J5:J6"/>
    <mergeCell ref="K5:K6"/>
    <mergeCell ref="A7:C7"/>
    <mergeCell ref="A1:K1"/>
    <mergeCell ref="A3:A6"/>
    <mergeCell ref="B3:B6"/>
    <mergeCell ref="C3:C6"/>
    <mergeCell ref="D3:G4"/>
    <mergeCell ref="H3:I4"/>
    <mergeCell ref="J3:K4"/>
    <mergeCell ref="D5:D6"/>
    <mergeCell ref="E5:E6"/>
    <mergeCell ref="F5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P11" sqref="P11"/>
    </sheetView>
  </sheetViews>
  <sheetFormatPr defaultRowHeight="12" x14ac:dyDescent="0.25"/>
  <cols>
    <col min="1" max="1" width="4" style="502" customWidth="1"/>
    <col min="2" max="2" width="9.28515625" style="502" customWidth="1"/>
    <col min="3" max="3" width="31" style="503" customWidth="1"/>
    <col min="4" max="4" width="13.140625" style="502" customWidth="1"/>
    <col min="5" max="5" width="12.42578125" style="502" customWidth="1"/>
    <col min="6" max="6" width="10.140625" style="502" customWidth="1"/>
    <col min="7" max="7" width="9.28515625" style="502" customWidth="1"/>
    <col min="8" max="8" width="11.28515625" style="502" customWidth="1"/>
    <col min="9" max="9" width="12.85546875" style="502" customWidth="1"/>
    <col min="10" max="10" width="12.140625" style="502" customWidth="1"/>
    <col min="11" max="11" width="10.7109375" style="502" customWidth="1"/>
    <col min="12" max="12" width="12" style="502" customWidth="1"/>
    <col min="13" max="16384" width="9.140625" style="477"/>
  </cols>
  <sheetData>
    <row r="1" spans="1:13" s="269" customFormat="1" ht="20.25" customHeight="1" x14ac:dyDescent="0.25">
      <c r="A1" s="878" t="s">
        <v>643</v>
      </c>
      <c r="B1" s="878"/>
      <c r="C1" s="878"/>
      <c r="D1" s="878"/>
      <c r="E1" s="878"/>
      <c r="F1" s="878"/>
      <c r="G1" s="878"/>
      <c r="H1" s="878"/>
      <c r="I1" s="878"/>
      <c r="J1" s="878"/>
      <c r="K1" s="878"/>
      <c r="L1" s="878"/>
    </row>
    <row r="2" spans="1:13" s="478" customFormat="1" ht="13.5" customHeight="1" x14ac:dyDescent="0.25">
      <c r="A2" s="474"/>
      <c r="B2" s="474"/>
      <c r="C2" s="474"/>
      <c r="D2" s="475"/>
      <c r="E2" s="474"/>
      <c r="F2" s="474"/>
      <c r="G2" s="474"/>
      <c r="H2" s="476"/>
      <c r="I2" s="476"/>
      <c r="J2" s="476"/>
      <c r="K2" s="476"/>
      <c r="L2" s="476"/>
      <c r="M2" s="477"/>
    </row>
    <row r="3" spans="1:13" s="478" customFormat="1" ht="13.5" customHeight="1" x14ac:dyDescent="0.25">
      <c r="A3" s="879" t="s">
        <v>0</v>
      </c>
      <c r="B3" s="879" t="s">
        <v>1</v>
      </c>
      <c r="C3" s="879" t="s">
        <v>2</v>
      </c>
      <c r="D3" s="879" t="s">
        <v>725</v>
      </c>
      <c r="E3" s="879" t="s">
        <v>726</v>
      </c>
      <c r="F3" s="881" t="s">
        <v>448</v>
      </c>
      <c r="G3" s="881"/>
      <c r="H3" s="881"/>
      <c r="I3" s="881"/>
      <c r="J3" s="881"/>
      <c r="K3" s="882" t="s">
        <v>644</v>
      </c>
      <c r="L3" s="882" t="s">
        <v>645</v>
      </c>
      <c r="M3" s="477"/>
    </row>
    <row r="4" spans="1:13" s="480" customFormat="1" ht="70.5" customHeight="1" x14ac:dyDescent="0.25">
      <c r="A4" s="880"/>
      <c r="B4" s="880"/>
      <c r="C4" s="880"/>
      <c r="D4" s="880"/>
      <c r="E4" s="880"/>
      <c r="F4" s="717" t="s">
        <v>646</v>
      </c>
      <c r="G4" s="717" t="s">
        <v>647</v>
      </c>
      <c r="H4" s="717" t="s">
        <v>768</v>
      </c>
      <c r="I4" s="717" t="s">
        <v>723</v>
      </c>
      <c r="J4" s="717" t="s">
        <v>724</v>
      </c>
      <c r="K4" s="883"/>
      <c r="L4" s="883"/>
      <c r="M4" s="479"/>
    </row>
    <row r="5" spans="1:13" s="478" customFormat="1" ht="12" customHeight="1" x14ac:dyDescent="0.25">
      <c r="A5" s="473">
        <v>1</v>
      </c>
      <c r="B5" s="270" t="s">
        <v>54</v>
      </c>
      <c r="C5" s="481" t="s">
        <v>55</v>
      </c>
      <c r="D5" s="482">
        <v>758</v>
      </c>
      <c r="E5" s="482">
        <v>758</v>
      </c>
      <c r="F5" s="473"/>
      <c r="G5" s="473"/>
      <c r="H5" s="473"/>
      <c r="I5" s="473"/>
      <c r="J5" s="473"/>
      <c r="K5" s="473"/>
      <c r="L5" s="473"/>
      <c r="M5" s="477"/>
    </row>
    <row r="6" spans="1:13" s="478" customFormat="1" x14ac:dyDescent="0.25">
      <c r="A6" s="473">
        <v>2</v>
      </c>
      <c r="B6" s="270" t="s">
        <v>56</v>
      </c>
      <c r="C6" s="483" t="s">
        <v>57</v>
      </c>
      <c r="D6" s="482">
        <v>761</v>
      </c>
      <c r="E6" s="482">
        <v>761</v>
      </c>
      <c r="F6" s="473"/>
      <c r="G6" s="473"/>
      <c r="H6" s="473"/>
      <c r="I6" s="473"/>
      <c r="J6" s="473"/>
      <c r="K6" s="473"/>
      <c r="L6" s="473"/>
      <c r="M6" s="477"/>
    </row>
    <row r="7" spans="1:13" s="478" customFormat="1" x14ac:dyDescent="0.25">
      <c r="A7" s="473">
        <v>3</v>
      </c>
      <c r="B7" s="484" t="s">
        <v>16</v>
      </c>
      <c r="C7" s="485" t="s">
        <v>17</v>
      </c>
      <c r="D7" s="482">
        <v>2650</v>
      </c>
      <c r="E7" s="482">
        <v>2480</v>
      </c>
      <c r="F7" s="473"/>
      <c r="G7" s="473"/>
      <c r="H7" s="473"/>
      <c r="I7" s="473"/>
      <c r="J7" s="473">
        <v>25</v>
      </c>
      <c r="K7" s="473"/>
      <c r="L7" s="473">
        <v>170</v>
      </c>
      <c r="M7" s="477"/>
    </row>
    <row r="8" spans="1:13" s="478" customFormat="1" ht="11.25" customHeight="1" x14ac:dyDescent="0.25">
      <c r="A8" s="473">
        <v>4</v>
      </c>
      <c r="B8" s="270" t="s">
        <v>58</v>
      </c>
      <c r="C8" s="483" t="s">
        <v>59</v>
      </c>
      <c r="D8" s="482">
        <v>798</v>
      </c>
      <c r="E8" s="482">
        <v>798</v>
      </c>
      <c r="F8" s="473"/>
      <c r="G8" s="473"/>
      <c r="H8" s="473"/>
      <c r="I8" s="473"/>
      <c r="J8" s="473"/>
      <c r="K8" s="473"/>
      <c r="L8" s="473"/>
      <c r="M8" s="477"/>
    </row>
    <row r="9" spans="1:13" s="478" customFormat="1" ht="12.75" customHeight="1" x14ac:dyDescent="0.25">
      <c r="A9" s="473">
        <v>5</v>
      </c>
      <c r="B9" s="270" t="s">
        <v>60</v>
      </c>
      <c r="C9" s="483" t="s">
        <v>61</v>
      </c>
      <c r="D9" s="482">
        <v>908</v>
      </c>
      <c r="E9" s="482">
        <v>908</v>
      </c>
      <c r="F9" s="473"/>
      <c r="G9" s="473"/>
      <c r="H9" s="473"/>
      <c r="I9" s="473"/>
      <c r="J9" s="473"/>
      <c r="K9" s="473"/>
      <c r="L9" s="473"/>
      <c r="M9" s="477"/>
    </row>
    <row r="10" spans="1:13" s="478" customFormat="1" x14ac:dyDescent="0.25">
      <c r="A10" s="473">
        <v>6</v>
      </c>
      <c r="B10" s="484" t="s">
        <v>18</v>
      </c>
      <c r="C10" s="485" t="s">
        <v>19</v>
      </c>
      <c r="D10" s="482">
        <v>8123</v>
      </c>
      <c r="E10" s="482">
        <v>7831</v>
      </c>
      <c r="F10" s="473"/>
      <c r="G10" s="473"/>
      <c r="H10" s="473">
        <v>675</v>
      </c>
      <c r="I10" s="473"/>
      <c r="J10" s="473">
        <v>60</v>
      </c>
      <c r="K10" s="473"/>
      <c r="L10" s="473">
        <v>292</v>
      </c>
      <c r="M10" s="477"/>
    </row>
    <row r="11" spans="1:13" s="478" customFormat="1" x14ac:dyDescent="0.25">
      <c r="A11" s="473">
        <v>7</v>
      </c>
      <c r="B11" s="486" t="s">
        <v>62</v>
      </c>
      <c r="C11" s="487" t="s">
        <v>63</v>
      </c>
      <c r="D11" s="482">
        <v>2687</v>
      </c>
      <c r="E11" s="482">
        <v>2387</v>
      </c>
      <c r="F11" s="473"/>
      <c r="G11" s="473"/>
      <c r="H11" s="473"/>
      <c r="I11" s="473"/>
      <c r="J11" s="473"/>
      <c r="K11" s="473"/>
      <c r="L11" s="473">
        <v>300</v>
      </c>
      <c r="M11" s="477"/>
    </row>
    <row r="12" spans="1:13" s="478" customFormat="1" x14ac:dyDescent="0.25">
      <c r="A12" s="473">
        <v>8</v>
      </c>
      <c r="B12" s="484" t="s">
        <v>64</v>
      </c>
      <c r="C12" s="485" t="s">
        <v>65</v>
      </c>
      <c r="D12" s="482">
        <v>958</v>
      </c>
      <c r="E12" s="482">
        <v>958</v>
      </c>
      <c r="F12" s="473"/>
      <c r="G12" s="473"/>
      <c r="H12" s="473"/>
      <c r="I12" s="473"/>
      <c r="J12" s="473"/>
      <c r="K12" s="473"/>
      <c r="L12" s="473"/>
      <c r="M12" s="477"/>
    </row>
    <row r="13" spans="1:13" s="478" customFormat="1" x14ac:dyDescent="0.25">
      <c r="A13" s="473">
        <v>9</v>
      </c>
      <c r="B13" s="484" t="s">
        <v>66</v>
      </c>
      <c r="C13" s="485" t="s">
        <v>67</v>
      </c>
      <c r="D13" s="482">
        <v>847</v>
      </c>
      <c r="E13" s="482">
        <v>847</v>
      </c>
      <c r="F13" s="473"/>
      <c r="G13" s="473"/>
      <c r="H13" s="473"/>
      <c r="I13" s="473"/>
      <c r="J13" s="473"/>
      <c r="K13" s="473"/>
      <c r="L13" s="473"/>
      <c r="M13" s="477"/>
    </row>
    <row r="14" spans="1:13" s="478" customFormat="1" x14ac:dyDescent="0.25">
      <c r="A14" s="473">
        <v>10</v>
      </c>
      <c r="B14" s="484" t="s">
        <v>68</v>
      </c>
      <c r="C14" s="485" t="s">
        <v>69</v>
      </c>
      <c r="D14" s="482">
        <v>1157</v>
      </c>
      <c r="E14" s="482">
        <v>1157</v>
      </c>
      <c r="F14" s="473"/>
      <c r="G14" s="473"/>
      <c r="H14" s="473"/>
      <c r="I14" s="473"/>
      <c r="J14" s="473"/>
      <c r="K14" s="473"/>
      <c r="L14" s="473"/>
      <c r="M14" s="477"/>
    </row>
    <row r="15" spans="1:13" s="478" customFormat="1" x14ac:dyDescent="0.25">
      <c r="A15" s="473">
        <v>11</v>
      </c>
      <c r="B15" s="484" t="s">
        <v>70</v>
      </c>
      <c r="C15" s="485" t="s">
        <v>71</v>
      </c>
      <c r="D15" s="482">
        <v>864</v>
      </c>
      <c r="E15" s="482">
        <v>864</v>
      </c>
      <c r="F15" s="473"/>
      <c r="G15" s="473"/>
      <c r="H15" s="473"/>
      <c r="I15" s="473"/>
      <c r="J15" s="473"/>
      <c r="K15" s="473"/>
      <c r="L15" s="473"/>
      <c r="M15" s="477"/>
    </row>
    <row r="16" spans="1:13" s="478" customFormat="1" x14ac:dyDescent="0.25">
      <c r="A16" s="473">
        <v>12</v>
      </c>
      <c r="B16" s="484" t="s">
        <v>72</v>
      </c>
      <c r="C16" s="485" t="s">
        <v>73</v>
      </c>
      <c r="D16" s="482">
        <v>1778</v>
      </c>
      <c r="E16" s="482">
        <v>1778</v>
      </c>
      <c r="F16" s="473"/>
      <c r="G16" s="473"/>
      <c r="H16" s="473"/>
      <c r="I16" s="473"/>
      <c r="J16" s="473"/>
      <c r="K16" s="473"/>
      <c r="L16" s="473"/>
      <c r="M16" s="477"/>
    </row>
    <row r="17" spans="1:13" s="478" customFormat="1" x14ac:dyDescent="0.25">
      <c r="A17" s="473">
        <v>13</v>
      </c>
      <c r="B17" s="525" t="s">
        <v>74</v>
      </c>
      <c r="C17" s="526" t="s">
        <v>75</v>
      </c>
      <c r="D17" s="482">
        <v>0</v>
      </c>
      <c r="E17" s="482"/>
      <c r="F17" s="473"/>
      <c r="G17" s="473"/>
      <c r="H17" s="473"/>
      <c r="I17" s="473"/>
      <c r="J17" s="473"/>
      <c r="K17" s="473"/>
      <c r="L17" s="473"/>
      <c r="M17" s="477"/>
    </row>
    <row r="18" spans="1:13" s="478" customFormat="1" x14ac:dyDescent="0.25">
      <c r="A18" s="473">
        <v>14</v>
      </c>
      <c r="B18" s="484" t="s">
        <v>76</v>
      </c>
      <c r="C18" s="485" t="s">
        <v>77</v>
      </c>
      <c r="D18" s="482">
        <v>1692</v>
      </c>
      <c r="E18" s="482">
        <v>1692</v>
      </c>
      <c r="F18" s="473"/>
      <c r="G18" s="473"/>
      <c r="H18" s="473">
        <v>550</v>
      </c>
      <c r="I18" s="473"/>
      <c r="J18" s="473"/>
      <c r="K18" s="473"/>
      <c r="L18" s="473"/>
      <c r="M18" s="477"/>
    </row>
    <row r="19" spans="1:13" s="478" customFormat="1" x14ac:dyDescent="0.25">
      <c r="A19" s="473">
        <v>15</v>
      </c>
      <c r="B19" s="484" t="s">
        <v>78</v>
      </c>
      <c r="C19" s="485" t="s">
        <v>79</v>
      </c>
      <c r="D19" s="482">
        <v>1742</v>
      </c>
      <c r="E19" s="482">
        <v>1742</v>
      </c>
      <c r="F19" s="473"/>
      <c r="G19" s="473"/>
      <c r="H19" s="473"/>
      <c r="I19" s="473"/>
      <c r="J19" s="473"/>
      <c r="K19" s="473"/>
      <c r="L19" s="473"/>
      <c r="M19" s="477"/>
    </row>
    <row r="20" spans="1:13" s="478" customFormat="1" x14ac:dyDescent="0.25">
      <c r="A20" s="473">
        <v>16</v>
      </c>
      <c r="B20" s="484" t="s">
        <v>80</v>
      </c>
      <c r="C20" s="485" t="s">
        <v>81</v>
      </c>
      <c r="D20" s="482">
        <v>2301</v>
      </c>
      <c r="E20" s="482">
        <v>2301</v>
      </c>
      <c r="F20" s="473"/>
      <c r="G20" s="473"/>
      <c r="H20" s="473"/>
      <c r="I20" s="473"/>
      <c r="J20" s="473"/>
      <c r="K20" s="473"/>
      <c r="L20" s="473"/>
      <c r="M20" s="477"/>
    </row>
    <row r="21" spans="1:13" s="478" customFormat="1" x14ac:dyDescent="0.25">
      <c r="A21" s="473">
        <v>17</v>
      </c>
      <c r="B21" s="484" t="s">
        <v>20</v>
      </c>
      <c r="C21" s="485" t="s">
        <v>21</v>
      </c>
      <c r="D21" s="482">
        <v>5666</v>
      </c>
      <c r="E21" s="482">
        <v>5209</v>
      </c>
      <c r="F21" s="473"/>
      <c r="G21" s="473"/>
      <c r="H21" s="473"/>
      <c r="I21" s="473"/>
      <c r="J21" s="473">
        <v>30</v>
      </c>
      <c r="K21" s="473"/>
      <c r="L21" s="473">
        <v>457</v>
      </c>
      <c r="M21" s="477"/>
    </row>
    <row r="22" spans="1:13" s="478" customFormat="1" x14ac:dyDescent="0.25">
      <c r="A22" s="473">
        <v>18</v>
      </c>
      <c r="B22" s="270" t="s">
        <v>82</v>
      </c>
      <c r="C22" s="483" t="s">
        <v>83</v>
      </c>
      <c r="D22" s="482">
        <v>722</v>
      </c>
      <c r="E22" s="482">
        <v>722</v>
      </c>
      <c r="F22" s="473"/>
      <c r="G22" s="473"/>
      <c r="H22" s="473"/>
      <c r="I22" s="473"/>
      <c r="J22" s="473"/>
      <c r="K22" s="473"/>
      <c r="L22" s="473"/>
      <c r="M22" s="477"/>
    </row>
    <row r="23" spans="1:13" s="478" customFormat="1" x14ac:dyDescent="0.25">
      <c r="A23" s="473">
        <v>19</v>
      </c>
      <c r="B23" s="270" t="s">
        <v>84</v>
      </c>
      <c r="C23" s="483" t="s">
        <v>85</v>
      </c>
      <c r="D23" s="482">
        <v>554</v>
      </c>
      <c r="E23" s="482">
        <v>554</v>
      </c>
      <c r="F23" s="473"/>
      <c r="G23" s="473"/>
      <c r="H23" s="473"/>
      <c r="I23" s="473"/>
      <c r="J23" s="473"/>
      <c r="K23" s="473"/>
      <c r="L23" s="473"/>
      <c r="M23" s="477"/>
    </row>
    <row r="24" spans="1:13" s="478" customFormat="1" x14ac:dyDescent="0.25">
      <c r="A24" s="473">
        <v>20</v>
      </c>
      <c r="B24" s="270" t="s">
        <v>86</v>
      </c>
      <c r="C24" s="483" t="s">
        <v>87</v>
      </c>
      <c r="D24" s="482">
        <v>3161</v>
      </c>
      <c r="E24" s="482">
        <v>3161</v>
      </c>
      <c r="F24" s="473"/>
      <c r="G24" s="473"/>
      <c r="H24" s="473"/>
      <c r="I24" s="473"/>
      <c r="J24" s="473"/>
      <c r="K24" s="473"/>
      <c r="L24" s="473"/>
      <c r="M24" s="477"/>
    </row>
    <row r="25" spans="1:13" s="478" customFormat="1" x14ac:dyDescent="0.25">
      <c r="A25" s="473">
        <v>21</v>
      </c>
      <c r="B25" s="270" t="s">
        <v>22</v>
      </c>
      <c r="C25" s="483" t="s">
        <v>23</v>
      </c>
      <c r="D25" s="482">
        <v>3109</v>
      </c>
      <c r="E25" s="482">
        <v>3109</v>
      </c>
      <c r="F25" s="473"/>
      <c r="G25" s="473"/>
      <c r="H25" s="473"/>
      <c r="I25" s="473"/>
      <c r="J25" s="473">
        <v>25</v>
      </c>
      <c r="K25" s="473"/>
      <c r="L25" s="473"/>
      <c r="M25" s="477"/>
    </row>
    <row r="26" spans="1:13" s="478" customFormat="1" x14ac:dyDescent="0.25">
      <c r="A26" s="473">
        <v>22</v>
      </c>
      <c r="B26" s="484" t="s">
        <v>24</v>
      </c>
      <c r="C26" s="485" t="s">
        <v>25</v>
      </c>
      <c r="D26" s="482">
        <v>582</v>
      </c>
      <c r="E26" s="482">
        <v>582</v>
      </c>
      <c r="F26" s="473"/>
      <c r="G26" s="473"/>
      <c r="H26" s="473"/>
      <c r="I26" s="473"/>
      <c r="J26" s="473"/>
      <c r="K26" s="473"/>
      <c r="L26" s="473"/>
      <c r="M26" s="477"/>
    </row>
    <row r="27" spans="1:13" s="478" customFormat="1" x14ac:dyDescent="0.25">
      <c r="A27" s="473">
        <v>23</v>
      </c>
      <c r="B27" s="525" t="s">
        <v>88</v>
      </c>
      <c r="C27" s="526" t="s">
        <v>89</v>
      </c>
      <c r="D27" s="482">
        <v>0</v>
      </c>
      <c r="E27" s="482"/>
      <c r="F27" s="473"/>
      <c r="G27" s="473"/>
      <c r="H27" s="473"/>
      <c r="I27" s="473"/>
      <c r="J27" s="473"/>
      <c r="K27" s="473"/>
      <c r="L27" s="473"/>
      <c r="M27" s="477"/>
    </row>
    <row r="28" spans="1:13" s="478" customFormat="1" ht="24" x14ac:dyDescent="0.25">
      <c r="A28" s="473">
        <v>24</v>
      </c>
      <c r="B28" s="484" t="s">
        <v>90</v>
      </c>
      <c r="C28" s="485" t="s">
        <v>91</v>
      </c>
      <c r="D28" s="482">
        <v>530</v>
      </c>
      <c r="E28" s="482">
        <v>0</v>
      </c>
      <c r="F28" s="473"/>
      <c r="G28" s="473"/>
      <c r="H28" s="473"/>
      <c r="I28" s="473"/>
      <c r="J28" s="473"/>
      <c r="K28" s="473"/>
      <c r="L28" s="473">
        <v>530</v>
      </c>
      <c r="M28" s="477"/>
    </row>
    <row r="29" spans="1:13" s="274" customFormat="1" ht="24" x14ac:dyDescent="0.25">
      <c r="A29" s="873">
        <v>25</v>
      </c>
      <c r="B29" s="728" t="s">
        <v>92</v>
      </c>
      <c r="C29" s="729" t="s">
        <v>779</v>
      </c>
      <c r="D29" s="730">
        <v>13998</v>
      </c>
      <c r="E29" s="730">
        <v>13998</v>
      </c>
      <c r="F29" s="730"/>
      <c r="G29" s="730"/>
      <c r="H29" s="730"/>
      <c r="I29" s="730"/>
      <c r="J29" s="730">
        <v>134</v>
      </c>
      <c r="K29" s="730"/>
      <c r="L29" s="730"/>
    </row>
    <row r="30" spans="1:13" s="478" customFormat="1" ht="13.5" customHeight="1" x14ac:dyDescent="0.25">
      <c r="A30" s="874"/>
      <c r="B30" s="167" t="s">
        <v>94</v>
      </c>
      <c r="C30" s="50" t="s">
        <v>95</v>
      </c>
      <c r="D30" s="167">
        <v>663</v>
      </c>
      <c r="E30" s="167">
        <v>663</v>
      </c>
      <c r="F30" s="167"/>
      <c r="G30" s="167"/>
      <c r="H30" s="167"/>
      <c r="I30" s="167"/>
      <c r="J30" s="167">
        <v>95</v>
      </c>
      <c r="K30" s="167"/>
      <c r="L30" s="167"/>
      <c r="M30" s="477"/>
    </row>
    <row r="31" spans="1:13" s="478" customFormat="1" ht="13.5" customHeight="1" x14ac:dyDescent="0.25">
      <c r="A31" s="473">
        <v>26</v>
      </c>
      <c r="B31" s="527" t="s">
        <v>96</v>
      </c>
      <c r="C31" s="526" t="s">
        <v>97</v>
      </c>
      <c r="D31" s="482">
        <v>0</v>
      </c>
      <c r="E31" s="482"/>
      <c r="F31" s="473"/>
      <c r="G31" s="473"/>
      <c r="H31" s="473"/>
      <c r="I31" s="473"/>
      <c r="J31" s="473"/>
      <c r="K31" s="473"/>
      <c r="L31" s="473"/>
      <c r="M31" s="477"/>
    </row>
    <row r="32" spans="1:13" s="478" customFormat="1" x14ac:dyDescent="0.25">
      <c r="A32" s="473">
        <v>27</v>
      </c>
      <c r="B32" s="484" t="s">
        <v>26</v>
      </c>
      <c r="C32" s="485" t="s">
        <v>27</v>
      </c>
      <c r="D32" s="482">
        <v>3431</v>
      </c>
      <c r="E32" s="482">
        <v>3431</v>
      </c>
      <c r="F32" s="473"/>
      <c r="G32" s="473"/>
      <c r="H32" s="473"/>
      <c r="I32" s="473"/>
      <c r="J32" s="473">
        <v>20</v>
      </c>
      <c r="K32" s="473"/>
      <c r="L32" s="473"/>
      <c r="M32" s="477"/>
    </row>
    <row r="33" spans="1:13" s="478" customFormat="1" x14ac:dyDescent="0.25">
      <c r="A33" s="473">
        <v>28</v>
      </c>
      <c r="B33" s="270" t="s">
        <v>98</v>
      </c>
      <c r="C33" s="483" t="s">
        <v>99</v>
      </c>
      <c r="D33" s="482">
        <v>5760</v>
      </c>
      <c r="E33" s="482">
        <v>5760</v>
      </c>
      <c r="F33" s="473"/>
      <c r="G33" s="473"/>
      <c r="H33" s="473"/>
      <c r="I33" s="473"/>
      <c r="J33" s="473">
        <v>30</v>
      </c>
      <c r="K33" s="473"/>
      <c r="L33" s="473"/>
      <c r="M33" s="477"/>
    </row>
    <row r="34" spans="1:13" s="478" customFormat="1" x14ac:dyDescent="0.25">
      <c r="A34" s="473">
        <v>29</v>
      </c>
      <c r="B34" s="486" t="s">
        <v>100</v>
      </c>
      <c r="C34" s="487" t="s">
        <v>101</v>
      </c>
      <c r="D34" s="482">
        <v>985</v>
      </c>
      <c r="E34" s="482">
        <v>985</v>
      </c>
      <c r="F34" s="473"/>
      <c r="G34" s="473"/>
      <c r="H34" s="473"/>
      <c r="I34" s="473"/>
      <c r="J34" s="473"/>
      <c r="K34" s="473"/>
      <c r="L34" s="473"/>
      <c r="M34" s="477"/>
    </row>
    <row r="35" spans="1:13" s="478" customFormat="1" x14ac:dyDescent="0.25">
      <c r="A35" s="473">
        <v>30</v>
      </c>
      <c r="B35" s="270" t="s">
        <v>102</v>
      </c>
      <c r="C35" s="483" t="s">
        <v>103</v>
      </c>
      <c r="D35" s="482">
        <v>4127</v>
      </c>
      <c r="E35" s="482">
        <v>3567</v>
      </c>
      <c r="F35" s="473"/>
      <c r="G35" s="473"/>
      <c r="H35" s="473"/>
      <c r="I35" s="473"/>
      <c r="J35" s="473">
        <v>30</v>
      </c>
      <c r="K35" s="473"/>
      <c r="L35" s="473">
        <v>560</v>
      </c>
      <c r="M35" s="477"/>
    </row>
    <row r="36" spans="1:13" s="478" customFormat="1" x14ac:dyDescent="0.25">
      <c r="A36" s="473">
        <v>31</v>
      </c>
      <c r="B36" s="270" t="s">
        <v>104</v>
      </c>
      <c r="C36" s="483" t="s">
        <v>105</v>
      </c>
      <c r="D36" s="482">
        <v>1310</v>
      </c>
      <c r="E36" s="482">
        <v>1310</v>
      </c>
      <c r="F36" s="473"/>
      <c r="G36" s="473"/>
      <c r="H36" s="473"/>
      <c r="I36" s="473"/>
      <c r="J36" s="473"/>
      <c r="K36" s="473"/>
      <c r="L36" s="473"/>
      <c r="M36" s="477"/>
    </row>
    <row r="37" spans="1:13" s="478" customFormat="1" x14ac:dyDescent="0.25">
      <c r="A37" s="473">
        <v>32</v>
      </c>
      <c r="B37" s="484" t="s">
        <v>106</v>
      </c>
      <c r="C37" s="485" t="s">
        <v>107</v>
      </c>
      <c r="D37" s="482">
        <v>3700</v>
      </c>
      <c r="E37" s="482">
        <v>3700</v>
      </c>
      <c r="F37" s="473"/>
      <c r="G37" s="473"/>
      <c r="H37" s="473"/>
      <c r="I37" s="473"/>
      <c r="J37" s="473">
        <v>15</v>
      </c>
      <c r="K37" s="473"/>
      <c r="L37" s="473"/>
      <c r="M37" s="477"/>
    </row>
    <row r="38" spans="1:13" s="478" customFormat="1" x14ac:dyDescent="0.25">
      <c r="A38" s="473">
        <v>33</v>
      </c>
      <c r="B38" s="270" t="s">
        <v>108</v>
      </c>
      <c r="C38" s="483" t="s">
        <v>109</v>
      </c>
      <c r="D38" s="482">
        <v>1160</v>
      </c>
      <c r="E38" s="482">
        <v>1160</v>
      </c>
      <c r="F38" s="473"/>
      <c r="G38" s="473"/>
      <c r="H38" s="473"/>
      <c r="I38" s="473"/>
      <c r="J38" s="473"/>
      <c r="K38" s="473"/>
      <c r="L38" s="473"/>
      <c r="M38" s="477"/>
    </row>
    <row r="39" spans="1:13" s="478" customFormat="1" x14ac:dyDescent="0.25">
      <c r="A39" s="473">
        <v>34</v>
      </c>
      <c r="B39" s="270" t="s">
        <v>110</v>
      </c>
      <c r="C39" s="483" t="s">
        <v>111</v>
      </c>
      <c r="D39" s="482">
        <v>713</v>
      </c>
      <c r="E39" s="482">
        <v>713</v>
      </c>
      <c r="F39" s="473"/>
      <c r="G39" s="473"/>
      <c r="H39" s="473"/>
      <c r="I39" s="473"/>
      <c r="J39" s="473"/>
      <c r="K39" s="473"/>
      <c r="L39" s="473"/>
      <c r="M39" s="477"/>
    </row>
    <row r="40" spans="1:13" s="478" customFormat="1" x14ac:dyDescent="0.25">
      <c r="A40" s="473">
        <v>35</v>
      </c>
      <c r="B40" s="488" t="s">
        <v>112</v>
      </c>
      <c r="C40" s="489" t="s">
        <v>113</v>
      </c>
      <c r="D40" s="482">
        <v>1348</v>
      </c>
      <c r="E40" s="482">
        <v>1348</v>
      </c>
      <c r="F40" s="473"/>
      <c r="G40" s="473"/>
      <c r="H40" s="473"/>
      <c r="I40" s="473"/>
      <c r="J40" s="473"/>
      <c r="K40" s="473"/>
      <c r="L40" s="473"/>
      <c r="M40" s="477"/>
    </row>
    <row r="41" spans="1:13" s="478" customFormat="1" x14ac:dyDescent="0.25">
      <c r="A41" s="473">
        <v>36</v>
      </c>
      <c r="B41" s="270" t="s">
        <v>114</v>
      </c>
      <c r="C41" s="483" t="s">
        <v>115</v>
      </c>
      <c r="D41" s="482">
        <v>557</v>
      </c>
      <c r="E41" s="482">
        <v>557</v>
      </c>
      <c r="F41" s="473"/>
      <c r="G41" s="473"/>
      <c r="H41" s="473"/>
      <c r="I41" s="473"/>
      <c r="J41" s="473"/>
      <c r="K41" s="473"/>
      <c r="L41" s="473"/>
      <c r="M41" s="477"/>
    </row>
    <row r="42" spans="1:13" s="478" customFormat="1" x14ac:dyDescent="0.25">
      <c r="A42" s="473">
        <v>37</v>
      </c>
      <c r="B42" s="486" t="s">
        <v>116</v>
      </c>
      <c r="C42" s="487" t="s">
        <v>117</v>
      </c>
      <c r="D42" s="482">
        <v>777</v>
      </c>
      <c r="E42" s="482">
        <v>777</v>
      </c>
      <c r="F42" s="473"/>
      <c r="G42" s="473"/>
      <c r="H42" s="473"/>
      <c r="I42" s="473">
        <v>127</v>
      </c>
      <c r="J42" s="473"/>
      <c r="K42" s="473"/>
      <c r="L42" s="473"/>
      <c r="M42" s="477"/>
    </row>
    <row r="43" spans="1:13" s="478" customFormat="1" x14ac:dyDescent="0.25">
      <c r="A43" s="473">
        <v>38</v>
      </c>
      <c r="B43" s="484" t="s">
        <v>28</v>
      </c>
      <c r="C43" s="485" t="s">
        <v>29</v>
      </c>
      <c r="D43" s="482">
        <v>5070</v>
      </c>
      <c r="E43" s="482">
        <v>4770</v>
      </c>
      <c r="F43" s="473"/>
      <c r="G43" s="473"/>
      <c r="H43" s="473"/>
      <c r="I43" s="473"/>
      <c r="J43" s="473">
        <v>80</v>
      </c>
      <c r="K43" s="473"/>
      <c r="L43" s="473">
        <v>300</v>
      </c>
      <c r="M43" s="477"/>
    </row>
    <row r="44" spans="1:13" s="478" customFormat="1" x14ac:dyDescent="0.25">
      <c r="A44" s="473">
        <v>39</v>
      </c>
      <c r="B44" s="270" t="s">
        <v>118</v>
      </c>
      <c r="C44" s="483" t="s">
        <v>119</v>
      </c>
      <c r="D44" s="482">
        <v>1027</v>
      </c>
      <c r="E44" s="482">
        <v>1027</v>
      </c>
      <c r="F44" s="473"/>
      <c r="G44" s="473"/>
      <c r="H44" s="473"/>
      <c r="I44" s="473"/>
      <c r="J44" s="473"/>
      <c r="K44" s="473"/>
      <c r="L44" s="473"/>
      <c r="M44" s="477"/>
    </row>
    <row r="45" spans="1:13" s="478" customFormat="1" x14ac:dyDescent="0.25">
      <c r="A45" s="473">
        <v>40</v>
      </c>
      <c r="B45" s="484" t="s">
        <v>120</v>
      </c>
      <c r="C45" s="485" t="s">
        <v>121</v>
      </c>
      <c r="D45" s="482">
        <v>3913</v>
      </c>
      <c r="E45" s="482">
        <v>3913</v>
      </c>
      <c r="F45" s="473"/>
      <c r="G45" s="473"/>
      <c r="H45" s="473"/>
      <c r="I45" s="473"/>
      <c r="J45" s="473"/>
      <c r="K45" s="473"/>
      <c r="L45" s="473"/>
      <c r="M45" s="477"/>
    </row>
    <row r="46" spans="1:13" s="478" customFormat="1" x14ac:dyDescent="0.25">
      <c r="A46" s="473">
        <v>41</v>
      </c>
      <c r="B46" s="270" t="s">
        <v>122</v>
      </c>
      <c r="C46" s="483" t="s">
        <v>123</v>
      </c>
      <c r="D46" s="482">
        <v>780</v>
      </c>
      <c r="E46" s="482">
        <v>780</v>
      </c>
      <c r="F46" s="473"/>
      <c r="G46" s="473"/>
      <c r="H46" s="473"/>
      <c r="I46" s="473"/>
      <c r="J46" s="473"/>
      <c r="K46" s="473"/>
      <c r="L46" s="473"/>
      <c r="M46" s="477"/>
    </row>
    <row r="47" spans="1:13" s="478" customFormat="1" ht="14.25" customHeight="1" x14ac:dyDescent="0.25">
      <c r="A47" s="473">
        <v>42</v>
      </c>
      <c r="B47" s="270" t="s">
        <v>124</v>
      </c>
      <c r="C47" s="485" t="s">
        <v>125</v>
      </c>
      <c r="D47" s="482">
        <v>1050</v>
      </c>
      <c r="E47" s="482">
        <v>1050</v>
      </c>
      <c r="F47" s="473"/>
      <c r="G47" s="473"/>
      <c r="H47" s="473"/>
      <c r="I47" s="473"/>
      <c r="J47" s="473"/>
      <c r="K47" s="473"/>
      <c r="L47" s="473"/>
      <c r="M47" s="477"/>
    </row>
    <row r="48" spans="1:13" s="478" customFormat="1" ht="10.5" customHeight="1" x14ac:dyDescent="0.25">
      <c r="A48" s="473">
        <v>43</v>
      </c>
      <c r="B48" s="270" t="s">
        <v>126</v>
      </c>
      <c r="C48" s="483" t="s">
        <v>127</v>
      </c>
      <c r="D48" s="482">
        <v>1261</v>
      </c>
      <c r="E48" s="482">
        <v>1261</v>
      </c>
      <c r="F48" s="473"/>
      <c r="G48" s="473"/>
      <c r="H48" s="473"/>
      <c r="I48" s="473"/>
      <c r="J48" s="473"/>
      <c r="K48" s="473"/>
      <c r="L48" s="473"/>
      <c r="M48" s="477"/>
    </row>
    <row r="49" spans="1:13" s="478" customFormat="1" x14ac:dyDescent="0.25">
      <c r="A49" s="473">
        <v>44</v>
      </c>
      <c r="B49" s="490" t="s">
        <v>128</v>
      </c>
      <c r="C49" s="491" t="s">
        <v>129</v>
      </c>
      <c r="D49" s="482">
        <v>1512</v>
      </c>
      <c r="E49" s="482">
        <v>1512</v>
      </c>
      <c r="F49" s="473"/>
      <c r="G49" s="473"/>
      <c r="H49" s="473"/>
      <c r="I49" s="473"/>
      <c r="J49" s="473"/>
      <c r="K49" s="473"/>
      <c r="L49" s="473"/>
      <c r="M49" s="477"/>
    </row>
    <row r="50" spans="1:13" s="478" customFormat="1" x14ac:dyDescent="0.25">
      <c r="A50" s="473">
        <v>45</v>
      </c>
      <c r="B50" s="484" t="s">
        <v>130</v>
      </c>
      <c r="C50" s="485" t="s">
        <v>131</v>
      </c>
      <c r="D50" s="482">
        <v>503</v>
      </c>
      <c r="E50" s="482">
        <v>503</v>
      </c>
      <c r="F50" s="473"/>
      <c r="G50" s="473"/>
      <c r="H50" s="473"/>
      <c r="I50" s="473"/>
      <c r="J50" s="473"/>
      <c r="K50" s="473"/>
      <c r="L50" s="473"/>
      <c r="M50" s="477"/>
    </row>
    <row r="51" spans="1:13" s="478" customFormat="1" x14ac:dyDescent="0.25">
      <c r="A51" s="473">
        <v>46</v>
      </c>
      <c r="B51" s="270" t="s">
        <v>132</v>
      </c>
      <c r="C51" s="483" t="s">
        <v>133</v>
      </c>
      <c r="D51" s="482">
        <v>974</v>
      </c>
      <c r="E51" s="482">
        <v>974</v>
      </c>
      <c r="F51" s="473"/>
      <c r="G51" s="473"/>
      <c r="H51" s="473"/>
      <c r="I51" s="473"/>
      <c r="J51" s="473"/>
      <c r="K51" s="473"/>
      <c r="L51" s="473"/>
      <c r="M51" s="477"/>
    </row>
    <row r="52" spans="1:13" s="478" customFormat="1" ht="10.5" customHeight="1" x14ac:dyDescent="0.25">
      <c r="A52" s="473">
        <v>47</v>
      </c>
      <c r="B52" s="484" t="s">
        <v>134</v>
      </c>
      <c r="C52" s="485" t="s">
        <v>135</v>
      </c>
      <c r="D52" s="482">
        <v>1518</v>
      </c>
      <c r="E52" s="482">
        <v>1518</v>
      </c>
      <c r="F52" s="473"/>
      <c r="G52" s="473"/>
      <c r="H52" s="473"/>
      <c r="I52" s="473"/>
      <c r="J52" s="473"/>
      <c r="K52" s="473"/>
      <c r="L52" s="473"/>
      <c r="M52" s="477"/>
    </row>
    <row r="53" spans="1:13" s="478" customFormat="1" x14ac:dyDescent="0.25">
      <c r="A53" s="473">
        <v>48</v>
      </c>
      <c r="B53" s="270" t="s">
        <v>136</v>
      </c>
      <c r="C53" s="483" t="s">
        <v>137</v>
      </c>
      <c r="D53" s="482">
        <v>5733</v>
      </c>
      <c r="E53" s="482">
        <v>5733</v>
      </c>
      <c r="F53" s="473"/>
      <c r="G53" s="473"/>
      <c r="H53" s="473"/>
      <c r="I53" s="473"/>
      <c r="J53" s="473">
        <v>61</v>
      </c>
      <c r="K53" s="473"/>
      <c r="L53" s="473"/>
      <c r="M53" s="477"/>
    </row>
    <row r="54" spans="1:13" s="478" customFormat="1" x14ac:dyDescent="0.25">
      <c r="A54" s="473">
        <v>49</v>
      </c>
      <c r="B54" s="484" t="s">
        <v>138</v>
      </c>
      <c r="C54" s="485" t="s">
        <v>139</v>
      </c>
      <c r="D54" s="482">
        <v>1095</v>
      </c>
      <c r="E54" s="482">
        <v>1095</v>
      </c>
      <c r="F54" s="473"/>
      <c r="G54" s="473"/>
      <c r="H54" s="473"/>
      <c r="I54" s="473"/>
      <c r="J54" s="473"/>
      <c r="K54" s="473"/>
      <c r="L54" s="473"/>
      <c r="M54" s="477"/>
    </row>
    <row r="55" spans="1:13" s="478" customFormat="1" x14ac:dyDescent="0.25">
      <c r="A55" s="473">
        <v>50</v>
      </c>
      <c r="B55" s="484" t="s">
        <v>140</v>
      </c>
      <c r="C55" s="485" t="s">
        <v>141</v>
      </c>
      <c r="D55" s="482">
        <v>799</v>
      </c>
      <c r="E55" s="482">
        <v>799</v>
      </c>
      <c r="F55" s="473"/>
      <c r="G55" s="473"/>
      <c r="H55" s="473"/>
      <c r="I55" s="473"/>
      <c r="J55" s="473"/>
      <c r="K55" s="473"/>
      <c r="L55" s="473"/>
      <c r="M55" s="477"/>
    </row>
    <row r="56" spans="1:13" s="478" customFormat="1" x14ac:dyDescent="0.25">
      <c r="A56" s="473">
        <v>51</v>
      </c>
      <c r="B56" s="270" t="s">
        <v>142</v>
      </c>
      <c r="C56" s="487" t="s">
        <v>143</v>
      </c>
      <c r="D56" s="482">
        <v>879</v>
      </c>
      <c r="E56" s="482">
        <v>879</v>
      </c>
      <c r="F56" s="473"/>
      <c r="G56" s="473"/>
      <c r="H56" s="473"/>
      <c r="I56" s="473"/>
      <c r="J56" s="473"/>
      <c r="K56" s="473"/>
      <c r="L56" s="473"/>
      <c r="M56" s="477"/>
    </row>
    <row r="57" spans="1:13" s="478" customFormat="1" x14ac:dyDescent="0.25">
      <c r="A57" s="473">
        <v>52</v>
      </c>
      <c r="B57" s="525" t="s">
        <v>144</v>
      </c>
      <c r="C57" s="526" t="s">
        <v>145</v>
      </c>
      <c r="D57" s="482">
        <v>0</v>
      </c>
      <c r="E57" s="482"/>
      <c r="F57" s="473"/>
      <c r="G57" s="473"/>
      <c r="H57" s="473"/>
      <c r="I57" s="473"/>
      <c r="J57" s="473"/>
      <c r="K57" s="473"/>
      <c r="L57" s="473"/>
      <c r="M57" s="477"/>
    </row>
    <row r="58" spans="1:13" s="478" customFormat="1" x14ac:dyDescent="0.25">
      <c r="A58" s="473">
        <v>53</v>
      </c>
      <c r="B58" s="271" t="s">
        <v>146</v>
      </c>
      <c r="C58" s="485" t="s">
        <v>147</v>
      </c>
      <c r="D58" s="482">
        <v>280</v>
      </c>
      <c r="E58" s="482">
        <v>0</v>
      </c>
      <c r="F58" s="473"/>
      <c r="G58" s="473"/>
      <c r="H58" s="473"/>
      <c r="I58" s="473"/>
      <c r="J58" s="473"/>
      <c r="K58" s="473"/>
      <c r="L58" s="473">
        <v>280</v>
      </c>
      <c r="M58" s="477"/>
    </row>
    <row r="59" spans="1:13" s="478" customFormat="1" ht="12" customHeight="1" x14ac:dyDescent="0.25">
      <c r="A59" s="473">
        <v>54</v>
      </c>
      <c r="B59" s="484" t="s">
        <v>148</v>
      </c>
      <c r="C59" s="485" t="s">
        <v>149</v>
      </c>
      <c r="D59" s="482">
        <v>1843</v>
      </c>
      <c r="E59" s="482">
        <v>1843</v>
      </c>
      <c r="F59" s="473"/>
      <c r="G59" s="473"/>
      <c r="H59" s="473"/>
      <c r="I59" s="473"/>
      <c r="J59" s="473"/>
      <c r="K59" s="473"/>
      <c r="L59" s="473"/>
      <c r="M59" s="477"/>
    </row>
    <row r="60" spans="1:13" s="478" customFormat="1" ht="12.75" customHeight="1" x14ac:dyDescent="0.25">
      <c r="A60" s="473">
        <v>55</v>
      </c>
      <c r="B60" s="484" t="s">
        <v>150</v>
      </c>
      <c r="C60" s="485" t="s">
        <v>151</v>
      </c>
      <c r="D60" s="482">
        <v>1416</v>
      </c>
      <c r="E60" s="482">
        <v>1416</v>
      </c>
      <c r="F60" s="473"/>
      <c r="G60" s="473"/>
      <c r="H60" s="473"/>
      <c r="I60" s="473"/>
      <c r="J60" s="473"/>
      <c r="K60" s="473"/>
      <c r="L60" s="473"/>
      <c r="M60" s="477"/>
    </row>
    <row r="61" spans="1:13" s="478" customFormat="1" ht="11.25" customHeight="1" x14ac:dyDescent="0.25">
      <c r="A61" s="473">
        <v>56</v>
      </c>
      <c r="B61" s="270" t="s">
        <v>154</v>
      </c>
      <c r="C61" s="485" t="s">
        <v>155</v>
      </c>
      <c r="D61" s="482">
        <v>2714</v>
      </c>
      <c r="E61" s="482">
        <v>2714</v>
      </c>
      <c r="F61" s="473"/>
      <c r="G61" s="473"/>
      <c r="H61" s="473"/>
      <c r="I61" s="473"/>
      <c r="J61" s="473"/>
      <c r="K61" s="473"/>
      <c r="L61" s="473"/>
      <c r="M61" s="477"/>
    </row>
    <row r="62" spans="1:13" s="478" customFormat="1" ht="11.25" customHeight="1" x14ac:dyDescent="0.25">
      <c r="A62" s="473">
        <v>57</v>
      </c>
      <c r="B62" s="528" t="s">
        <v>158</v>
      </c>
      <c r="C62" s="526" t="s">
        <v>159</v>
      </c>
      <c r="D62" s="482">
        <v>0</v>
      </c>
      <c r="E62" s="482"/>
      <c r="F62" s="473"/>
      <c r="G62" s="473"/>
      <c r="H62" s="473"/>
      <c r="I62" s="473"/>
      <c r="J62" s="473"/>
      <c r="K62" s="473"/>
      <c r="L62" s="473"/>
      <c r="M62" s="477"/>
    </row>
    <row r="63" spans="1:13" s="478" customFormat="1" ht="11.25" customHeight="1" x14ac:dyDescent="0.25">
      <c r="A63" s="473">
        <v>58</v>
      </c>
      <c r="B63" s="528" t="s">
        <v>160</v>
      </c>
      <c r="C63" s="526" t="s">
        <v>161</v>
      </c>
      <c r="D63" s="482">
        <v>0</v>
      </c>
      <c r="E63" s="482"/>
      <c r="F63" s="473"/>
      <c r="G63" s="473"/>
      <c r="H63" s="473"/>
      <c r="I63" s="473"/>
      <c r="J63" s="473"/>
      <c r="K63" s="473"/>
      <c r="L63" s="473"/>
      <c r="M63" s="477"/>
    </row>
    <row r="64" spans="1:13" s="478" customFormat="1" ht="11.25" customHeight="1" x14ac:dyDescent="0.25">
      <c r="A64" s="473">
        <v>59</v>
      </c>
      <c r="B64" s="270" t="s">
        <v>162</v>
      </c>
      <c r="C64" s="485" t="s">
        <v>163</v>
      </c>
      <c r="D64" s="482">
        <v>3683</v>
      </c>
      <c r="E64" s="482">
        <v>3683</v>
      </c>
      <c r="F64" s="473"/>
      <c r="G64" s="473"/>
      <c r="H64" s="473"/>
      <c r="I64" s="473"/>
      <c r="J64" s="473"/>
      <c r="K64" s="473"/>
      <c r="L64" s="473"/>
      <c r="M64" s="477"/>
    </row>
    <row r="65" spans="1:13" s="478" customFormat="1" ht="11.25" customHeight="1" x14ac:dyDescent="0.25">
      <c r="A65" s="473">
        <v>60</v>
      </c>
      <c r="B65" s="270" t="s">
        <v>164</v>
      </c>
      <c r="C65" s="485" t="s">
        <v>165</v>
      </c>
      <c r="D65" s="482">
        <v>2260</v>
      </c>
      <c r="E65" s="482">
        <v>1900</v>
      </c>
      <c r="F65" s="473"/>
      <c r="G65" s="473"/>
      <c r="H65" s="473"/>
      <c r="I65" s="473"/>
      <c r="J65" s="473"/>
      <c r="K65" s="473"/>
      <c r="L65" s="473">
        <v>360</v>
      </c>
      <c r="M65" s="477"/>
    </row>
    <row r="66" spans="1:13" s="478" customFormat="1" x14ac:dyDescent="0.25">
      <c r="A66" s="473">
        <v>61</v>
      </c>
      <c r="B66" s="270" t="s">
        <v>166</v>
      </c>
      <c r="C66" s="485" t="s">
        <v>167</v>
      </c>
      <c r="D66" s="482">
        <v>4822</v>
      </c>
      <c r="E66" s="482">
        <v>4822</v>
      </c>
      <c r="F66" s="473"/>
      <c r="G66" s="473"/>
      <c r="H66" s="473"/>
      <c r="I66" s="473"/>
      <c r="J66" s="473"/>
      <c r="K66" s="473"/>
      <c r="L66" s="473"/>
      <c r="M66" s="477"/>
    </row>
    <row r="67" spans="1:13" s="478" customFormat="1" ht="36" x14ac:dyDescent="0.25">
      <c r="A67" s="875">
        <v>62</v>
      </c>
      <c r="B67" s="728" t="s">
        <v>170</v>
      </c>
      <c r="C67" s="729" t="s">
        <v>781</v>
      </c>
      <c r="D67" s="728">
        <v>0</v>
      </c>
      <c r="E67" s="728"/>
      <c r="F67" s="728"/>
      <c r="G67" s="728"/>
      <c r="H67" s="728"/>
      <c r="I67" s="728"/>
      <c r="J67" s="728"/>
      <c r="K67" s="728"/>
      <c r="L67" s="728"/>
      <c r="M67" s="477"/>
    </row>
    <row r="68" spans="1:13" s="478" customFormat="1" ht="24" x14ac:dyDescent="0.25">
      <c r="A68" s="877"/>
      <c r="B68" s="167" t="s">
        <v>168</v>
      </c>
      <c r="C68" s="54" t="s">
        <v>169</v>
      </c>
      <c r="D68" s="167">
        <v>0</v>
      </c>
      <c r="E68" s="167"/>
      <c r="F68" s="167"/>
      <c r="G68" s="167"/>
      <c r="H68" s="167"/>
      <c r="I68" s="167"/>
      <c r="J68" s="167"/>
      <c r="K68" s="167"/>
      <c r="L68" s="167"/>
      <c r="M68" s="477"/>
    </row>
    <row r="69" spans="1:13" s="478" customFormat="1" ht="24" x14ac:dyDescent="0.25">
      <c r="A69" s="876"/>
      <c r="B69" s="167" t="s">
        <v>174</v>
      </c>
      <c r="C69" s="54" t="s">
        <v>175</v>
      </c>
      <c r="D69" s="167">
        <v>0</v>
      </c>
      <c r="E69" s="167"/>
      <c r="F69" s="167"/>
      <c r="G69" s="167"/>
      <c r="H69" s="167"/>
      <c r="I69" s="167"/>
      <c r="J69" s="167"/>
      <c r="K69" s="167"/>
      <c r="L69" s="167"/>
      <c r="M69" s="477"/>
    </row>
    <row r="70" spans="1:13" s="478" customFormat="1" ht="36" x14ac:dyDescent="0.25">
      <c r="A70" s="875">
        <v>63</v>
      </c>
      <c r="B70" s="728" t="s">
        <v>176</v>
      </c>
      <c r="C70" s="729" t="s">
        <v>782</v>
      </c>
      <c r="D70" s="728">
        <v>0</v>
      </c>
      <c r="E70" s="728"/>
      <c r="F70" s="728"/>
      <c r="G70" s="729"/>
      <c r="H70" s="728"/>
      <c r="I70" s="728"/>
      <c r="J70" s="728"/>
      <c r="K70" s="729"/>
      <c r="L70" s="728"/>
      <c r="M70" s="477"/>
    </row>
    <row r="71" spans="1:13" s="478" customFormat="1" ht="24" x14ac:dyDescent="0.25">
      <c r="A71" s="877"/>
      <c r="B71" s="167" t="s">
        <v>172</v>
      </c>
      <c r="C71" s="54" t="s">
        <v>173</v>
      </c>
      <c r="D71" s="167">
        <v>0</v>
      </c>
      <c r="E71" s="54"/>
      <c r="F71" s="167"/>
      <c r="G71" s="54"/>
      <c r="H71" s="167"/>
      <c r="I71" s="54"/>
      <c r="J71" s="167"/>
      <c r="K71" s="54"/>
      <c r="L71" s="167"/>
      <c r="M71" s="477"/>
    </row>
    <row r="72" spans="1:13" s="478" customFormat="1" ht="24" x14ac:dyDescent="0.25">
      <c r="A72" s="877"/>
      <c r="B72" s="167" t="s">
        <v>178</v>
      </c>
      <c r="C72" s="54" t="s">
        <v>179</v>
      </c>
      <c r="D72" s="167">
        <v>0</v>
      </c>
      <c r="E72" s="167"/>
      <c r="F72" s="167"/>
      <c r="G72" s="167"/>
      <c r="H72" s="167"/>
      <c r="I72" s="167"/>
      <c r="J72" s="167"/>
      <c r="K72" s="167"/>
      <c r="L72" s="167"/>
      <c r="M72" s="477"/>
    </row>
    <row r="73" spans="1:13" s="478" customFormat="1" ht="24" x14ac:dyDescent="0.25">
      <c r="A73" s="876"/>
      <c r="B73" s="167" t="s">
        <v>180</v>
      </c>
      <c r="C73" s="54" t="s">
        <v>181</v>
      </c>
      <c r="D73" s="167">
        <v>0</v>
      </c>
      <c r="E73" s="167"/>
      <c r="F73" s="167"/>
      <c r="G73" s="167"/>
      <c r="H73" s="167"/>
      <c r="I73" s="167"/>
      <c r="J73" s="167"/>
      <c r="K73" s="167"/>
      <c r="L73" s="167"/>
      <c r="M73" s="477"/>
    </row>
    <row r="74" spans="1:13" s="478" customFormat="1" x14ac:dyDescent="0.25">
      <c r="A74" s="473">
        <v>64</v>
      </c>
      <c r="B74" s="270" t="s">
        <v>182</v>
      </c>
      <c r="C74" s="485" t="s">
        <v>183</v>
      </c>
      <c r="D74" s="482">
        <v>4072</v>
      </c>
      <c r="E74" s="482">
        <v>4072</v>
      </c>
      <c r="F74" s="473"/>
      <c r="G74" s="473"/>
      <c r="H74" s="473"/>
      <c r="I74" s="473"/>
      <c r="J74" s="473"/>
      <c r="K74" s="473"/>
      <c r="L74" s="473"/>
      <c r="M74" s="477"/>
    </row>
    <row r="75" spans="1:13" s="478" customFormat="1" x14ac:dyDescent="0.25">
      <c r="A75" s="473">
        <v>65</v>
      </c>
      <c r="B75" s="484" t="s">
        <v>184</v>
      </c>
      <c r="C75" s="485" t="s">
        <v>185</v>
      </c>
      <c r="D75" s="482">
        <v>7258</v>
      </c>
      <c r="E75" s="482">
        <v>6806</v>
      </c>
      <c r="F75" s="473"/>
      <c r="G75" s="473"/>
      <c r="H75" s="473"/>
      <c r="I75" s="473"/>
      <c r="J75" s="473"/>
      <c r="K75" s="473"/>
      <c r="L75" s="473">
        <v>452</v>
      </c>
      <c r="M75" s="477"/>
    </row>
    <row r="76" spans="1:13" s="478" customFormat="1" x14ac:dyDescent="0.25">
      <c r="A76" s="473">
        <v>66</v>
      </c>
      <c r="B76" s="484" t="s">
        <v>186</v>
      </c>
      <c r="C76" s="485" t="s">
        <v>187</v>
      </c>
      <c r="D76" s="482">
        <v>7006</v>
      </c>
      <c r="E76" s="482">
        <v>6759</v>
      </c>
      <c r="F76" s="473"/>
      <c r="G76" s="473"/>
      <c r="H76" s="473"/>
      <c r="I76" s="473"/>
      <c r="J76" s="473"/>
      <c r="K76" s="473"/>
      <c r="L76" s="473">
        <v>247</v>
      </c>
      <c r="M76" s="477"/>
    </row>
    <row r="77" spans="1:13" s="478" customFormat="1" ht="24" x14ac:dyDescent="0.25">
      <c r="A77" s="875">
        <v>67</v>
      </c>
      <c r="B77" s="728" t="s">
        <v>188</v>
      </c>
      <c r="C77" s="729" t="s">
        <v>778</v>
      </c>
      <c r="D77" s="728">
        <v>4125</v>
      </c>
      <c r="E77" s="728">
        <v>4125</v>
      </c>
      <c r="F77" s="728"/>
      <c r="G77" s="728"/>
      <c r="H77" s="728"/>
      <c r="I77" s="728"/>
      <c r="J77" s="728"/>
      <c r="K77" s="728"/>
      <c r="L77" s="728"/>
      <c r="M77" s="477"/>
    </row>
    <row r="78" spans="1:13" s="478" customFormat="1" x14ac:dyDescent="0.25">
      <c r="A78" s="876"/>
      <c r="B78" s="167" t="s">
        <v>156</v>
      </c>
      <c r="C78" s="167" t="s">
        <v>157</v>
      </c>
      <c r="D78" s="167">
        <v>527</v>
      </c>
      <c r="E78" s="167">
        <v>527</v>
      </c>
      <c r="F78" s="167"/>
      <c r="G78" s="167"/>
      <c r="H78" s="167"/>
      <c r="I78" s="167"/>
      <c r="J78" s="167"/>
      <c r="K78" s="167"/>
      <c r="L78" s="167"/>
      <c r="M78" s="477"/>
    </row>
    <row r="79" spans="1:13" s="478" customFormat="1" x14ac:dyDescent="0.25">
      <c r="A79" s="473">
        <v>68</v>
      </c>
      <c r="B79" s="270" t="s">
        <v>190</v>
      </c>
      <c r="C79" s="485" t="s">
        <v>191</v>
      </c>
      <c r="D79" s="482">
        <v>7565</v>
      </c>
      <c r="E79" s="482">
        <v>7032</v>
      </c>
      <c r="F79" s="473">
        <v>606</v>
      </c>
      <c r="G79" s="473"/>
      <c r="H79" s="473"/>
      <c r="I79" s="473"/>
      <c r="J79" s="473"/>
      <c r="K79" s="473"/>
      <c r="L79" s="473">
        <v>533</v>
      </c>
      <c r="M79" s="477"/>
    </row>
    <row r="80" spans="1:13" s="478" customFormat="1" ht="24" x14ac:dyDescent="0.25">
      <c r="A80" s="875">
        <v>69</v>
      </c>
      <c r="B80" s="728" t="s">
        <v>192</v>
      </c>
      <c r="C80" s="729" t="s">
        <v>780</v>
      </c>
      <c r="D80" s="728">
        <v>4162</v>
      </c>
      <c r="E80" s="728">
        <v>3934</v>
      </c>
      <c r="F80" s="728"/>
      <c r="G80" s="728"/>
      <c r="H80" s="728"/>
      <c r="I80" s="728"/>
      <c r="J80" s="728">
        <v>460</v>
      </c>
      <c r="K80" s="728"/>
      <c r="L80" s="728">
        <v>228</v>
      </c>
      <c r="M80" s="477"/>
    </row>
    <row r="81" spans="1:13" s="478" customFormat="1" x14ac:dyDescent="0.25">
      <c r="A81" s="876"/>
      <c r="B81" s="167" t="s">
        <v>152</v>
      </c>
      <c r="C81" s="167" t="s">
        <v>549</v>
      </c>
      <c r="D81" s="167">
        <v>666</v>
      </c>
      <c r="E81" s="167">
        <v>666</v>
      </c>
      <c r="F81" s="167"/>
      <c r="G81" s="167"/>
      <c r="H81" s="167"/>
      <c r="I81" s="167"/>
      <c r="J81" s="167"/>
      <c r="K81" s="167"/>
      <c r="L81" s="167"/>
      <c r="M81" s="477"/>
    </row>
    <row r="82" spans="1:13" s="478" customFormat="1" x14ac:dyDescent="0.25">
      <c r="A82" s="473">
        <v>70</v>
      </c>
      <c r="B82" s="270" t="s">
        <v>194</v>
      </c>
      <c r="C82" s="485" t="s">
        <v>195</v>
      </c>
      <c r="D82" s="482">
        <v>4728</v>
      </c>
      <c r="E82" s="482">
        <v>4728</v>
      </c>
      <c r="F82" s="473"/>
      <c r="G82" s="473"/>
      <c r="H82" s="473"/>
      <c r="I82" s="473"/>
      <c r="J82" s="473"/>
      <c r="K82" s="473"/>
      <c r="L82" s="473"/>
      <c r="M82" s="477"/>
    </row>
    <row r="83" spans="1:13" s="478" customFormat="1" x14ac:dyDescent="0.25">
      <c r="A83" s="473">
        <v>71</v>
      </c>
      <c r="B83" s="270" t="s">
        <v>196</v>
      </c>
      <c r="C83" s="485" t="s">
        <v>197</v>
      </c>
      <c r="D83" s="482">
        <v>820</v>
      </c>
      <c r="E83" s="482">
        <v>820</v>
      </c>
      <c r="F83" s="473"/>
      <c r="G83" s="473"/>
      <c r="H83" s="473"/>
      <c r="I83" s="473"/>
      <c r="J83" s="473"/>
      <c r="K83" s="473"/>
      <c r="L83" s="473"/>
      <c r="M83" s="477"/>
    </row>
    <row r="84" spans="1:13" s="478" customFormat="1" x14ac:dyDescent="0.25">
      <c r="A84" s="473">
        <v>72</v>
      </c>
      <c r="B84" s="527" t="s">
        <v>30</v>
      </c>
      <c r="C84" s="526" t="s">
        <v>198</v>
      </c>
      <c r="D84" s="482">
        <v>0</v>
      </c>
      <c r="E84" s="482"/>
      <c r="F84" s="473"/>
      <c r="G84" s="473"/>
      <c r="H84" s="473"/>
      <c r="I84" s="473"/>
      <c r="J84" s="473"/>
      <c r="K84" s="473"/>
      <c r="L84" s="473"/>
      <c r="M84" s="477"/>
    </row>
    <row r="85" spans="1:13" s="478" customFormat="1" ht="24" x14ac:dyDescent="0.25">
      <c r="A85" s="866">
        <v>73</v>
      </c>
      <c r="B85" s="869" t="s">
        <v>199</v>
      </c>
      <c r="C85" s="529" t="s">
        <v>200</v>
      </c>
      <c r="D85" s="482">
        <v>2913</v>
      </c>
      <c r="E85" s="482">
        <v>2913</v>
      </c>
      <c r="F85" s="473"/>
      <c r="G85" s="473"/>
      <c r="H85" s="473"/>
      <c r="I85" s="473"/>
      <c r="J85" s="473"/>
      <c r="K85" s="473"/>
      <c r="L85" s="473"/>
      <c r="M85" s="477"/>
    </row>
    <row r="86" spans="1:13" s="478" customFormat="1" ht="48" x14ac:dyDescent="0.25">
      <c r="A86" s="867"/>
      <c r="B86" s="870"/>
      <c r="C86" s="526" t="s">
        <v>201</v>
      </c>
      <c r="D86" s="482">
        <v>0</v>
      </c>
      <c r="E86" s="482"/>
      <c r="F86" s="473"/>
      <c r="G86" s="473"/>
      <c r="H86" s="473"/>
      <c r="I86" s="473"/>
      <c r="J86" s="473"/>
      <c r="K86" s="473"/>
      <c r="L86" s="473"/>
      <c r="M86" s="477"/>
    </row>
    <row r="87" spans="1:13" s="478" customFormat="1" ht="24" x14ac:dyDescent="0.25">
      <c r="A87" s="867"/>
      <c r="B87" s="870"/>
      <c r="C87" s="526" t="s">
        <v>202</v>
      </c>
      <c r="D87" s="482">
        <v>0</v>
      </c>
      <c r="E87" s="482"/>
      <c r="F87" s="473"/>
      <c r="G87" s="473"/>
      <c r="H87" s="473"/>
      <c r="I87" s="473"/>
      <c r="J87" s="473"/>
      <c r="K87" s="473"/>
      <c r="L87" s="473"/>
      <c r="M87" s="477"/>
    </row>
    <row r="88" spans="1:13" s="478" customFormat="1" ht="36" x14ac:dyDescent="0.25">
      <c r="A88" s="868"/>
      <c r="B88" s="871"/>
      <c r="C88" s="58" t="s">
        <v>203</v>
      </c>
      <c r="D88" s="482">
        <v>2913</v>
      </c>
      <c r="E88" s="482">
        <v>2913</v>
      </c>
      <c r="F88" s="473"/>
      <c r="G88" s="473"/>
      <c r="H88" s="473"/>
      <c r="I88" s="473"/>
      <c r="J88" s="473"/>
      <c r="K88" s="473"/>
      <c r="L88" s="473"/>
      <c r="M88" s="477"/>
    </row>
    <row r="89" spans="1:13" s="478" customFormat="1" ht="24" x14ac:dyDescent="0.25">
      <c r="A89" s="473">
        <v>74</v>
      </c>
      <c r="B89" s="527" t="s">
        <v>204</v>
      </c>
      <c r="C89" s="526" t="s">
        <v>205</v>
      </c>
      <c r="D89" s="482">
        <v>0</v>
      </c>
      <c r="E89" s="482"/>
      <c r="F89" s="473"/>
      <c r="G89" s="473"/>
      <c r="H89" s="473"/>
      <c r="I89" s="473"/>
      <c r="J89" s="473"/>
      <c r="K89" s="473"/>
      <c r="L89" s="473"/>
      <c r="M89" s="477"/>
    </row>
    <row r="90" spans="1:13" s="478" customFormat="1" x14ac:dyDescent="0.25">
      <c r="A90" s="473">
        <v>75</v>
      </c>
      <c r="B90" s="270" t="s">
        <v>206</v>
      </c>
      <c r="C90" s="485" t="s">
        <v>207</v>
      </c>
      <c r="D90" s="482">
        <v>193</v>
      </c>
      <c r="E90" s="482">
        <v>193</v>
      </c>
      <c r="F90" s="473"/>
      <c r="G90" s="473"/>
      <c r="H90" s="473"/>
      <c r="I90" s="473"/>
      <c r="J90" s="473"/>
      <c r="K90" s="473"/>
      <c r="L90" s="473"/>
      <c r="M90" s="477"/>
    </row>
    <row r="91" spans="1:13" s="478" customFormat="1" x14ac:dyDescent="0.25">
      <c r="A91" s="473">
        <v>76</v>
      </c>
      <c r="B91" s="484" t="s">
        <v>208</v>
      </c>
      <c r="C91" s="485" t="s">
        <v>209</v>
      </c>
      <c r="D91" s="482">
        <v>1745</v>
      </c>
      <c r="E91" s="482">
        <v>1329</v>
      </c>
      <c r="F91" s="473"/>
      <c r="G91" s="473"/>
      <c r="H91" s="473"/>
      <c r="I91" s="473"/>
      <c r="J91" s="473"/>
      <c r="K91" s="473"/>
      <c r="L91" s="473">
        <v>416</v>
      </c>
      <c r="M91" s="477"/>
    </row>
    <row r="92" spans="1:13" s="478" customFormat="1" x14ac:dyDescent="0.25">
      <c r="A92" s="473">
        <v>77</v>
      </c>
      <c r="B92" s="486" t="s">
        <v>210</v>
      </c>
      <c r="C92" s="487" t="s">
        <v>211</v>
      </c>
      <c r="D92" s="482">
        <v>681</v>
      </c>
      <c r="E92" s="482">
        <v>681</v>
      </c>
      <c r="F92" s="473"/>
      <c r="G92" s="473"/>
      <c r="H92" s="473"/>
      <c r="I92" s="473"/>
      <c r="J92" s="473"/>
      <c r="K92" s="473"/>
      <c r="L92" s="473"/>
      <c r="M92" s="477"/>
    </row>
    <row r="93" spans="1:13" s="478" customFormat="1" x14ac:dyDescent="0.25">
      <c r="A93" s="473">
        <v>78</v>
      </c>
      <c r="B93" s="270" t="s">
        <v>212</v>
      </c>
      <c r="C93" s="485" t="s">
        <v>213</v>
      </c>
      <c r="D93" s="482">
        <v>721</v>
      </c>
      <c r="E93" s="482">
        <v>721</v>
      </c>
      <c r="F93" s="473"/>
      <c r="G93" s="473"/>
      <c r="H93" s="473"/>
      <c r="I93" s="473"/>
      <c r="J93" s="473"/>
      <c r="K93" s="473"/>
      <c r="L93" s="473"/>
      <c r="M93" s="477"/>
    </row>
    <row r="94" spans="1:13" s="478" customFormat="1" x14ac:dyDescent="0.25">
      <c r="A94" s="473">
        <v>79</v>
      </c>
      <c r="B94" s="270" t="s">
        <v>214</v>
      </c>
      <c r="C94" s="485" t="s">
        <v>215</v>
      </c>
      <c r="D94" s="482">
        <v>2058</v>
      </c>
      <c r="E94" s="482">
        <v>2058</v>
      </c>
      <c r="F94" s="473"/>
      <c r="G94" s="473"/>
      <c r="H94" s="473"/>
      <c r="I94" s="473"/>
      <c r="J94" s="473"/>
      <c r="K94" s="473"/>
      <c r="L94" s="473"/>
      <c r="M94" s="477"/>
    </row>
    <row r="95" spans="1:13" s="478" customFormat="1" ht="13.5" customHeight="1" x14ac:dyDescent="0.25">
      <c r="A95" s="473">
        <v>80</v>
      </c>
      <c r="B95" s="486" t="s">
        <v>216</v>
      </c>
      <c r="C95" s="487" t="s">
        <v>217</v>
      </c>
      <c r="D95" s="482">
        <v>841</v>
      </c>
      <c r="E95" s="482">
        <v>841</v>
      </c>
      <c r="F95" s="473"/>
      <c r="G95" s="473"/>
      <c r="H95" s="473"/>
      <c r="I95" s="473"/>
      <c r="J95" s="473"/>
      <c r="K95" s="473"/>
      <c r="L95" s="473"/>
      <c r="M95" s="477"/>
    </row>
    <row r="96" spans="1:13" s="478" customFormat="1" x14ac:dyDescent="0.25">
      <c r="A96" s="473">
        <v>81</v>
      </c>
      <c r="B96" s="486" t="s">
        <v>218</v>
      </c>
      <c r="C96" s="487" t="s">
        <v>219</v>
      </c>
      <c r="D96" s="482">
        <v>2692</v>
      </c>
      <c r="E96" s="482">
        <v>2692</v>
      </c>
      <c r="F96" s="473"/>
      <c r="G96" s="473"/>
      <c r="H96" s="473"/>
      <c r="I96" s="473"/>
      <c r="J96" s="473"/>
      <c r="K96" s="473"/>
      <c r="L96" s="473"/>
      <c r="M96" s="477"/>
    </row>
    <row r="97" spans="1:13" s="478" customFormat="1" x14ac:dyDescent="0.25">
      <c r="A97" s="473">
        <v>82</v>
      </c>
      <c r="B97" s="270" t="s">
        <v>220</v>
      </c>
      <c r="C97" s="485" t="s">
        <v>221</v>
      </c>
      <c r="D97" s="482">
        <v>1922</v>
      </c>
      <c r="E97" s="482">
        <v>1922</v>
      </c>
      <c r="F97" s="473"/>
      <c r="G97" s="473"/>
      <c r="H97" s="473"/>
      <c r="I97" s="473"/>
      <c r="J97" s="473"/>
      <c r="K97" s="473"/>
      <c r="L97" s="473"/>
      <c r="M97" s="477"/>
    </row>
    <row r="98" spans="1:13" s="478" customFormat="1" ht="12" customHeight="1" x14ac:dyDescent="0.25">
      <c r="A98" s="473">
        <v>83</v>
      </c>
      <c r="B98" s="484" t="s">
        <v>222</v>
      </c>
      <c r="C98" s="485" t="s">
        <v>223</v>
      </c>
      <c r="D98" s="482">
        <v>653</v>
      </c>
      <c r="E98" s="482">
        <v>653</v>
      </c>
      <c r="F98" s="473"/>
      <c r="G98" s="473"/>
      <c r="H98" s="473"/>
      <c r="I98" s="473"/>
      <c r="J98" s="473"/>
      <c r="K98" s="473"/>
      <c r="L98" s="473"/>
      <c r="M98" s="477"/>
    </row>
    <row r="99" spans="1:13" s="478" customFormat="1" x14ac:dyDescent="0.25">
      <c r="A99" s="473">
        <v>84</v>
      </c>
      <c r="B99" s="270" t="s">
        <v>224</v>
      </c>
      <c r="C99" s="483" t="s">
        <v>225</v>
      </c>
      <c r="D99" s="482">
        <v>1029</v>
      </c>
      <c r="E99" s="482">
        <v>1029</v>
      </c>
      <c r="F99" s="473"/>
      <c r="G99" s="473"/>
      <c r="H99" s="473"/>
      <c r="I99" s="473"/>
      <c r="J99" s="473"/>
      <c r="K99" s="473"/>
      <c r="L99" s="473"/>
      <c r="M99" s="477"/>
    </row>
    <row r="100" spans="1:13" s="478" customFormat="1" x14ac:dyDescent="0.25">
      <c r="A100" s="473">
        <v>85</v>
      </c>
      <c r="B100" s="270" t="s">
        <v>226</v>
      </c>
      <c r="C100" s="487" t="s">
        <v>227</v>
      </c>
      <c r="D100" s="482">
        <v>979</v>
      </c>
      <c r="E100" s="482">
        <v>979</v>
      </c>
      <c r="F100" s="473"/>
      <c r="G100" s="473"/>
      <c r="H100" s="473"/>
      <c r="I100" s="473"/>
      <c r="J100" s="473"/>
      <c r="K100" s="473"/>
      <c r="L100" s="473"/>
      <c r="M100" s="477"/>
    </row>
    <row r="101" spans="1:13" s="478" customFormat="1" x14ac:dyDescent="0.25">
      <c r="A101" s="473">
        <v>86</v>
      </c>
      <c r="B101" s="484" t="s">
        <v>32</v>
      </c>
      <c r="C101" s="485" t="s">
        <v>33</v>
      </c>
      <c r="D101" s="482">
        <v>1813</v>
      </c>
      <c r="E101" s="482">
        <v>1413</v>
      </c>
      <c r="F101" s="473"/>
      <c r="G101" s="473"/>
      <c r="H101" s="473">
        <v>174</v>
      </c>
      <c r="I101" s="473"/>
      <c r="J101" s="473">
        <v>30</v>
      </c>
      <c r="K101" s="473"/>
      <c r="L101" s="473">
        <v>400</v>
      </c>
      <c r="M101" s="477"/>
    </row>
    <row r="102" spans="1:13" s="478" customFormat="1" x14ac:dyDescent="0.25">
      <c r="A102" s="473">
        <v>87</v>
      </c>
      <c r="B102" s="270" t="s">
        <v>228</v>
      </c>
      <c r="C102" s="492" t="s">
        <v>229</v>
      </c>
      <c r="D102" s="482">
        <v>753</v>
      </c>
      <c r="E102" s="482">
        <v>753</v>
      </c>
      <c r="F102" s="473"/>
      <c r="G102" s="473"/>
      <c r="H102" s="473"/>
      <c r="I102" s="473"/>
      <c r="J102" s="473"/>
      <c r="K102" s="473"/>
      <c r="L102" s="473"/>
      <c r="M102" s="477"/>
    </row>
    <row r="103" spans="1:13" s="478" customFormat="1" x14ac:dyDescent="0.25">
      <c r="A103" s="473">
        <v>88</v>
      </c>
      <c r="B103" s="484" t="s">
        <v>230</v>
      </c>
      <c r="C103" s="485" t="s">
        <v>231</v>
      </c>
      <c r="D103" s="482">
        <v>1959</v>
      </c>
      <c r="E103" s="482">
        <v>1959</v>
      </c>
      <c r="F103" s="473"/>
      <c r="G103" s="473"/>
      <c r="H103" s="473"/>
      <c r="I103" s="473"/>
      <c r="J103" s="473"/>
      <c r="K103" s="473"/>
      <c r="L103" s="473"/>
      <c r="M103" s="477"/>
    </row>
    <row r="104" spans="1:13" s="478" customFormat="1" x14ac:dyDescent="0.25">
      <c r="A104" s="473">
        <v>89</v>
      </c>
      <c r="B104" s="484">
        <v>20251</v>
      </c>
      <c r="C104" s="485" t="s">
        <v>727</v>
      </c>
      <c r="D104" s="482">
        <v>69</v>
      </c>
      <c r="E104" s="482">
        <v>69</v>
      </c>
      <c r="F104" s="473"/>
      <c r="G104" s="473"/>
      <c r="H104" s="473"/>
      <c r="I104" s="473">
        <v>69</v>
      </c>
      <c r="J104" s="473"/>
      <c r="K104" s="473"/>
      <c r="L104" s="473"/>
      <c r="M104" s="477"/>
    </row>
    <row r="105" spans="1:13" s="478" customFormat="1" x14ac:dyDescent="0.25">
      <c r="A105" s="473">
        <v>90</v>
      </c>
      <c r="B105" s="270" t="s">
        <v>234</v>
      </c>
      <c r="C105" s="483" t="s">
        <v>235</v>
      </c>
      <c r="D105" s="482">
        <v>950</v>
      </c>
      <c r="E105" s="482">
        <v>950</v>
      </c>
      <c r="F105" s="473"/>
      <c r="G105" s="473">
        <v>950</v>
      </c>
      <c r="H105" s="473"/>
      <c r="I105" s="473"/>
      <c r="J105" s="473"/>
      <c r="K105" s="473"/>
      <c r="L105" s="473"/>
      <c r="M105" s="477"/>
    </row>
    <row r="106" spans="1:13" s="478" customFormat="1" x14ac:dyDescent="0.25">
      <c r="A106" s="473">
        <v>91</v>
      </c>
      <c r="B106" s="525" t="s">
        <v>236</v>
      </c>
      <c r="C106" s="526" t="s">
        <v>237</v>
      </c>
      <c r="D106" s="482">
        <v>0</v>
      </c>
      <c r="E106" s="482"/>
      <c r="F106" s="473"/>
      <c r="G106" s="473"/>
      <c r="H106" s="473"/>
      <c r="I106" s="473"/>
      <c r="J106" s="473"/>
      <c r="K106" s="473"/>
      <c r="L106" s="473"/>
      <c r="M106" s="477"/>
    </row>
    <row r="107" spans="1:13" s="478" customFormat="1" x14ac:dyDescent="0.25">
      <c r="A107" s="473">
        <v>92</v>
      </c>
      <c r="B107" s="486" t="s">
        <v>238</v>
      </c>
      <c r="C107" s="487" t="s">
        <v>239</v>
      </c>
      <c r="D107" s="482">
        <v>5</v>
      </c>
      <c r="E107" s="482">
        <v>5</v>
      </c>
      <c r="F107" s="473"/>
      <c r="G107" s="473"/>
      <c r="H107" s="473"/>
      <c r="I107" s="473"/>
      <c r="J107" s="473"/>
      <c r="K107" s="473"/>
      <c r="L107" s="473"/>
      <c r="M107" s="477"/>
    </row>
    <row r="108" spans="1:13" s="478" customFormat="1" ht="24" customHeight="1" x14ac:dyDescent="0.25">
      <c r="A108" s="473">
        <v>93</v>
      </c>
      <c r="B108" s="270" t="s">
        <v>240</v>
      </c>
      <c r="C108" s="483" t="s">
        <v>241</v>
      </c>
      <c r="D108" s="482">
        <v>5</v>
      </c>
      <c r="E108" s="482">
        <v>5</v>
      </c>
      <c r="F108" s="473"/>
      <c r="G108" s="473"/>
      <c r="H108" s="473"/>
      <c r="I108" s="473"/>
      <c r="J108" s="473"/>
      <c r="K108" s="473"/>
      <c r="L108" s="473"/>
      <c r="M108" s="477"/>
    </row>
    <row r="109" spans="1:13" s="478" customFormat="1" ht="24" customHeight="1" x14ac:dyDescent="0.25">
      <c r="A109" s="473">
        <v>94</v>
      </c>
      <c r="B109" s="525" t="s">
        <v>242</v>
      </c>
      <c r="C109" s="526" t="s">
        <v>243</v>
      </c>
      <c r="D109" s="482">
        <v>0</v>
      </c>
      <c r="E109" s="482"/>
      <c r="F109" s="473"/>
      <c r="G109" s="473"/>
      <c r="H109" s="473"/>
      <c r="I109" s="473"/>
      <c r="J109" s="473"/>
      <c r="K109" s="473"/>
      <c r="L109" s="473"/>
      <c r="M109" s="477"/>
    </row>
    <row r="110" spans="1:13" s="478" customFormat="1" x14ac:dyDescent="0.25">
      <c r="A110" s="473">
        <v>95</v>
      </c>
      <c r="B110" s="484" t="s">
        <v>244</v>
      </c>
      <c r="C110" s="485" t="s">
        <v>245</v>
      </c>
      <c r="D110" s="482">
        <v>652</v>
      </c>
      <c r="E110" s="482">
        <v>652</v>
      </c>
      <c r="F110" s="473"/>
      <c r="G110" s="473"/>
      <c r="H110" s="473"/>
      <c r="I110" s="473">
        <v>652</v>
      </c>
      <c r="J110" s="473"/>
      <c r="K110" s="473"/>
      <c r="L110" s="473"/>
      <c r="M110" s="477"/>
    </row>
    <row r="111" spans="1:13" s="478" customFormat="1" x14ac:dyDescent="0.25">
      <c r="A111" s="473">
        <v>96</v>
      </c>
      <c r="B111" s="530" t="s">
        <v>246</v>
      </c>
      <c r="C111" s="531" t="s">
        <v>247</v>
      </c>
      <c r="D111" s="482">
        <v>0</v>
      </c>
      <c r="E111" s="482"/>
      <c r="F111" s="473"/>
      <c r="G111" s="473"/>
      <c r="H111" s="473"/>
      <c r="I111" s="473"/>
      <c r="J111" s="473"/>
      <c r="K111" s="473"/>
      <c r="L111" s="473"/>
      <c r="M111" s="477"/>
    </row>
    <row r="112" spans="1:13" s="478" customFormat="1" x14ac:dyDescent="0.25">
      <c r="A112" s="473">
        <v>97</v>
      </c>
      <c r="B112" s="270" t="s">
        <v>248</v>
      </c>
      <c r="C112" s="483" t="s">
        <v>249</v>
      </c>
      <c r="D112" s="482">
        <v>336</v>
      </c>
      <c r="E112" s="482">
        <v>336</v>
      </c>
      <c r="F112" s="473">
        <v>56</v>
      </c>
      <c r="G112" s="473">
        <v>280</v>
      </c>
      <c r="H112" s="473"/>
      <c r="I112" s="473"/>
      <c r="J112" s="473"/>
      <c r="K112" s="473"/>
      <c r="L112" s="473"/>
      <c r="M112" s="477"/>
    </row>
    <row r="113" spans="1:13" s="478" customFormat="1" x14ac:dyDescent="0.25">
      <c r="A113" s="473">
        <v>98</v>
      </c>
      <c r="B113" s="525" t="s">
        <v>250</v>
      </c>
      <c r="C113" s="526" t="s">
        <v>251</v>
      </c>
      <c r="D113" s="482">
        <v>0</v>
      </c>
      <c r="E113" s="482"/>
      <c r="F113" s="473"/>
      <c r="G113" s="473"/>
      <c r="H113" s="473"/>
      <c r="I113" s="473"/>
      <c r="J113" s="473"/>
      <c r="K113" s="473"/>
      <c r="L113" s="473"/>
      <c r="M113" s="477"/>
    </row>
    <row r="114" spans="1:13" s="478" customFormat="1" x14ac:dyDescent="0.25">
      <c r="A114" s="473">
        <v>99</v>
      </c>
      <c r="B114" s="270" t="s">
        <v>252</v>
      </c>
      <c r="C114" s="483" t="s">
        <v>253</v>
      </c>
      <c r="D114" s="482">
        <v>125</v>
      </c>
      <c r="E114" s="482">
        <v>125</v>
      </c>
      <c r="F114" s="473"/>
      <c r="G114" s="473">
        <v>125</v>
      </c>
      <c r="H114" s="473"/>
      <c r="I114" s="473"/>
      <c r="J114" s="473"/>
      <c r="K114" s="473"/>
      <c r="L114" s="473"/>
      <c r="M114" s="477"/>
    </row>
    <row r="115" spans="1:13" s="478" customFormat="1" ht="15.75" customHeight="1" x14ac:dyDescent="0.25">
      <c r="A115" s="473">
        <v>100</v>
      </c>
      <c r="B115" s="484" t="s">
        <v>254</v>
      </c>
      <c r="C115" s="272" t="s">
        <v>255</v>
      </c>
      <c r="D115" s="482">
        <v>5</v>
      </c>
      <c r="E115" s="482">
        <v>5</v>
      </c>
      <c r="F115" s="473"/>
      <c r="G115" s="473"/>
      <c r="H115" s="473"/>
      <c r="I115" s="473"/>
      <c r="J115" s="473"/>
      <c r="K115" s="473"/>
      <c r="L115" s="473"/>
      <c r="M115" s="477"/>
    </row>
    <row r="116" spans="1:13" s="478" customFormat="1" x14ac:dyDescent="0.25">
      <c r="A116" s="473">
        <v>101</v>
      </c>
      <c r="B116" s="484" t="s">
        <v>256</v>
      </c>
      <c r="C116" s="485" t="s">
        <v>257</v>
      </c>
      <c r="D116" s="482">
        <v>5</v>
      </c>
      <c r="E116" s="482">
        <v>5</v>
      </c>
      <c r="F116" s="473"/>
      <c r="G116" s="473"/>
      <c r="H116" s="473"/>
      <c r="I116" s="473"/>
      <c r="J116" s="473"/>
      <c r="K116" s="473"/>
      <c r="L116" s="473"/>
      <c r="M116" s="477"/>
    </row>
    <row r="117" spans="1:13" s="478" customFormat="1" x14ac:dyDescent="0.25">
      <c r="A117" s="473">
        <v>102</v>
      </c>
      <c r="B117" s="528" t="s">
        <v>258</v>
      </c>
      <c r="C117" s="526" t="s">
        <v>259</v>
      </c>
      <c r="D117" s="482">
        <v>0</v>
      </c>
      <c r="E117" s="482"/>
      <c r="F117" s="473"/>
      <c r="G117" s="473"/>
      <c r="H117" s="473"/>
      <c r="I117" s="473"/>
      <c r="J117" s="473"/>
      <c r="K117" s="473"/>
      <c r="L117" s="473"/>
      <c r="M117" s="477"/>
    </row>
    <row r="118" spans="1:13" s="478" customFormat="1" x14ac:dyDescent="0.25">
      <c r="A118" s="473">
        <v>103</v>
      </c>
      <c r="B118" s="496" t="s">
        <v>543</v>
      </c>
      <c r="C118" s="531" t="s">
        <v>544</v>
      </c>
      <c r="D118" s="482">
        <v>0</v>
      </c>
      <c r="E118" s="482"/>
      <c r="F118" s="473"/>
      <c r="G118" s="473"/>
      <c r="H118" s="473"/>
      <c r="I118" s="473"/>
      <c r="J118" s="473"/>
      <c r="K118" s="473"/>
      <c r="L118" s="473"/>
      <c r="M118" s="477"/>
    </row>
    <row r="119" spans="1:13" s="478" customFormat="1" x14ac:dyDescent="0.25">
      <c r="A119" s="473">
        <v>104</v>
      </c>
      <c r="B119" s="493" t="s">
        <v>260</v>
      </c>
      <c r="C119" s="272" t="s">
        <v>261</v>
      </c>
      <c r="D119" s="482">
        <v>375</v>
      </c>
      <c r="E119" s="482">
        <v>375</v>
      </c>
      <c r="F119" s="473"/>
      <c r="G119" s="473">
        <v>375</v>
      </c>
      <c r="H119" s="473"/>
      <c r="I119" s="473"/>
      <c r="J119" s="473"/>
      <c r="K119" s="473"/>
      <c r="L119" s="473"/>
      <c r="M119" s="477"/>
    </row>
    <row r="120" spans="1:13" s="478" customFormat="1" x14ac:dyDescent="0.25">
      <c r="A120" s="473">
        <v>105</v>
      </c>
      <c r="B120" s="525" t="s">
        <v>262</v>
      </c>
      <c r="C120" s="526" t="s">
        <v>263</v>
      </c>
      <c r="D120" s="482">
        <v>0</v>
      </c>
      <c r="E120" s="482"/>
      <c r="F120" s="473"/>
      <c r="G120" s="473"/>
      <c r="H120" s="473"/>
      <c r="I120" s="473"/>
      <c r="J120" s="473"/>
      <c r="K120" s="473"/>
      <c r="L120" s="473"/>
      <c r="M120" s="477"/>
    </row>
    <row r="121" spans="1:13" s="478" customFormat="1" ht="25.5" customHeight="1" x14ac:dyDescent="0.25">
      <c r="A121" s="473">
        <v>106</v>
      </c>
      <c r="B121" s="484" t="s">
        <v>264</v>
      </c>
      <c r="C121" s="485" t="s">
        <v>265</v>
      </c>
      <c r="D121" s="482">
        <v>4</v>
      </c>
      <c r="E121" s="482">
        <v>4</v>
      </c>
      <c r="F121" s="473"/>
      <c r="G121" s="473"/>
      <c r="H121" s="473"/>
      <c r="I121" s="473"/>
      <c r="J121" s="473"/>
      <c r="K121" s="473"/>
      <c r="L121" s="473"/>
      <c r="M121" s="477"/>
    </row>
    <row r="122" spans="1:13" s="478" customFormat="1" ht="14.25" customHeight="1" x14ac:dyDescent="0.25">
      <c r="A122" s="473">
        <v>107</v>
      </c>
      <c r="B122" s="270" t="s">
        <v>266</v>
      </c>
      <c r="C122" s="485" t="s">
        <v>267</v>
      </c>
      <c r="D122" s="482">
        <v>2350</v>
      </c>
      <c r="E122" s="482">
        <v>2350</v>
      </c>
      <c r="F122" s="473">
        <v>350</v>
      </c>
      <c r="G122" s="473"/>
      <c r="H122" s="473"/>
      <c r="I122" s="473">
        <v>20</v>
      </c>
      <c r="J122" s="473"/>
      <c r="K122" s="473"/>
      <c r="L122" s="473"/>
      <c r="M122" s="477"/>
    </row>
    <row r="123" spans="1:13" s="478" customFormat="1" x14ac:dyDescent="0.25">
      <c r="A123" s="473">
        <v>108</v>
      </c>
      <c r="B123" s="484" t="s">
        <v>268</v>
      </c>
      <c r="C123" s="485" t="s">
        <v>269</v>
      </c>
      <c r="D123" s="482">
        <v>51477</v>
      </c>
      <c r="E123" s="482">
        <v>51368</v>
      </c>
      <c r="F123" s="473">
        <v>51288</v>
      </c>
      <c r="G123" s="473"/>
      <c r="H123" s="473"/>
      <c r="I123" s="473"/>
      <c r="J123" s="473"/>
      <c r="K123" s="473">
        <v>109</v>
      </c>
      <c r="L123" s="473"/>
      <c r="M123" s="477"/>
    </row>
    <row r="124" spans="1:13" s="478" customFormat="1" ht="13.5" customHeight="1" x14ac:dyDescent="0.25">
      <c r="A124" s="473">
        <v>109</v>
      </c>
      <c r="B124" s="484" t="s">
        <v>270</v>
      </c>
      <c r="C124" s="485" t="s">
        <v>271</v>
      </c>
      <c r="D124" s="482">
        <v>930</v>
      </c>
      <c r="E124" s="482">
        <v>930</v>
      </c>
      <c r="F124" s="473"/>
      <c r="G124" s="473"/>
      <c r="H124" s="473"/>
      <c r="I124" s="473"/>
      <c r="J124" s="473"/>
      <c r="K124" s="473"/>
      <c r="L124" s="473"/>
      <c r="M124" s="477"/>
    </row>
    <row r="125" spans="1:13" s="478" customFormat="1" x14ac:dyDescent="0.25">
      <c r="A125" s="473">
        <v>110</v>
      </c>
      <c r="B125" s="270" t="s">
        <v>272</v>
      </c>
      <c r="C125" s="485" t="s">
        <v>273</v>
      </c>
      <c r="D125" s="482">
        <v>4619</v>
      </c>
      <c r="E125" s="482">
        <v>4119</v>
      </c>
      <c r="F125" s="473">
        <v>323</v>
      </c>
      <c r="G125" s="473"/>
      <c r="H125" s="473"/>
      <c r="I125" s="473"/>
      <c r="J125" s="473">
        <v>200</v>
      </c>
      <c r="K125" s="473"/>
      <c r="L125" s="473">
        <v>500</v>
      </c>
      <c r="M125" s="477"/>
    </row>
    <row r="126" spans="1:13" s="478" customFormat="1" x14ac:dyDescent="0.25">
      <c r="A126" s="473">
        <v>111</v>
      </c>
      <c r="B126" s="484" t="s">
        <v>274</v>
      </c>
      <c r="C126" s="485" t="s">
        <v>275</v>
      </c>
      <c r="D126" s="482">
        <v>2167</v>
      </c>
      <c r="E126" s="482">
        <v>2167</v>
      </c>
      <c r="F126" s="473"/>
      <c r="G126" s="473"/>
      <c r="H126" s="473"/>
      <c r="I126" s="473"/>
      <c r="J126" s="473"/>
      <c r="K126" s="473"/>
      <c r="L126" s="473"/>
      <c r="M126" s="477"/>
    </row>
    <row r="127" spans="1:13" s="478" customFormat="1" ht="12.75" customHeight="1" x14ac:dyDescent="0.25">
      <c r="A127" s="473">
        <v>112</v>
      </c>
      <c r="B127" s="270" t="s">
        <v>276</v>
      </c>
      <c r="C127" s="483" t="s">
        <v>277</v>
      </c>
      <c r="D127" s="482">
        <v>3043</v>
      </c>
      <c r="E127" s="482">
        <v>3043</v>
      </c>
      <c r="F127" s="473"/>
      <c r="G127" s="473"/>
      <c r="H127" s="473"/>
      <c r="I127" s="473"/>
      <c r="J127" s="473">
        <v>300</v>
      </c>
      <c r="K127" s="473"/>
      <c r="L127" s="473"/>
      <c r="M127" s="477"/>
    </row>
    <row r="128" spans="1:13" s="478" customFormat="1" x14ac:dyDescent="0.25">
      <c r="A128" s="473">
        <v>113</v>
      </c>
      <c r="B128" s="270" t="s">
        <v>278</v>
      </c>
      <c r="C128" s="483" t="s">
        <v>279</v>
      </c>
      <c r="D128" s="482">
        <v>2741</v>
      </c>
      <c r="E128" s="482">
        <v>2741</v>
      </c>
      <c r="F128" s="473"/>
      <c r="G128" s="473">
        <v>1112</v>
      </c>
      <c r="H128" s="473"/>
      <c r="I128" s="473"/>
      <c r="J128" s="473"/>
      <c r="K128" s="473"/>
      <c r="L128" s="473"/>
      <c r="M128" s="477"/>
    </row>
    <row r="129" spans="1:13" s="478" customFormat="1" x14ac:dyDescent="0.25">
      <c r="A129" s="473">
        <v>114</v>
      </c>
      <c r="B129" s="484" t="s">
        <v>280</v>
      </c>
      <c r="C129" s="485" t="s">
        <v>281</v>
      </c>
      <c r="D129" s="482">
        <v>2572</v>
      </c>
      <c r="E129" s="482">
        <v>0</v>
      </c>
      <c r="F129" s="473"/>
      <c r="G129" s="473"/>
      <c r="H129" s="473"/>
      <c r="I129" s="473"/>
      <c r="J129" s="473"/>
      <c r="K129" s="473"/>
      <c r="L129" s="473">
        <v>2572</v>
      </c>
      <c r="M129" s="477"/>
    </row>
    <row r="130" spans="1:13" s="478" customFormat="1" x14ac:dyDescent="0.25">
      <c r="A130" s="473">
        <v>115</v>
      </c>
      <c r="B130" s="484" t="s">
        <v>282</v>
      </c>
      <c r="C130" s="485" t="s">
        <v>772</v>
      </c>
      <c r="D130" s="482">
        <v>2602</v>
      </c>
      <c r="E130" s="482">
        <v>852</v>
      </c>
      <c r="F130" s="473"/>
      <c r="G130" s="473"/>
      <c r="H130" s="473"/>
      <c r="I130" s="473"/>
      <c r="J130" s="473"/>
      <c r="K130" s="473"/>
      <c r="L130" s="473">
        <v>1750</v>
      </c>
      <c r="M130" s="477"/>
    </row>
    <row r="131" spans="1:13" s="478" customFormat="1" ht="13.5" customHeight="1" x14ac:dyDescent="0.25">
      <c r="A131" s="473">
        <v>116</v>
      </c>
      <c r="B131" s="484" t="s">
        <v>283</v>
      </c>
      <c r="C131" s="485" t="s">
        <v>284</v>
      </c>
      <c r="D131" s="482">
        <v>2340</v>
      </c>
      <c r="E131" s="482">
        <v>2340</v>
      </c>
      <c r="F131" s="473"/>
      <c r="G131" s="494"/>
      <c r="H131" s="495"/>
      <c r="I131" s="495"/>
      <c r="J131" s="473"/>
      <c r="K131" s="473"/>
      <c r="L131" s="473"/>
      <c r="M131" s="477"/>
    </row>
    <row r="132" spans="1:13" s="478" customFormat="1" ht="24" x14ac:dyDescent="0.25">
      <c r="A132" s="473">
        <v>117</v>
      </c>
      <c r="B132" s="484" t="s">
        <v>285</v>
      </c>
      <c r="C132" s="526" t="s">
        <v>728</v>
      </c>
      <c r="D132" s="482">
        <v>4536</v>
      </c>
      <c r="E132" s="482">
        <v>4092</v>
      </c>
      <c r="F132" s="473"/>
      <c r="G132" s="473"/>
      <c r="H132" s="473"/>
      <c r="I132" s="473"/>
      <c r="J132" s="473"/>
      <c r="K132" s="473"/>
      <c r="L132" s="473">
        <v>444</v>
      </c>
      <c r="M132" s="477"/>
    </row>
    <row r="133" spans="1:13" s="478" customFormat="1" x14ac:dyDescent="0.25">
      <c r="A133" s="473">
        <v>118</v>
      </c>
      <c r="B133" s="484" t="s">
        <v>286</v>
      </c>
      <c r="C133" s="485" t="s">
        <v>287</v>
      </c>
      <c r="D133" s="482">
        <v>3501</v>
      </c>
      <c r="E133" s="482">
        <v>3501</v>
      </c>
      <c r="F133" s="473"/>
      <c r="G133" s="473"/>
      <c r="H133" s="473">
        <v>3461</v>
      </c>
      <c r="I133" s="473"/>
      <c r="J133" s="473"/>
      <c r="K133" s="473"/>
      <c r="L133" s="473"/>
      <c r="M133" s="477"/>
    </row>
    <row r="134" spans="1:13" s="478" customFormat="1" x14ac:dyDescent="0.25">
      <c r="A134" s="473">
        <v>119</v>
      </c>
      <c r="B134" s="528" t="s">
        <v>288</v>
      </c>
      <c r="C134" s="526" t="s">
        <v>289</v>
      </c>
      <c r="D134" s="482">
        <v>0</v>
      </c>
      <c r="E134" s="482"/>
      <c r="F134" s="473"/>
      <c r="G134" s="473"/>
      <c r="H134" s="473"/>
      <c r="I134" s="473"/>
      <c r="J134" s="473"/>
      <c r="K134" s="473"/>
      <c r="L134" s="473"/>
      <c r="M134" s="477"/>
    </row>
    <row r="135" spans="1:13" s="478" customFormat="1" ht="13.5" customHeight="1" x14ac:dyDescent="0.25">
      <c r="A135" s="473">
        <v>120</v>
      </c>
      <c r="B135" s="484" t="s">
        <v>290</v>
      </c>
      <c r="C135" s="485" t="s">
        <v>291</v>
      </c>
      <c r="D135" s="482">
        <v>2110</v>
      </c>
      <c r="E135" s="482">
        <v>2000</v>
      </c>
      <c r="F135" s="473">
        <v>2000</v>
      </c>
      <c r="G135" s="473"/>
      <c r="H135" s="473"/>
      <c r="I135" s="473"/>
      <c r="J135" s="473"/>
      <c r="K135" s="473">
        <v>110</v>
      </c>
      <c r="L135" s="473"/>
      <c r="M135" s="477"/>
    </row>
    <row r="136" spans="1:13" s="478" customFormat="1" ht="13.5" customHeight="1" x14ac:dyDescent="0.25">
      <c r="A136" s="473">
        <v>121</v>
      </c>
      <c r="B136" s="532" t="s">
        <v>292</v>
      </c>
      <c r="C136" s="533" t="s">
        <v>293</v>
      </c>
      <c r="D136" s="482">
        <v>0</v>
      </c>
      <c r="E136" s="482"/>
      <c r="F136" s="473"/>
      <c r="G136" s="473"/>
      <c r="H136" s="473"/>
      <c r="I136" s="473"/>
      <c r="J136" s="473"/>
      <c r="K136" s="473"/>
      <c r="L136" s="473"/>
      <c r="M136" s="477"/>
    </row>
    <row r="137" spans="1:13" s="478" customFormat="1" ht="13.5" customHeight="1" x14ac:dyDescent="0.25">
      <c r="A137" s="473">
        <v>122</v>
      </c>
      <c r="B137" s="534" t="s">
        <v>294</v>
      </c>
      <c r="C137" s="535" t="s">
        <v>295</v>
      </c>
      <c r="D137" s="482">
        <v>0</v>
      </c>
      <c r="E137" s="482"/>
      <c r="F137" s="473"/>
      <c r="G137" s="473"/>
      <c r="H137" s="473"/>
      <c r="I137" s="473"/>
      <c r="J137" s="473"/>
      <c r="K137" s="473"/>
      <c r="L137" s="473"/>
      <c r="M137" s="477"/>
    </row>
    <row r="138" spans="1:13" s="478" customFormat="1" ht="13.5" customHeight="1" x14ac:dyDescent="0.2">
      <c r="A138" s="473">
        <v>123</v>
      </c>
      <c r="B138" s="536" t="s">
        <v>296</v>
      </c>
      <c r="C138" s="537" t="s">
        <v>461</v>
      </c>
      <c r="D138" s="482">
        <v>0</v>
      </c>
      <c r="E138" s="482"/>
      <c r="F138" s="473"/>
      <c r="G138" s="473"/>
      <c r="H138" s="473"/>
      <c r="I138" s="473"/>
      <c r="J138" s="473"/>
      <c r="K138" s="473"/>
      <c r="L138" s="473"/>
      <c r="M138" s="477"/>
    </row>
    <row r="139" spans="1:13" s="478" customFormat="1" ht="13.5" customHeight="1" x14ac:dyDescent="0.25">
      <c r="A139" s="473">
        <v>124</v>
      </c>
      <c r="B139" s="538" t="s">
        <v>298</v>
      </c>
      <c r="C139" s="497" t="s">
        <v>299</v>
      </c>
      <c r="D139" s="482">
        <v>0</v>
      </c>
      <c r="E139" s="482"/>
      <c r="F139" s="473"/>
      <c r="G139" s="473"/>
      <c r="H139" s="473"/>
      <c r="I139" s="473"/>
      <c r="J139" s="473"/>
      <c r="K139" s="473"/>
      <c r="L139" s="473"/>
      <c r="M139" s="477"/>
    </row>
    <row r="140" spans="1:13" s="478" customFormat="1" ht="13.5" customHeight="1" x14ac:dyDescent="0.25">
      <c r="A140" s="473">
        <v>125</v>
      </c>
      <c r="B140" s="496" t="s">
        <v>300</v>
      </c>
      <c r="C140" s="497" t="s">
        <v>301</v>
      </c>
      <c r="D140" s="482">
        <v>0</v>
      </c>
      <c r="E140" s="482"/>
      <c r="F140" s="473"/>
      <c r="G140" s="473"/>
      <c r="H140" s="473"/>
      <c r="I140" s="473"/>
      <c r="J140" s="473"/>
      <c r="K140" s="473"/>
      <c r="L140" s="473"/>
      <c r="M140" s="477"/>
    </row>
    <row r="141" spans="1:13" s="478" customFormat="1" ht="13.5" customHeight="1" x14ac:dyDescent="0.25">
      <c r="A141" s="473">
        <v>126</v>
      </c>
      <c r="B141" s="496" t="s">
        <v>302</v>
      </c>
      <c r="C141" s="497" t="s">
        <v>303</v>
      </c>
      <c r="D141" s="482">
        <v>81</v>
      </c>
      <c r="E141" s="482">
        <v>81</v>
      </c>
      <c r="F141" s="473"/>
      <c r="G141" s="473"/>
      <c r="H141" s="473">
        <v>81</v>
      </c>
      <c r="I141" s="473"/>
      <c r="J141" s="473"/>
      <c r="K141" s="473"/>
      <c r="L141" s="473"/>
      <c r="M141" s="477"/>
    </row>
    <row r="142" spans="1:13" s="478" customFormat="1" ht="13.5" customHeight="1" x14ac:dyDescent="0.25">
      <c r="A142" s="473">
        <v>127</v>
      </c>
      <c r="B142" s="496" t="s">
        <v>304</v>
      </c>
      <c r="C142" s="498" t="s">
        <v>305</v>
      </c>
      <c r="D142" s="482">
        <v>4</v>
      </c>
      <c r="E142" s="482">
        <v>4</v>
      </c>
      <c r="F142" s="473"/>
      <c r="G142" s="473"/>
      <c r="H142" s="473"/>
      <c r="I142" s="473"/>
      <c r="J142" s="473"/>
      <c r="K142" s="473"/>
      <c r="L142" s="473"/>
      <c r="M142" s="477"/>
    </row>
    <row r="143" spans="1:13" s="274" customFormat="1" ht="12.75" x14ac:dyDescent="0.25">
      <c r="A143" s="473"/>
      <c r="B143" s="273"/>
      <c r="C143" s="499" t="s">
        <v>15</v>
      </c>
      <c r="D143" s="472">
        <f>SUM(D5:D142)-D85-D30-D68-D69-D71-D72-D73-D78-D81</f>
        <v>271638</v>
      </c>
      <c r="E143" s="472">
        <f t="shared" ref="E143:J143" si="0">SUM(E5:E142)-E85-E30-E68-E69-E71-E72-E73-E78-E81</f>
        <v>260628</v>
      </c>
      <c r="F143" s="472">
        <f t="shared" si="0"/>
        <v>54623</v>
      </c>
      <c r="G143" s="472">
        <f t="shared" si="0"/>
        <v>2842</v>
      </c>
      <c r="H143" s="472">
        <f t="shared" si="0"/>
        <v>4941</v>
      </c>
      <c r="I143" s="472">
        <f t="shared" si="0"/>
        <v>868</v>
      </c>
      <c r="J143" s="472">
        <f t="shared" si="0"/>
        <v>1500</v>
      </c>
      <c r="K143" s="472">
        <f t="shared" ref="K143:L143" si="1">SUM(K5:K142)-K85-K30-K68-K69-K71-K72-K73-K78-K81</f>
        <v>219</v>
      </c>
      <c r="L143" s="472">
        <f t="shared" si="1"/>
        <v>10791</v>
      </c>
    </row>
    <row r="144" spans="1:13" s="274" customFormat="1" ht="24" x14ac:dyDescent="0.25">
      <c r="A144" s="275"/>
      <c r="B144" s="273"/>
      <c r="C144" s="276" t="s">
        <v>14</v>
      </c>
      <c r="D144" s="500">
        <v>5157</v>
      </c>
      <c r="E144" s="500">
        <v>5157</v>
      </c>
      <c r="F144" s="472">
        <v>351</v>
      </c>
      <c r="G144" s="472"/>
      <c r="H144" s="472"/>
      <c r="I144" s="472"/>
      <c r="J144" s="472"/>
      <c r="K144" s="472"/>
      <c r="L144" s="472"/>
    </row>
    <row r="145" spans="1:12" s="274" customFormat="1" ht="12.75" x14ac:dyDescent="0.25">
      <c r="A145" s="718"/>
      <c r="B145" s="501"/>
      <c r="C145" s="276" t="s">
        <v>719</v>
      </c>
      <c r="D145" s="500">
        <v>5</v>
      </c>
      <c r="E145" s="500">
        <v>5</v>
      </c>
      <c r="F145" s="472"/>
      <c r="G145" s="472"/>
      <c r="H145" s="472"/>
      <c r="I145" s="472"/>
      <c r="J145" s="472"/>
      <c r="K145" s="472"/>
      <c r="L145" s="472"/>
    </row>
    <row r="146" spans="1:12" s="274" customFormat="1" x14ac:dyDescent="0.25">
      <c r="A146" s="872" t="s">
        <v>44</v>
      </c>
      <c r="B146" s="872"/>
      <c r="C146" s="872"/>
      <c r="D146" s="472">
        <f>SUM(D143:D145)</f>
        <v>276800</v>
      </c>
      <c r="E146" s="472">
        <f>SUM(E143:E145)</f>
        <v>265790</v>
      </c>
      <c r="F146" s="472">
        <f t="shared" ref="F146:L146" si="2">SUM(F143:F144)</f>
        <v>54974</v>
      </c>
      <c r="G146" s="472">
        <f t="shared" si="2"/>
        <v>2842</v>
      </c>
      <c r="H146" s="472">
        <f t="shared" si="2"/>
        <v>4941</v>
      </c>
      <c r="I146" s="472">
        <f t="shared" si="2"/>
        <v>868</v>
      </c>
      <c r="J146" s="472">
        <f t="shared" si="2"/>
        <v>1500</v>
      </c>
      <c r="K146" s="472">
        <f t="shared" si="2"/>
        <v>219</v>
      </c>
      <c r="L146" s="472">
        <f t="shared" si="2"/>
        <v>10791</v>
      </c>
    </row>
  </sheetData>
  <mergeCells count="17">
    <mergeCell ref="A1:L1"/>
    <mergeCell ref="A3:A4"/>
    <mergeCell ref="B3:B4"/>
    <mergeCell ref="C3:C4"/>
    <mergeCell ref="D3:D4"/>
    <mergeCell ref="E3:E4"/>
    <mergeCell ref="F3:J3"/>
    <mergeCell ref="K3:K4"/>
    <mergeCell ref="L3:L4"/>
    <mergeCell ref="A85:A88"/>
    <mergeCell ref="B85:B88"/>
    <mergeCell ref="A146:C146"/>
    <mergeCell ref="A29:A30"/>
    <mergeCell ref="A77:A78"/>
    <mergeCell ref="A80:A81"/>
    <mergeCell ref="A67:A69"/>
    <mergeCell ref="A70:A73"/>
  </mergeCells>
  <hyperlinks>
    <hyperlink ref="C141" location="'ГБУЗ РЦПБ со СПИДом и ИЗ'!A1" display="'ГБУЗ РЦПБ со СПИДом и ИЗ'!A1" xr:uid="{00000000-0004-0000-0300-000000000000}"/>
  </hyperlinks>
  <pageMargins left="0.19685039370078741" right="0.19685039370078741" top="0" bottom="0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zoomScale="90" zoomScaleNormal="90" workbookViewId="0">
      <pane xSplit="4" ySplit="10" topLeftCell="E11" activePane="bottomRight" state="frozen"/>
      <selection pane="topRight" activeCell="E1" sqref="E1"/>
      <selection pane="bottomLeft" activeCell="A15" sqref="A15"/>
      <selection pane="bottomRight" activeCell="L28" sqref="L28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30.7109375" style="2" customWidth="1"/>
    <col min="4" max="4" width="0.140625" style="3" customWidth="1"/>
    <col min="5" max="5" width="9.42578125" style="15" customWidth="1"/>
    <col min="6" max="6" width="11.7109375" style="15" customWidth="1"/>
    <col min="7" max="7" width="12.42578125" style="15" customWidth="1"/>
    <col min="8" max="8" width="10.140625" style="33" customWidth="1"/>
    <col min="9" max="9" width="11.28515625" style="33" customWidth="1"/>
    <col min="10" max="10" width="10.140625" style="32" customWidth="1"/>
    <col min="11" max="11" width="10.85546875" style="5" customWidth="1"/>
    <col min="12" max="12" width="11.28515625" style="5" customWidth="1"/>
    <col min="13" max="16384" width="9.140625" style="5"/>
  </cols>
  <sheetData>
    <row r="1" spans="1:12" x14ac:dyDescent="0.25">
      <c r="E1" s="4"/>
      <c r="F1" s="4"/>
      <c r="G1" s="4"/>
      <c r="H1" s="4"/>
      <c r="I1" s="4"/>
      <c r="J1" s="4"/>
    </row>
    <row r="2" spans="1:12" ht="15.75" customHeight="1" x14ac:dyDescent="0.25">
      <c r="C2" s="885" t="s">
        <v>34</v>
      </c>
      <c r="D2" s="885"/>
      <c r="E2" s="885"/>
      <c r="F2" s="885"/>
      <c r="G2" s="885"/>
      <c r="H2" s="885"/>
      <c r="I2" s="885"/>
      <c r="J2" s="885"/>
    </row>
    <row r="3" spans="1:12" x14ac:dyDescent="0.25">
      <c r="C3" s="6"/>
      <c r="D3" s="6"/>
      <c r="E3" s="7"/>
      <c r="F3" s="7"/>
      <c r="G3" s="7"/>
      <c r="H3" s="8"/>
      <c r="I3" s="8"/>
      <c r="J3" s="9"/>
    </row>
    <row r="4" spans="1:12" s="10" customFormat="1" ht="15.75" customHeight="1" x14ac:dyDescent="0.25">
      <c r="A4" s="886" t="s">
        <v>0</v>
      </c>
      <c r="B4" s="886" t="s">
        <v>1</v>
      </c>
      <c r="C4" s="887" t="s">
        <v>2</v>
      </c>
      <c r="D4" s="886" t="s">
        <v>3</v>
      </c>
      <c r="E4" s="888" t="s">
        <v>4</v>
      </c>
      <c r="F4" s="888"/>
      <c r="G4" s="888"/>
      <c r="H4" s="888"/>
      <c r="I4" s="888"/>
      <c r="J4" s="888"/>
      <c r="K4" s="888"/>
    </row>
    <row r="5" spans="1:12" ht="11.25" customHeight="1" x14ac:dyDescent="0.25">
      <c r="A5" s="886"/>
      <c r="B5" s="886"/>
      <c r="C5" s="887"/>
      <c r="D5" s="886"/>
      <c r="E5" s="888"/>
      <c r="F5" s="888"/>
      <c r="G5" s="888"/>
      <c r="H5" s="888"/>
      <c r="I5" s="888"/>
      <c r="J5" s="888"/>
      <c r="K5" s="888"/>
    </row>
    <row r="6" spans="1:12" ht="11.25" customHeight="1" x14ac:dyDescent="0.25">
      <c r="A6" s="886"/>
      <c r="B6" s="886"/>
      <c r="C6" s="887"/>
      <c r="D6" s="886"/>
      <c r="E6" s="889" t="s">
        <v>5</v>
      </c>
      <c r="F6" s="891" t="s">
        <v>6</v>
      </c>
      <c r="G6" s="891"/>
      <c r="H6" s="891"/>
      <c r="I6" s="891"/>
      <c r="J6" s="892"/>
      <c r="K6" s="893" t="s">
        <v>7</v>
      </c>
    </row>
    <row r="7" spans="1:12" ht="90.75" customHeight="1" x14ac:dyDescent="0.25">
      <c r="A7" s="886"/>
      <c r="B7" s="886"/>
      <c r="C7" s="887"/>
      <c r="D7" s="886"/>
      <c r="E7" s="890"/>
      <c r="F7" s="11" t="s">
        <v>8</v>
      </c>
      <c r="G7" s="12" t="s">
        <v>9</v>
      </c>
      <c r="H7" s="11" t="s">
        <v>10</v>
      </c>
      <c r="I7" s="12" t="s">
        <v>11</v>
      </c>
      <c r="J7" s="12" t="s">
        <v>12</v>
      </c>
      <c r="K7" s="890"/>
    </row>
    <row r="8" spans="1:12" s="10" customFormat="1" ht="12" customHeight="1" x14ac:dyDescent="0.25">
      <c r="A8" s="884" t="s">
        <v>13</v>
      </c>
      <c r="B8" s="884"/>
      <c r="C8" s="884"/>
      <c r="D8" s="13"/>
      <c r="E8" s="14">
        <f t="shared" ref="E8:K8" si="0">E9+E10</f>
        <v>1001203</v>
      </c>
      <c r="F8" s="14">
        <f t="shared" si="0"/>
        <v>923130</v>
      </c>
      <c r="G8" s="14">
        <f t="shared" si="0"/>
        <v>711</v>
      </c>
      <c r="H8" s="14">
        <f t="shared" si="0"/>
        <v>56939</v>
      </c>
      <c r="I8" s="14">
        <f t="shared" si="0"/>
        <v>15</v>
      </c>
      <c r="J8" s="14">
        <f t="shared" si="0"/>
        <v>21134</v>
      </c>
      <c r="K8" s="14">
        <f t="shared" si="0"/>
        <v>50062</v>
      </c>
      <c r="L8" s="15"/>
    </row>
    <row r="9" spans="1:12" s="20" customFormat="1" ht="11.25" customHeight="1" x14ac:dyDescent="0.25">
      <c r="A9" s="16"/>
      <c r="B9" s="16"/>
      <c r="C9" s="17" t="s">
        <v>14</v>
      </c>
      <c r="D9" s="18"/>
      <c r="E9" s="11">
        <f>F9+H9+J9</f>
        <v>21158</v>
      </c>
      <c r="F9" s="11">
        <v>21158</v>
      </c>
      <c r="G9" s="11"/>
      <c r="H9" s="11"/>
      <c r="I9" s="11"/>
      <c r="J9" s="11"/>
      <c r="K9" s="19">
        <v>1058</v>
      </c>
      <c r="L9" s="15"/>
    </row>
    <row r="10" spans="1:12" s="10" customFormat="1" x14ac:dyDescent="0.25">
      <c r="A10" s="884" t="s">
        <v>15</v>
      </c>
      <c r="B10" s="884"/>
      <c r="C10" s="884"/>
      <c r="D10" s="14"/>
      <c r="E10" s="14">
        <f t="shared" ref="E10:K10" si="1">SUM(E11:E19)</f>
        <v>980045</v>
      </c>
      <c r="F10" s="14">
        <f t="shared" si="1"/>
        <v>901972</v>
      </c>
      <c r="G10" s="14">
        <f t="shared" si="1"/>
        <v>711</v>
      </c>
      <c r="H10" s="14">
        <f t="shared" si="1"/>
        <v>56939</v>
      </c>
      <c r="I10" s="14">
        <f t="shared" si="1"/>
        <v>15</v>
      </c>
      <c r="J10" s="14">
        <f t="shared" si="1"/>
        <v>21134</v>
      </c>
      <c r="K10" s="14">
        <f t="shared" si="1"/>
        <v>49004</v>
      </c>
      <c r="L10" s="15"/>
    </row>
    <row r="11" spans="1:12" s="27" customFormat="1" x14ac:dyDescent="0.25">
      <c r="A11" s="21">
        <v>1</v>
      </c>
      <c r="B11" s="22" t="s">
        <v>16</v>
      </c>
      <c r="C11" s="23" t="s">
        <v>17</v>
      </c>
      <c r="D11" s="24">
        <v>0.85</v>
      </c>
      <c r="E11" s="11">
        <f t="shared" ref="E11:E19" si="2">F11+H11+J11</f>
        <v>36832</v>
      </c>
      <c r="F11" s="25">
        <v>36832</v>
      </c>
      <c r="G11" s="25">
        <v>70</v>
      </c>
      <c r="H11" s="11">
        <v>0</v>
      </c>
      <c r="I11" s="11">
        <v>0</v>
      </c>
      <c r="J11" s="11"/>
      <c r="K11" s="26">
        <v>1842</v>
      </c>
      <c r="L11" s="15"/>
    </row>
    <row r="12" spans="1:12" s="27" customFormat="1" x14ac:dyDescent="0.25">
      <c r="A12" s="21">
        <v>2</v>
      </c>
      <c r="B12" s="22" t="s">
        <v>18</v>
      </c>
      <c r="C12" s="23" t="s">
        <v>19</v>
      </c>
      <c r="D12" s="24">
        <v>0.85</v>
      </c>
      <c r="E12" s="11">
        <f t="shared" si="2"/>
        <v>79878</v>
      </c>
      <c r="F12" s="25">
        <v>78078</v>
      </c>
      <c r="G12" s="25">
        <v>74</v>
      </c>
      <c r="H12" s="25">
        <v>1800</v>
      </c>
      <c r="I12" s="25">
        <v>2</v>
      </c>
      <c r="J12" s="11"/>
      <c r="K12" s="26">
        <v>3994</v>
      </c>
      <c r="L12" s="15"/>
    </row>
    <row r="13" spans="1:12" s="27" customFormat="1" x14ac:dyDescent="0.25">
      <c r="A13" s="21">
        <v>3</v>
      </c>
      <c r="B13" s="22" t="s">
        <v>20</v>
      </c>
      <c r="C13" s="23" t="s">
        <v>21</v>
      </c>
      <c r="D13" s="24">
        <v>0.85</v>
      </c>
      <c r="E13" s="11">
        <f t="shared" si="2"/>
        <v>54051</v>
      </c>
      <c r="F13" s="25">
        <v>54051</v>
      </c>
      <c r="G13" s="25">
        <v>80</v>
      </c>
      <c r="H13" s="11">
        <v>0</v>
      </c>
      <c r="I13" s="11">
        <v>0</v>
      </c>
      <c r="J13" s="11"/>
      <c r="K13" s="26">
        <v>2703</v>
      </c>
      <c r="L13" s="15"/>
    </row>
    <row r="14" spans="1:12" s="27" customFormat="1" x14ac:dyDescent="0.25">
      <c r="A14" s="21">
        <v>4</v>
      </c>
      <c r="B14" s="28" t="s">
        <v>22</v>
      </c>
      <c r="C14" s="29" t="s">
        <v>23</v>
      </c>
      <c r="D14" s="24">
        <v>0.85</v>
      </c>
      <c r="E14" s="11">
        <f t="shared" si="2"/>
        <v>36601</v>
      </c>
      <c r="F14" s="11">
        <v>36601</v>
      </c>
      <c r="G14" s="11">
        <v>52</v>
      </c>
      <c r="H14" s="11">
        <v>0</v>
      </c>
      <c r="I14" s="11">
        <v>0</v>
      </c>
      <c r="J14" s="11"/>
      <c r="K14" s="26">
        <v>1830</v>
      </c>
      <c r="L14" s="15"/>
    </row>
    <row r="15" spans="1:12" s="27" customFormat="1" x14ac:dyDescent="0.25">
      <c r="A15" s="21">
        <v>5</v>
      </c>
      <c r="B15" s="22" t="s">
        <v>24</v>
      </c>
      <c r="C15" s="23" t="s">
        <v>25</v>
      </c>
      <c r="D15" s="24">
        <v>0.85</v>
      </c>
      <c r="E15" s="11">
        <f t="shared" si="2"/>
        <v>3376</v>
      </c>
      <c r="F15" s="25">
        <v>1861</v>
      </c>
      <c r="G15" s="25">
        <v>0</v>
      </c>
      <c r="H15" s="25">
        <v>1515</v>
      </c>
      <c r="I15" s="25">
        <v>5</v>
      </c>
      <c r="J15" s="11"/>
      <c r="K15" s="26">
        <v>169</v>
      </c>
      <c r="L15" s="15"/>
    </row>
    <row r="16" spans="1:12" s="27" customFormat="1" x14ac:dyDescent="0.25">
      <c r="A16" s="21">
        <v>6</v>
      </c>
      <c r="B16" s="30" t="s">
        <v>26</v>
      </c>
      <c r="C16" s="29" t="s">
        <v>27</v>
      </c>
      <c r="D16" s="24">
        <v>0.85</v>
      </c>
      <c r="E16" s="11">
        <f t="shared" si="2"/>
        <v>54234</v>
      </c>
      <c r="F16" s="25">
        <v>54234</v>
      </c>
      <c r="G16" s="25">
        <v>26</v>
      </c>
      <c r="H16" s="11">
        <v>0</v>
      </c>
      <c r="I16" s="11">
        <v>0</v>
      </c>
      <c r="J16" s="11"/>
      <c r="K16" s="26">
        <v>2712</v>
      </c>
      <c r="L16" s="15"/>
    </row>
    <row r="17" spans="1:12" s="27" customFormat="1" x14ac:dyDescent="0.25">
      <c r="A17" s="21">
        <v>7</v>
      </c>
      <c r="B17" s="22" t="s">
        <v>28</v>
      </c>
      <c r="C17" s="23" t="s">
        <v>29</v>
      </c>
      <c r="D17" s="24">
        <v>0.85</v>
      </c>
      <c r="E17" s="11">
        <f t="shared" si="2"/>
        <v>96111</v>
      </c>
      <c r="F17" s="25">
        <v>96111</v>
      </c>
      <c r="G17" s="25">
        <v>147</v>
      </c>
      <c r="H17" s="25">
        <v>0</v>
      </c>
      <c r="I17" s="11">
        <v>0</v>
      </c>
      <c r="J17" s="11"/>
      <c r="K17" s="26">
        <v>4806</v>
      </c>
      <c r="L17" s="15"/>
    </row>
    <row r="18" spans="1:12" s="27" customFormat="1" x14ac:dyDescent="0.25">
      <c r="A18" s="21">
        <v>8</v>
      </c>
      <c r="B18" s="30" t="s">
        <v>30</v>
      </c>
      <c r="C18" s="31" t="s">
        <v>31</v>
      </c>
      <c r="D18" s="24">
        <v>0.9</v>
      </c>
      <c r="E18" s="11">
        <f t="shared" si="2"/>
        <v>593948</v>
      </c>
      <c r="F18" s="11">
        <v>519190</v>
      </c>
      <c r="G18" s="11">
        <v>227</v>
      </c>
      <c r="H18" s="11">
        <v>53624</v>
      </c>
      <c r="I18" s="11">
        <v>8</v>
      </c>
      <c r="J18" s="11">
        <v>21134</v>
      </c>
      <c r="K18" s="26">
        <v>29697</v>
      </c>
      <c r="L18" s="15"/>
    </row>
    <row r="19" spans="1:12" s="27" customFormat="1" x14ac:dyDescent="0.25">
      <c r="A19" s="21">
        <v>9</v>
      </c>
      <c r="B19" s="30" t="s">
        <v>32</v>
      </c>
      <c r="C19" s="29" t="s">
        <v>33</v>
      </c>
      <c r="D19" s="24">
        <v>0.91</v>
      </c>
      <c r="E19" s="11">
        <f t="shared" si="2"/>
        <v>25014</v>
      </c>
      <c r="F19" s="25">
        <v>25014</v>
      </c>
      <c r="G19" s="25">
        <v>35</v>
      </c>
      <c r="H19" s="11">
        <v>0</v>
      </c>
      <c r="I19" s="11">
        <v>0</v>
      </c>
      <c r="J19" s="11"/>
      <c r="K19" s="26">
        <v>1251</v>
      </c>
      <c r="L19" s="15"/>
    </row>
    <row r="22" spans="1:12" x14ac:dyDescent="0.25">
      <c r="H22" s="32"/>
      <c r="I22" s="32"/>
      <c r="K22" s="32"/>
    </row>
    <row r="23" spans="1:12" x14ac:dyDescent="0.25">
      <c r="H23" s="15"/>
      <c r="I23" s="15"/>
      <c r="J23" s="15"/>
      <c r="K23" s="15"/>
    </row>
    <row r="27" spans="1:12" x14ac:dyDescent="0.25">
      <c r="H27" s="15"/>
      <c r="I27" s="15"/>
      <c r="J27" s="15"/>
      <c r="K27" s="15"/>
    </row>
    <row r="28" spans="1:12" x14ac:dyDescent="0.25">
      <c r="H28" s="15"/>
      <c r="I28" s="15"/>
      <c r="J28" s="15"/>
      <c r="K28" s="15"/>
    </row>
    <row r="29" spans="1:12" x14ac:dyDescent="0.25">
      <c r="H29" s="15"/>
      <c r="I29" s="15"/>
      <c r="J29" s="15"/>
      <c r="K29" s="15"/>
    </row>
    <row r="30" spans="1:12" x14ac:dyDescent="0.25">
      <c r="H30" s="15"/>
      <c r="I30" s="15"/>
      <c r="J30" s="15"/>
      <c r="K30" s="15"/>
    </row>
    <row r="31" spans="1:12" x14ac:dyDescent="0.25">
      <c r="H31" s="15"/>
      <c r="I31" s="15"/>
      <c r="J31" s="15"/>
      <c r="K31" s="15"/>
    </row>
  </sheetData>
  <mergeCells count="11">
    <mergeCell ref="A8:C8"/>
    <mergeCell ref="A10:C10"/>
    <mergeCell ref="C2:J2"/>
    <mergeCell ref="A4:A7"/>
    <mergeCell ref="B4:B7"/>
    <mergeCell ref="C4:C7"/>
    <mergeCell ref="D4:D7"/>
    <mergeCell ref="E4:K5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M151"/>
  <sheetViews>
    <sheetView zoomScale="90" zoomScaleNormal="90" workbookViewId="0">
      <pane xSplit="3" ySplit="10" topLeftCell="L132" activePane="bottomRight" state="frozen"/>
      <selection pane="topRight" activeCell="D1" sqref="D1"/>
      <selection pane="bottomLeft" activeCell="A14" sqref="A14"/>
      <selection pane="bottomRight" activeCell="Z134" sqref="Z134"/>
    </sheetView>
  </sheetViews>
  <sheetFormatPr defaultColWidth="9.140625" defaultRowHeight="12" x14ac:dyDescent="0.25"/>
  <cols>
    <col min="1" max="1" width="4.7109375" style="34" customWidth="1"/>
    <col min="2" max="2" width="8.5703125" style="34" customWidth="1"/>
    <col min="3" max="3" width="31.7109375" style="68" bestFit="1" customWidth="1"/>
    <col min="4" max="4" width="9.7109375" style="36" customWidth="1"/>
    <col min="5" max="5" width="14.42578125" style="36" customWidth="1"/>
    <col min="6" max="6" width="14.5703125" style="36" customWidth="1"/>
    <col min="7" max="8" width="14" style="36" customWidth="1"/>
    <col min="9" max="9" width="16.28515625" style="36" customWidth="1"/>
    <col min="10" max="10" width="11.5703125" style="36" customWidth="1"/>
    <col min="11" max="11" width="10.5703125" style="36" customWidth="1"/>
    <col min="12" max="12" width="13.28515625" style="36" customWidth="1"/>
    <col min="13" max="13" width="14" style="36" customWidth="1"/>
    <col min="14" max="16" width="9.28515625" style="36" bestFit="1" customWidth="1"/>
    <col min="17" max="17" width="11" style="36" customWidth="1"/>
    <col min="18" max="18" width="13.5703125" style="36" customWidth="1"/>
    <col min="19" max="19" width="9.7109375" style="36" bestFit="1" customWidth="1"/>
    <col min="20" max="21" width="10.85546875" style="36" customWidth="1"/>
    <col min="22" max="22" width="9.140625" style="36"/>
    <col min="23" max="23" width="10.28515625" style="36" customWidth="1"/>
    <col min="24" max="24" width="13.85546875" style="36" customWidth="1"/>
    <col min="25" max="26" width="10.28515625" style="36" customWidth="1"/>
    <col min="27" max="16384" width="9.140625" style="36"/>
  </cols>
  <sheetData>
    <row r="1" spans="1:30" x14ac:dyDescent="0.25">
      <c r="C1" s="35"/>
      <c r="U1" s="37">
        <f>1450-'[18]Обращения (Пр. 12 -25)'!F13</f>
        <v>16</v>
      </c>
    </row>
    <row r="2" spans="1:30" ht="26.25" customHeight="1" x14ac:dyDescent="0.25">
      <c r="A2" s="911" t="s">
        <v>718</v>
      </c>
      <c r="B2" s="911"/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  <c r="N2" s="911"/>
      <c r="O2" s="911"/>
      <c r="P2" s="911"/>
      <c r="Q2" s="911"/>
      <c r="R2" s="911"/>
      <c r="S2" s="911"/>
      <c r="T2" s="911"/>
      <c r="U2" s="911"/>
      <c r="V2" s="911"/>
      <c r="W2" s="911"/>
      <c r="X2" s="911"/>
      <c r="Y2" s="719"/>
      <c r="Z2" s="719"/>
    </row>
    <row r="3" spans="1:30" x14ac:dyDescent="0.25">
      <c r="C3" s="38"/>
      <c r="U3" s="37"/>
      <c r="X3" s="37"/>
      <c r="Y3" s="37"/>
      <c r="Z3" s="37"/>
    </row>
    <row r="4" spans="1:30" s="40" customFormat="1" ht="15.75" customHeight="1" x14ac:dyDescent="0.25">
      <c r="A4" s="912" t="s">
        <v>0</v>
      </c>
      <c r="B4" s="912" t="s">
        <v>1</v>
      </c>
      <c r="C4" s="912" t="s">
        <v>2</v>
      </c>
      <c r="D4" s="899" t="s">
        <v>35</v>
      </c>
      <c r="E4" s="899"/>
      <c r="F4" s="899"/>
      <c r="G4" s="899"/>
      <c r="H4" s="899"/>
      <c r="I4" s="899"/>
      <c r="J4" s="899"/>
      <c r="K4" s="899"/>
      <c r="L4" s="899"/>
      <c r="M4" s="899"/>
      <c r="N4" s="899"/>
      <c r="O4" s="899"/>
      <c r="P4" s="899"/>
      <c r="Q4" s="899"/>
      <c r="R4" s="899"/>
      <c r="S4" s="899"/>
      <c r="T4" s="899"/>
      <c r="U4" s="899"/>
      <c r="V4" s="899"/>
      <c r="W4" s="899"/>
      <c r="X4" s="899"/>
      <c r="Y4" s="39"/>
      <c r="Z4" s="39"/>
    </row>
    <row r="5" spans="1:30" ht="57" customHeight="1" x14ac:dyDescent="0.25">
      <c r="A5" s="912"/>
      <c r="B5" s="912"/>
      <c r="C5" s="912"/>
      <c r="D5" s="899" t="s">
        <v>36</v>
      </c>
      <c r="E5" s="894" t="s">
        <v>738</v>
      </c>
      <c r="F5" s="894" t="s">
        <v>739</v>
      </c>
      <c r="G5" s="894" t="s">
        <v>37</v>
      </c>
      <c r="H5" s="894" t="s">
        <v>38</v>
      </c>
      <c r="I5" s="894" t="s">
        <v>39</v>
      </c>
      <c r="J5" s="899" t="s">
        <v>40</v>
      </c>
      <c r="K5" s="896" t="s">
        <v>41</v>
      </c>
      <c r="L5" s="897"/>
      <c r="M5" s="898"/>
      <c r="N5" s="896" t="s">
        <v>306</v>
      </c>
      <c r="O5" s="897"/>
      <c r="P5" s="897"/>
      <c r="Q5" s="898"/>
      <c r="R5" s="899" t="s">
        <v>42</v>
      </c>
      <c r="S5" s="899" t="s">
        <v>43</v>
      </c>
      <c r="T5" s="899"/>
      <c r="U5" s="899"/>
      <c r="V5" s="899"/>
      <c r="W5" s="899"/>
      <c r="X5" s="899"/>
      <c r="Y5" s="39"/>
      <c r="Z5" s="39"/>
    </row>
    <row r="6" spans="1:30" ht="33.75" customHeight="1" x14ac:dyDescent="0.25">
      <c r="A6" s="912"/>
      <c r="B6" s="912"/>
      <c r="C6" s="912"/>
      <c r="D6" s="899"/>
      <c r="E6" s="907"/>
      <c r="F6" s="907"/>
      <c r="G6" s="907"/>
      <c r="H6" s="907"/>
      <c r="I6" s="907"/>
      <c r="J6" s="899"/>
      <c r="K6" s="721" t="s">
        <v>44</v>
      </c>
      <c r="L6" s="69" t="s">
        <v>45</v>
      </c>
      <c r="M6" s="894" t="s">
        <v>642</v>
      </c>
      <c r="N6" s="894" t="s">
        <v>46</v>
      </c>
      <c r="O6" s="896" t="s">
        <v>47</v>
      </c>
      <c r="P6" s="897"/>
      <c r="Q6" s="898"/>
      <c r="R6" s="899"/>
      <c r="S6" s="899" t="s">
        <v>46</v>
      </c>
      <c r="T6" s="899" t="s">
        <v>48</v>
      </c>
      <c r="U6" s="899"/>
      <c r="V6" s="896" t="s">
        <v>49</v>
      </c>
      <c r="W6" s="897"/>
      <c r="X6" s="898"/>
      <c r="Y6" s="39"/>
      <c r="Z6" s="39"/>
    </row>
    <row r="7" spans="1:30" ht="90" customHeight="1" x14ac:dyDescent="0.25">
      <c r="A7" s="912"/>
      <c r="B7" s="912"/>
      <c r="C7" s="912"/>
      <c r="D7" s="899"/>
      <c r="E7" s="895"/>
      <c r="F7" s="895"/>
      <c r="G7" s="895"/>
      <c r="H7" s="895"/>
      <c r="I7" s="895"/>
      <c r="J7" s="899"/>
      <c r="K7" s="722"/>
      <c r="L7" s="720" t="s">
        <v>641</v>
      </c>
      <c r="M7" s="895"/>
      <c r="N7" s="895"/>
      <c r="O7" s="720" t="s">
        <v>50</v>
      </c>
      <c r="P7" s="720" t="s">
        <v>51</v>
      </c>
      <c r="Q7" s="720" t="s">
        <v>52</v>
      </c>
      <c r="R7" s="899"/>
      <c r="S7" s="899"/>
      <c r="T7" s="720" t="s">
        <v>52</v>
      </c>
      <c r="U7" s="720" t="s">
        <v>53</v>
      </c>
      <c r="V7" s="720" t="s">
        <v>13</v>
      </c>
      <c r="W7" s="720" t="s">
        <v>51</v>
      </c>
      <c r="X7" s="720" t="s">
        <v>750</v>
      </c>
      <c r="Y7" s="39"/>
      <c r="Z7" s="39"/>
      <c r="AA7" s="37"/>
    </row>
    <row r="8" spans="1:30" s="40" customFormat="1" x14ac:dyDescent="0.25">
      <c r="A8" s="900" t="s">
        <v>13</v>
      </c>
      <c r="B8" s="900"/>
      <c r="C8" s="900"/>
      <c r="D8" s="41">
        <f t="shared" ref="D8:X8" si="0">D9+D10</f>
        <v>5124814</v>
      </c>
      <c r="E8" s="41">
        <f t="shared" si="0"/>
        <v>309441</v>
      </c>
      <c r="F8" s="41">
        <f t="shared" si="0"/>
        <v>117210</v>
      </c>
      <c r="G8" s="41">
        <f t="shared" si="0"/>
        <v>424763</v>
      </c>
      <c r="H8" s="41">
        <f t="shared" si="0"/>
        <v>4809</v>
      </c>
      <c r="I8" s="41">
        <f t="shared" si="0"/>
        <v>111790</v>
      </c>
      <c r="J8" s="41">
        <f t="shared" si="0"/>
        <v>80144</v>
      </c>
      <c r="K8" s="41">
        <f t="shared" si="0"/>
        <v>152846</v>
      </c>
      <c r="L8" s="41">
        <f t="shared" si="0"/>
        <v>2320</v>
      </c>
      <c r="M8" s="41">
        <f t="shared" si="0"/>
        <v>150526</v>
      </c>
      <c r="N8" s="41">
        <f t="shared" si="0"/>
        <v>133720</v>
      </c>
      <c r="O8" s="41">
        <f t="shared" si="0"/>
        <v>112962</v>
      </c>
      <c r="P8" s="41">
        <f t="shared" si="0"/>
        <v>20105</v>
      </c>
      <c r="Q8" s="41">
        <f t="shared" si="0"/>
        <v>653</v>
      </c>
      <c r="R8" s="41">
        <f t="shared" si="0"/>
        <v>41384</v>
      </c>
      <c r="S8" s="41">
        <f t="shared" si="0"/>
        <v>3748707</v>
      </c>
      <c r="T8" s="41">
        <f t="shared" si="0"/>
        <v>59071</v>
      </c>
      <c r="U8" s="41">
        <f t="shared" si="0"/>
        <v>174221</v>
      </c>
      <c r="V8" s="41">
        <f t="shared" si="0"/>
        <v>3515415</v>
      </c>
      <c r="W8" s="41">
        <f t="shared" si="0"/>
        <v>814958</v>
      </c>
      <c r="X8" s="41">
        <f t="shared" si="0"/>
        <v>2700457</v>
      </c>
      <c r="Y8" s="43"/>
      <c r="Z8" s="43"/>
      <c r="AA8" s="44"/>
    </row>
    <row r="9" spans="1:30" s="40" customFormat="1" ht="15.75" customHeight="1" x14ac:dyDescent="0.25">
      <c r="A9" s="908" t="s">
        <v>14</v>
      </c>
      <c r="B9" s="909"/>
      <c r="C9" s="910"/>
      <c r="D9" s="51">
        <f t="shared" ref="D9" si="1">E9+F9+G9+H9+I9+J9+K9+N9+R9+S9</f>
        <v>7028</v>
      </c>
      <c r="E9" s="45"/>
      <c r="F9" s="45"/>
      <c r="G9" s="41"/>
      <c r="H9" s="46">
        <v>0</v>
      </c>
      <c r="I9" s="42"/>
      <c r="J9" s="42"/>
      <c r="K9" s="42"/>
      <c r="M9" s="42"/>
      <c r="N9" s="46">
        <v>7028</v>
      </c>
      <c r="O9" s="46">
        <v>7028</v>
      </c>
      <c r="P9" s="42"/>
      <c r="Q9" s="42"/>
      <c r="R9" s="42"/>
      <c r="S9" s="42"/>
      <c r="T9" s="42"/>
      <c r="U9" s="42"/>
      <c r="V9" s="42"/>
      <c r="W9" s="42"/>
      <c r="X9" s="42"/>
      <c r="Y9" s="47"/>
      <c r="Z9" s="47"/>
      <c r="AA9" s="44"/>
    </row>
    <row r="10" spans="1:30" s="40" customFormat="1" ht="15" customHeight="1" x14ac:dyDescent="0.25">
      <c r="A10" s="900" t="s">
        <v>15</v>
      </c>
      <c r="B10" s="900"/>
      <c r="C10" s="900"/>
      <c r="D10" s="41">
        <f>SUM(D11:D148)-D91-D36-D74-D75-D77-D78-D79-D84-D87</f>
        <v>5117786</v>
      </c>
      <c r="E10" s="41">
        <f t="shared" ref="E10:X10" si="2">SUM(E11:E148)-E91-E36-E74-E75-E77-E78-E79-E84-E87</f>
        <v>309441</v>
      </c>
      <c r="F10" s="41">
        <f t="shared" si="2"/>
        <v>117210</v>
      </c>
      <c r="G10" s="41">
        <f t="shared" si="2"/>
        <v>424763</v>
      </c>
      <c r="H10" s="41">
        <f t="shared" si="2"/>
        <v>4809</v>
      </c>
      <c r="I10" s="41">
        <f t="shared" si="2"/>
        <v>111790</v>
      </c>
      <c r="J10" s="41">
        <f t="shared" si="2"/>
        <v>80144</v>
      </c>
      <c r="K10" s="41">
        <f t="shared" si="2"/>
        <v>152846</v>
      </c>
      <c r="L10" s="41">
        <f t="shared" si="2"/>
        <v>2320</v>
      </c>
      <c r="M10" s="41">
        <f t="shared" si="2"/>
        <v>150526</v>
      </c>
      <c r="N10" s="41">
        <f t="shared" si="2"/>
        <v>126692</v>
      </c>
      <c r="O10" s="41">
        <f t="shared" si="2"/>
        <v>105934</v>
      </c>
      <c r="P10" s="41">
        <f t="shared" si="2"/>
        <v>20105</v>
      </c>
      <c r="Q10" s="41">
        <f t="shared" si="2"/>
        <v>653</v>
      </c>
      <c r="R10" s="41">
        <f t="shared" si="2"/>
        <v>41384</v>
      </c>
      <c r="S10" s="41">
        <f t="shared" si="2"/>
        <v>3748707</v>
      </c>
      <c r="T10" s="41">
        <f t="shared" si="2"/>
        <v>59071</v>
      </c>
      <c r="U10" s="41">
        <f t="shared" si="2"/>
        <v>174221</v>
      </c>
      <c r="V10" s="41">
        <f t="shared" si="2"/>
        <v>3515415</v>
      </c>
      <c r="W10" s="41">
        <f t="shared" si="2"/>
        <v>814958</v>
      </c>
      <c r="X10" s="41">
        <f t="shared" si="2"/>
        <v>2700457</v>
      </c>
      <c r="Y10" s="43"/>
      <c r="Z10" s="43"/>
      <c r="AA10" s="44"/>
      <c r="AC10" s="44"/>
      <c r="AD10" s="44"/>
    </row>
    <row r="11" spans="1:30" ht="12" customHeight="1" x14ac:dyDescent="0.25">
      <c r="A11" s="48">
        <v>1</v>
      </c>
      <c r="B11" s="49" t="s">
        <v>54</v>
      </c>
      <c r="C11" s="50" t="s">
        <v>55</v>
      </c>
      <c r="D11" s="51">
        <f>E11+F11+G11+H11+I11+J11+K11+N11+R11+S11</f>
        <v>22431</v>
      </c>
      <c r="E11" s="51">
        <v>1359</v>
      </c>
      <c r="F11" s="51">
        <v>1288</v>
      </c>
      <c r="G11" s="51">
        <v>1888</v>
      </c>
      <c r="H11" s="51">
        <v>0</v>
      </c>
      <c r="I11" s="51">
        <v>429</v>
      </c>
      <c r="J11" s="51">
        <v>0</v>
      </c>
      <c r="K11" s="51">
        <f>L11+M11</f>
        <v>1361</v>
      </c>
      <c r="L11" s="51">
        <v>14</v>
      </c>
      <c r="M11" s="51">
        <v>1347</v>
      </c>
      <c r="N11" s="51">
        <f>O11+P11+Q11</f>
        <v>0</v>
      </c>
      <c r="O11" s="51">
        <v>0</v>
      </c>
      <c r="P11" s="51">
        <v>0</v>
      </c>
      <c r="Q11" s="51">
        <v>0</v>
      </c>
      <c r="R11" s="51">
        <v>0</v>
      </c>
      <c r="S11" s="51">
        <f>T11+U11+V11</f>
        <v>16106</v>
      </c>
      <c r="T11" s="51">
        <v>0</v>
      </c>
      <c r="U11" s="51">
        <v>1237</v>
      </c>
      <c r="V11" s="51">
        <f>W11+X11</f>
        <v>14869</v>
      </c>
      <c r="W11" s="51">
        <v>3844</v>
      </c>
      <c r="X11" s="51">
        <v>11025</v>
      </c>
      <c r="Y11" s="43"/>
      <c r="Z11" s="43"/>
      <c r="AA11" s="44"/>
    </row>
    <row r="12" spans="1:30" x14ac:dyDescent="0.25">
      <c r="A12" s="48">
        <v>2</v>
      </c>
      <c r="B12" s="52" t="s">
        <v>56</v>
      </c>
      <c r="C12" s="50" t="s">
        <v>57</v>
      </c>
      <c r="D12" s="51">
        <f t="shared" ref="D12:D72" si="3">E12+F12+G12+H12+I12+J12+K12+N12+R12+S12</f>
        <v>23120</v>
      </c>
      <c r="E12" s="51">
        <v>1368</v>
      </c>
      <c r="F12" s="51">
        <v>1841</v>
      </c>
      <c r="G12" s="51">
        <v>1956</v>
      </c>
      <c r="H12" s="51">
        <v>0</v>
      </c>
      <c r="I12" s="51">
        <v>398</v>
      </c>
      <c r="J12" s="51">
        <v>0</v>
      </c>
      <c r="K12" s="51">
        <f t="shared" ref="K12:K72" si="4">L12+M12</f>
        <v>1366</v>
      </c>
      <c r="L12" s="51">
        <v>0</v>
      </c>
      <c r="M12" s="51">
        <v>1366</v>
      </c>
      <c r="N12" s="51">
        <f t="shared" ref="N12:N72" si="5">O12+P12+Q12</f>
        <v>0</v>
      </c>
      <c r="O12" s="51">
        <v>0</v>
      </c>
      <c r="P12" s="51">
        <v>0</v>
      </c>
      <c r="Q12" s="51">
        <v>0</v>
      </c>
      <c r="R12" s="51">
        <v>0</v>
      </c>
      <c r="S12" s="51">
        <f>T12+U12+V12</f>
        <v>16191</v>
      </c>
      <c r="T12" s="51">
        <v>0</v>
      </c>
      <c r="U12" s="51">
        <v>930</v>
      </c>
      <c r="V12" s="51">
        <f t="shared" ref="V12:V72" si="6">W12+X12</f>
        <v>15261</v>
      </c>
      <c r="W12" s="51">
        <v>3841</v>
      </c>
      <c r="X12" s="51">
        <v>11420</v>
      </c>
      <c r="Y12" s="43"/>
      <c r="Z12" s="43"/>
      <c r="AA12" s="44"/>
    </row>
    <row r="13" spans="1:30" x14ac:dyDescent="0.25">
      <c r="A13" s="48">
        <v>3</v>
      </c>
      <c r="B13" s="167" t="s">
        <v>16</v>
      </c>
      <c r="C13" s="50" t="s">
        <v>17</v>
      </c>
      <c r="D13" s="51">
        <f t="shared" si="3"/>
        <v>72099</v>
      </c>
      <c r="E13" s="51">
        <v>4404</v>
      </c>
      <c r="F13" s="51">
        <v>3118</v>
      </c>
      <c r="G13" s="51">
        <v>5932</v>
      </c>
      <c r="H13" s="51">
        <v>525</v>
      </c>
      <c r="I13" s="51">
        <v>1565</v>
      </c>
      <c r="J13" s="51">
        <v>0</v>
      </c>
      <c r="K13" s="51">
        <f t="shared" si="4"/>
        <v>2500</v>
      </c>
      <c r="L13" s="51">
        <v>0</v>
      </c>
      <c r="M13" s="51">
        <v>2500</v>
      </c>
      <c r="N13" s="51">
        <f t="shared" si="5"/>
        <v>0</v>
      </c>
      <c r="O13" s="51">
        <v>0</v>
      </c>
      <c r="P13" s="51">
        <v>0</v>
      </c>
      <c r="Q13" s="51">
        <v>0</v>
      </c>
      <c r="R13" s="51">
        <v>0</v>
      </c>
      <c r="S13" s="51">
        <f t="shared" ref="S13:S72" si="7">T13+U13+V13</f>
        <v>54055</v>
      </c>
      <c r="T13" s="51">
        <v>1196</v>
      </c>
      <c r="U13" s="51">
        <v>2057</v>
      </c>
      <c r="V13" s="51">
        <f t="shared" si="6"/>
        <v>50802</v>
      </c>
      <c r="W13" s="51">
        <v>12882</v>
      </c>
      <c r="X13" s="51">
        <v>37920</v>
      </c>
      <c r="Y13" s="43"/>
      <c r="Z13" s="43"/>
      <c r="AA13" s="44"/>
    </row>
    <row r="14" spans="1:30" ht="14.25" customHeight="1" x14ac:dyDescent="0.25">
      <c r="A14" s="48">
        <v>4</v>
      </c>
      <c r="B14" s="49" t="s">
        <v>58</v>
      </c>
      <c r="C14" s="50" t="s">
        <v>59</v>
      </c>
      <c r="D14" s="51">
        <f t="shared" si="3"/>
        <v>23998</v>
      </c>
      <c r="E14" s="51">
        <v>1431</v>
      </c>
      <c r="F14" s="51">
        <v>1629</v>
      </c>
      <c r="G14" s="51">
        <v>2102</v>
      </c>
      <c r="H14" s="51">
        <v>0</v>
      </c>
      <c r="I14" s="51">
        <v>377</v>
      </c>
      <c r="J14" s="51">
        <v>0</v>
      </c>
      <c r="K14" s="51">
        <f t="shared" si="4"/>
        <v>133</v>
      </c>
      <c r="L14" s="51">
        <v>0</v>
      </c>
      <c r="M14" s="51">
        <v>133</v>
      </c>
      <c r="N14" s="51">
        <f t="shared" si="5"/>
        <v>0</v>
      </c>
      <c r="O14" s="51">
        <v>0</v>
      </c>
      <c r="P14" s="51">
        <v>0</v>
      </c>
      <c r="Q14" s="51">
        <v>0</v>
      </c>
      <c r="R14" s="51">
        <v>0</v>
      </c>
      <c r="S14" s="51">
        <f t="shared" si="7"/>
        <v>18326</v>
      </c>
      <c r="T14" s="51">
        <v>0</v>
      </c>
      <c r="U14" s="51">
        <v>857</v>
      </c>
      <c r="V14" s="51">
        <f t="shared" si="6"/>
        <v>17469</v>
      </c>
      <c r="W14" s="51">
        <v>4075</v>
      </c>
      <c r="X14" s="51">
        <v>13394</v>
      </c>
      <c r="Y14" s="43"/>
      <c r="Z14" s="43"/>
      <c r="AA14" s="44"/>
    </row>
    <row r="15" spans="1:30" x14ac:dyDescent="0.25">
      <c r="A15" s="48">
        <v>5</v>
      </c>
      <c r="B15" s="49" t="s">
        <v>60</v>
      </c>
      <c r="C15" s="50" t="s">
        <v>61</v>
      </c>
      <c r="D15" s="51">
        <f t="shared" si="3"/>
        <v>27244</v>
      </c>
      <c r="E15" s="51">
        <v>1631</v>
      </c>
      <c r="F15" s="51">
        <v>1724</v>
      </c>
      <c r="G15" s="51">
        <v>2282</v>
      </c>
      <c r="H15" s="51">
        <v>0</v>
      </c>
      <c r="I15" s="51">
        <v>510</v>
      </c>
      <c r="J15" s="51">
        <v>0</v>
      </c>
      <c r="K15" s="51">
        <f t="shared" si="4"/>
        <v>1506</v>
      </c>
      <c r="L15" s="51">
        <v>12</v>
      </c>
      <c r="M15" s="51">
        <v>1494</v>
      </c>
      <c r="N15" s="51">
        <f t="shared" si="5"/>
        <v>0</v>
      </c>
      <c r="O15" s="51">
        <v>0</v>
      </c>
      <c r="P15" s="51">
        <v>0</v>
      </c>
      <c r="Q15" s="51">
        <v>0</v>
      </c>
      <c r="R15" s="51">
        <v>0</v>
      </c>
      <c r="S15" s="51">
        <f t="shared" si="7"/>
        <v>19591</v>
      </c>
      <c r="T15" s="51">
        <v>0</v>
      </c>
      <c r="U15" s="51">
        <v>888</v>
      </c>
      <c r="V15" s="51">
        <f t="shared" si="6"/>
        <v>18703</v>
      </c>
      <c r="W15" s="51">
        <v>4587</v>
      </c>
      <c r="X15" s="51">
        <v>14116</v>
      </c>
      <c r="Y15" s="43"/>
      <c r="Z15" s="43"/>
      <c r="AA15" s="44"/>
    </row>
    <row r="16" spans="1:30" x14ac:dyDescent="0.25">
      <c r="A16" s="48">
        <v>6</v>
      </c>
      <c r="B16" s="167" t="s">
        <v>18</v>
      </c>
      <c r="C16" s="50" t="s">
        <v>19</v>
      </c>
      <c r="D16" s="51">
        <f t="shared" si="3"/>
        <v>200716</v>
      </c>
      <c r="E16" s="51">
        <v>12315</v>
      </c>
      <c r="F16" s="51">
        <v>1079</v>
      </c>
      <c r="G16" s="51">
        <v>16344</v>
      </c>
      <c r="H16" s="51">
        <v>1128</v>
      </c>
      <c r="I16" s="51">
        <v>4404</v>
      </c>
      <c r="J16" s="51">
        <v>6697</v>
      </c>
      <c r="K16" s="51">
        <f t="shared" si="4"/>
        <v>5941</v>
      </c>
      <c r="L16" s="51">
        <v>0</v>
      </c>
      <c r="M16" s="51">
        <v>5941</v>
      </c>
      <c r="N16" s="51">
        <f t="shared" si="5"/>
        <v>0</v>
      </c>
      <c r="O16" s="51">
        <v>0</v>
      </c>
      <c r="P16" s="51">
        <v>0</v>
      </c>
      <c r="Q16" s="51">
        <v>0</v>
      </c>
      <c r="R16" s="51">
        <v>0</v>
      </c>
      <c r="S16" s="51">
        <f t="shared" si="7"/>
        <v>152808</v>
      </c>
      <c r="T16" s="51">
        <v>0</v>
      </c>
      <c r="U16" s="51">
        <v>7665</v>
      </c>
      <c r="V16" s="51">
        <f t="shared" si="6"/>
        <v>145143</v>
      </c>
      <c r="W16" s="51">
        <v>34903</v>
      </c>
      <c r="X16" s="51">
        <v>110240</v>
      </c>
      <c r="Y16" s="43"/>
      <c r="Z16" s="43"/>
      <c r="AA16" s="44"/>
    </row>
    <row r="17" spans="1:91" x14ac:dyDescent="0.25">
      <c r="A17" s="48">
        <v>7</v>
      </c>
      <c r="B17" s="49" t="s">
        <v>62</v>
      </c>
      <c r="C17" s="50" t="s">
        <v>63</v>
      </c>
      <c r="D17" s="51">
        <f t="shared" si="3"/>
        <v>69230</v>
      </c>
      <c r="E17" s="51">
        <v>4292</v>
      </c>
      <c r="F17" s="51">
        <v>2049</v>
      </c>
      <c r="G17" s="51">
        <v>5991</v>
      </c>
      <c r="H17" s="51">
        <v>0</v>
      </c>
      <c r="I17" s="51">
        <v>1338</v>
      </c>
      <c r="J17" s="51">
        <v>0</v>
      </c>
      <c r="K17" s="51">
        <f t="shared" si="4"/>
        <v>1515</v>
      </c>
      <c r="L17" s="51">
        <v>10</v>
      </c>
      <c r="M17" s="51">
        <v>1505</v>
      </c>
      <c r="N17" s="51">
        <f t="shared" si="5"/>
        <v>0</v>
      </c>
      <c r="O17" s="51">
        <v>0</v>
      </c>
      <c r="P17" s="51">
        <v>0</v>
      </c>
      <c r="Q17" s="51">
        <v>0</v>
      </c>
      <c r="R17" s="51">
        <v>0</v>
      </c>
      <c r="S17" s="51">
        <f t="shared" si="7"/>
        <v>54045</v>
      </c>
      <c r="T17" s="51">
        <v>236</v>
      </c>
      <c r="U17" s="51">
        <v>2333</v>
      </c>
      <c r="V17" s="51">
        <f t="shared" si="6"/>
        <v>51476</v>
      </c>
      <c r="W17" s="51">
        <v>12435</v>
      </c>
      <c r="X17" s="51">
        <v>39041</v>
      </c>
      <c r="Y17" s="43"/>
      <c r="Z17" s="43"/>
      <c r="AA17" s="44"/>
    </row>
    <row r="18" spans="1:91" x14ac:dyDescent="0.25">
      <c r="A18" s="48">
        <v>8</v>
      </c>
      <c r="B18" s="167" t="s">
        <v>64</v>
      </c>
      <c r="C18" s="50" t="s">
        <v>65</v>
      </c>
      <c r="D18" s="51">
        <f t="shared" si="3"/>
        <v>28086</v>
      </c>
      <c r="E18" s="51">
        <v>1717</v>
      </c>
      <c r="F18" s="51">
        <v>1341</v>
      </c>
      <c r="G18" s="51">
        <v>2418</v>
      </c>
      <c r="H18" s="51">
        <v>3</v>
      </c>
      <c r="I18" s="51">
        <v>552</v>
      </c>
      <c r="J18" s="51">
        <v>0</v>
      </c>
      <c r="K18" s="51">
        <f t="shared" si="4"/>
        <v>1213</v>
      </c>
      <c r="L18" s="51">
        <v>0</v>
      </c>
      <c r="M18" s="51">
        <v>1213</v>
      </c>
      <c r="N18" s="51">
        <f t="shared" si="5"/>
        <v>0</v>
      </c>
      <c r="O18" s="51">
        <v>0</v>
      </c>
      <c r="P18" s="51">
        <v>0</v>
      </c>
      <c r="Q18" s="51">
        <v>0</v>
      </c>
      <c r="R18" s="51">
        <v>0</v>
      </c>
      <c r="S18" s="51">
        <f t="shared" si="7"/>
        <v>20842</v>
      </c>
      <c r="T18" s="51">
        <v>0</v>
      </c>
      <c r="U18" s="51">
        <v>666</v>
      </c>
      <c r="V18" s="51">
        <f t="shared" si="6"/>
        <v>20176</v>
      </c>
      <c r="W18" s="51">
        <v>4852</v>
      </c>
      <c r="X18" s="51">
        <v>15324</v>
      </c>
      <c r="Y18" s="43"/>
      <c r="Z18" s="43"/>
      <c r="AA18" s="44"/>
    </row>
    <row r="19" spans="1:91" x14ac:dyDescent="0.25">
      <c r="A19" s="48">
        <v>9</v>
      </c>
      <c r="B19" s="167" t="s">
        <v>66</v>
      </c>
      <c r="C19" s="50" t="s">
        <v>67</v>
      </c>
      <c r="D19" s="51">
        <f t="shared" si="3"/>
        <v>25599</v>
      </c>
      <c r="E19" s="51">
        <v>1520</v>
      </c>
      <c r="F19" s="51">
        <v>1951</v>
      </c>
      <c r="G19" s="51">
        <v>2165</v>
      </c>
      <c r="H19" s="51">
        <v>15</v>
      </c>
      <c r="I19" s="51">
        <v>461</v>
      </c>
      <c r="J19" s="51">
        <v>0</v>
      </c>
      <c r="K19" s="51">
        <f t="shared" si="4"/>
        <v>576</v>
      </c>
      <c r="L19" s="51">
        <v>0</v>
      </c>
      <c r="M19" s="51">
        <v>576</v>
      </c>
      <c r="N19" s="51">
        <f t="shared" si="5"/>
        <v>0</v>
      </c>
      <c r="O19" s="51">
        <v>0</v>
      </c>
      <c r="P19" s="51">
        <v>0</v>
      </c>
      <c r="Q19" s="51">
        <v>0</v>
      </c>
      <c r="R19" s="51">
        <v>0</v>
      </c>
      <c r="S19" s="51">
        <f t="shared" si="7"/>
        <v>18911</v>
      </c>
      <c r="T19" s="51">
        <v>0</v>
      </c>
      <c r="U19" s="51">
        <v>1838</v>
      </c>
      <c r="V19" s="51">
        <f t="shared" si="6"/>
        <v>17073</v>
      </c>
      <c r="W19" s="51">
        <v>4291</v>
      </c>
      <c r="X19" s="51">
        <v>12782</v>
      </c>
      <c r="Y19" s="43"/>
      <c r="Z19" s="43"/>
      <c r="AA19" s="44"/>
    </row>
    <row r="20" spans="1:91" x14ac:dyDescent="0.25">
      <c r="A20" s="48">
        <v>10</v>
      </c>
      <c r="B20" s="167" t="s">
        <v>68</v>
      </c>
      <c r="C20" s="50" t="s">
        <v>69</v>
      </c>
      <c r="D20" s="51">
        <f t="shared" si="3"/>
        <v>33943</v>
      </c>
      <c r="E20" s="51">
        <v>2075</v>
      </c>
      <c r="F20" s="51">
        <v>1626</v>
      </c>
      <c r="G20" s="51">
        <v>3028</v>
      </c>
      <c r="H20" s="51">
        <v>0</v>
      </c>
      <c r="I20" s="51">
        <v>707</v>
      </c>
      <c r="J20" s="51">
        <v>0</v>
      </c>
      <c r="K20" s="51">
        <f t="shared" si="4"/>
        <v>800</v>
      </c>
      <c r="L20" s="51">
        <v>2</v>
      </c>
      <c r="M20" s="51">
        <v>798</v>
      </c>
      <c r="N20" s="51">
        <f t="shared" si="5"/>
        <v>0</v>
      </c>
      <c r="O20" s="51">
        <v>0</v>
      </c>
      <c r="P20" s="51">
        <v>0</v>
      </c>
      <c r="Q20" s="51">
        <v>0</v>
      </c>
      <c r="R20" s="51">
        <v>0</v>
      </c>
      <c r="S20" s="51">
        <f t="shared" si="7"/>
        <v>25707</v>
      </c>
      <c r="T20" s="51">
        <v>0</v>
      </c>
      <c r="U20" s="51">
        <v>1707</v>
      </c>
      <c r="V20" s="51">
        <f t="shared" si="6"/>
        <v>24000</v>
      </c>
      <c r="W20" s="51">
        <v>5932</v>
      </c>
      <c r="X20" s="51">
        <v>18068</v>
      </c>
      <c r="Y20" s="43"/>
      <c r="Z20" s="43"/>
      <c r="AA20" s="44"/>
    </row>
    <row r="21" spans="1:91" x14ac:dyDescent="0.25">
      <c r="A21" s="48">
        <v>11</v>
      </c>
      <c r="B21" s="167" t="s">
        <v>70</v>
      </c>
      <c r="C21" s="50" t="s">
        <v>71</v>
      </c>
      <c r="D21" s="51">
        <f t="shared" si="3"/>
        <v>26008</v>
      </c>
      <c r="E21" s="51">
        <v>1549</v>
      </c>
      <c r="F21" s="51">
        <v>1765</v>
      </c>
      <c r="G21" s="51">
        <v>2154</v>
      </c>
      <c r="H21" s="51">
        <v>9</v>
      </c>
      <c r="I21" s="51">
        <v>492</v>
      </c>
      <c r="J21" s="51">
        <v>0</v>
      </c>
      <c r="K21" s="51">
        <f t="shared" si="4"/>
        <v>1313</v>
      </c>
      <c r="L21" s="51">
        <v>0</v>
      </c>
      <c r="M21" s="51">
        <v>1313</v>
      </c>
      <c r="N21" s="51">
        <f t="shared" si="5"/>
        <v>0</v>
      </c>
      <c r="O21" s="51">
        <v>0</v>
      </c>
      <c r="P21" s="51">
        <v>0</v>
      </c>
      <c r="Q21" s="51">
        <v>0</v>
      </c>
      <c r="R21" s="51">
        <v>0</v>
      </c>
      <c r="S21" s="51">
        <f t="shared" si="7"/>
        <v>18726</v>
      </c>
      <c r="T21" s="51">
        <v>0</v>
      </c>
      <c r="U21" s="51">
        <v>1623</v>
      </c>
      <c r="V21" s="51">
        <f t="shared" si="6"/>
        <v>17103</v>
      </c>
      <c r="W21" s="51">
        <v>4215</v>
      </c>
      <c r="X21" s="51">
        <v>12888</v>
      </c>
      <c r="Y21" s="43"/>
      <c r="Z21" s="43"/>
      <c r="AA21" s="44"/>
    </row>
    <row r="22" spans="1:91" x14ac:dyDescent="0.25">
      <c r="A22" s="48">
        <v>12</v>
      </c>
      <c r="B22" s="167" t="s">
        <v>72</v>
      </c>
      <c r="C22" s="50" t="s">
        <v>73</v>
      </c>
      <c r="D22" s="51">
        <f t="shared" si="3"/>
        <v>52365</v>
      </c>
      <c r="E22" s="51">
        <v>3193</v>
      </c>
      <c r="F22" s="51">
        <v>2382</v>
      </c>
      <c r="G22" s="51">
        <v>4461</v>
      </c>
      <c r="H22" s="51">
        <v>3</v>
      </c>
      <c r="I22" s="51">
        <v>1017</v>
      </c>
      <c r="J22" s="51">
        <v>0</v>
      </c>
      <c r="K22" s="51">
        <f t="shared" si="4"/>
        <v>2645</v>
      </c>
      <c r="L22" s="51">
        <v>0</v>
      </c>
      <c r="M22" s="51">
        <v>2645</v>
      </c>
      <c r="N22" s="51">
        <f t="shared" si="5"/>
        <v>0</v>
      </c>
      <c r="O22" s="51">
        <v>0</v>
      </c>
      <c r="P22" s="51">
        <v>0</v>
      </c>
      <c r="Q22" s="51">
        <v>0</v>
      </c>
      <c r="R22" s="51">
        <v>0</v>
      </c>
      <c r="S22" s="51">
        <f t="shared" si="7"/>
        <v>38664</v>
      </c>
      <c r="T22" s="51">
        <v>0</v>
      </c>
      <c r="U22" s="51">
        <v>1000</v>
      </c>
      <c r="V22" s="51">
        <f t="shared" si="6"/>
        <v>37664</v>
      </c>
      <c r="W22" s="51">
        <v>9101</v>
      </c>
      <c r="X22" s="51">
        <v>28563</v>
      </c>
      <c r="Y22" s="43"/>
      <c r="Z22" s="43"/>
      <c r="AA22" s="44"/>
    </row>
    <row r="23" spans="1:91" x14ac:dyDescent="0.25">
      <c r="A23" s="48">
        <v>13</v>
      </c>
      <c r="B23" s="167" t="s">
        <v>74</v>
      </c>
      <c r="C23" s="50" t="s">
        <v>75</v>
      </c>
      <c r="D23" s="51">
        <f t="shared" si="3"/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f t="shared" si="4"/>
        <v>0</v>
      </c>
      <c r="L23" s="51">
        <v>0</v>
      </c>
      <c r="M23" s="51">
        <v>0</v>
      </c>
      <c r="N23" s="51">
        <f t="shared" si="5"/>
        <v>0</v>
      </c>
      <c r="O23" s="51">
        <v>0</v>
      </c>
      <c r="P23" s="51">
        <v>0</v>
      </c>
      <c r="Q23" s="51">
        <v>0</v>
      </c>
      <c r="R23" s="51">
        <v>0</v>
      </c>
      <c r="S23" s="51">
        <f t="shared" si="7"/>
        <v>0</v>
      </c>
      <c r="T23" s="51">
        <v>0</v>
      </c>
      <c r="U23" s="51">
        <v>0</v>
      </c>
      <c r="V23" s="51">
        <f t="shared" si="6"/>
        <v>0</v>
      </c>
      <c r="W23" s="51">
        <v>0</v>
      </c>
      <c r="X23" s="51">
        <v>0</v>
      </c>
      <c r="Y23" s="43"/>
      <c r="Z23" s="43"/>
      <c r="AA23" s="44"/>
    </row>
    <row r="24" spans="1:91" x14ac:dyDescent="0.25">
      <c r="A24" s="48">
        <v>14</v>
      </c>
      <c r="B24" s="167" t="s">
        <v>76</v>
      </c>
      <c r="C24" s="50" t="s">
        <v>77</v>
      </c>
      <c r="D24" s="51">
        <f t="shared" si="3"/>
        <v>33525</v>
      </c>
      <c r="E24" s="51">
        <v>2051</v>
      </c>
      <c r="F24" s="51">
        <v>1408</v>
      </c>
      <c r="G24" s="51">
        <v>2768</v>
      </c>
      <c r="H24" s="51">
        <v>381</v>
      </c>
      <c r="I24" s="51">
        <v>708</v>
      </c>
      <c r="J24" s="51">
        <v>0</v>
      </c>
      <c r="K24" s="51">
        <f t="shared" si="4"/>
        <v>600</v>
      </c>
      <c r="L24" s="51">
        <v>22</v>
      </c>
      <c r="M24" s="51">
        <v>578</v>
      </c>
      <c r="N24" s="51">
        <f t="shared" si="5"/>
        <v>0</v>
      </c>
      <c r="O24" s="51">
        <v>0</v>
      </c>
      <c r="P24" s="51">
        <v>0</v>
      </c>
      <c r="Q24" s="51">
        <v>0</v>
      </c>
      <c r="R24" s="51">
        <v>0</v>
      </c>
      <c r="S24" s="51">
        <f t="shared" si="7"/>
        <v>25609</v>
      </c>
      <c r="T24" s="51">
        <v>0</v>
      </c>
      <c r="U24" s="51">
        <v>529</v>
      </c>
      <c r="V24" s="51">
        <f t="shared" si="6"/>
        <v>25080</v>
      </c>
      <c r="W24" s="51">
        <v>5792</v>
      </c>
      <c r="X24" s="51">
        <v>19288</v>
      </c>
      <c r="Y24" s="43"/>
      <c r="Z24" s="43"/>
      <c r="AA24" s="44"/>
      <c r="CM24" s="53"/>
    </row>
    <row r="25" spans="1:91" x14ac:dyDescent="0.25">
      <c r="A25" s="48">
        <v>15</v>
      </c>
      <c r="B25" s="167" t="s">
        <v>78</v>
      </c>
      <c r="C25" s="50" t="s">
        <v>79</v>
      </c>
      <c r="D25" s="51">
        <f t="shared" si="3"/>
        <v>51539</v>
      </c>
      <c r="E25" s="51">
        <v>3125</v>
      </c>
      <c r="F25" s="51">
        <v>2548</v>
      </c>
      <c r="G25" s="51">
        <v>3996</v>
      </c>
      <c r="H25" s="51">
        <v>42</v>
      </c>
      <c r="I25" s="51">
        <v>1046</v>
      </c>
      <c r="J25" s="51">
        <v>0</v>
      </c>
      <c r="K25" s="51">
        <f t="shared" si="4"/>
        <v>1535</v>
      </c>
      <c r="L25" s="51">
        <v>7</v>
      </c>
      <c r="M25" s="51">
        <v>1528</v>
      </c>
      <c r="N25" s="51">
        <f t="shared" si="5"/>
        <v>0</v>
      </c>
      <c r="O25" s="51">
        <v>0</v>
      </c>
      <c r="P25" s="51">
        <v>0</v>
      </c>
      <c r="Q25" s="51">
        <v>0</v>
      </c>
      <c r="R25" s="51">
        <v>0</v>
      </c>
      <c r="S25" s="51">
        <f t="shared" si="7"/>
        <v>39247</v>
      </c>
      <c r="T25" s="51">
        <v>0</v>
      </c>
      <c r="U25" s="51">
        <v>1534</v>
      </c>
      <c r="V25" s="51">
        <f t="shared" si="6"/>
        <v>37713</v>
      </c>
      <c r="W25" s="51">
        <v>8278</v>
      </c>
      <c r="X25" s="51">
        <v>29435</v>
      </c>
      <c r="Y25" s="43"/>
      <c r="Z25" s="43"/>
      <c r="AA25" s="44"/>
    </row>
    <row r="26" spans="1:91" x14ac:dyDescent="0.25">
      <c r="A26" s="48">
        <v>16</v>
      </c>
      <c r="B26" s="167" t="s">
        <v>80</v>
      </c>
      <c r="C26" s="50" t="s">
        <v>81</v>
      </c>
      <c r="D26" s="51">
        <f t="shared" si="3"/>
        <v>64757</v>
      </c>
      <c r="E26" s="51">
        <v>3969</v>
      </c>
      <c r="F26" s="51">
        <v>2562</v>
      </c>
      <c r="G26" s="51">
        <v>5225</v>
      </c>
      <c r="H26" s="51">
        <v>3</v>
      </c>
      <c r="I26" s="51">
        <v>1322</v>
      </c>
      <c r="J26" s="51">
        <v>0</v>
      </c>
      <c r="K26" s="51">
        <f t="shared" si="4"/>
        <v>1588</v>
      </c>
      <c r="L26" s="51">
        <v>1</v>
      </c>
      <c r="M26" s="51">
        <v>1587</v>
      </c>
      <c r="N26" s="51">
        <f t="shared" si="5"/>
        <v>0</v>
      </c>
      <c r="O26" s="51">
        <v>0</v>
      </c>
      <c r="P26" s="51">
        <v>0</v>
      </c>
      <c r="Q26" s="51">
        <v>0</v>
      </c>
      <c r="R26" s="51">
        <v>0</v>
      </c>
      <c r="S26" s="51">
        <f t="shared" si="7"/>
        <v>50088</v>
      </c>
      <c r="T26" s="51">
        <v>0</v>
      </c>
      <c r="U26" s="51">
        <v>1268</v>
      </c>
      <c r="V26" s="51">
        <f t="shared" si="6"/>
        <v>48820</v>
      </c>
      <c r="W26" s="51">
        <v>10933</v>
      </c>
      <c r="X26" s="51">
        <v>37887</v>
      </c>
      <c r="Y26" s="43"/>
      <c r="Z26" s="43"/>
      <c r="AA26" s="44"/>
    </row>
    <row r="27" spans="1:91" x14ac:dyDescent="0.25">
      <c r="A27" s="48">
        <v>17</v>
      </c>
      <c r="B27" s="167" t="s">
        <v>20</v>
      </c>
      <c r="C27" s="50" t="s">
        <v>21</v>
      </c>
      <c r="D27" s="51">
        <f t="shared" si="3"/>
        <v>119509</v>
      </c>
      <c r="E27" s="51">
        <v>7397</v>
      </c>
      <c r="F27" s="51">
        <v>3648</v>
      </c>
      <c r="G27" s="51">
        <v>9987</v>
      </c>
      <c r="H27" s="51">
        <v>3</v>
      </c>
      <c r="I27" s="51">
        <v>2498</v>
      </c>
      <c r="J27" s="51">
        <v>0</v>
      </c>
      <c r="K27" s="51">
        <f t="shared" si="4"/>
        <v>3263</v>
      </c>
      <c r="L27" s="51">
        <v>45</v>
      </c>
      <c r="M27" s="51">
        <v>3218</v>
      </c>
      <c r="N27" s="51">
        <f t="shared" si="5"/>
        <v>0</v>
      </c>
      <c r="O27" s="51">
        <v>0</v>
      </c>
      <c r="P27" s="51">
        <v>0</v>
      </c>
      <c r="Q27" s="51">
        <v>0</v>
      </c>
      <c r="R27" s="51">
        <v>0</v>
      </c>
      <c r="S27" s="51">
        <f t="shared" si="7"/>
        <v>92713</v>
      </c>
      <c r="T27" s="51">
        <v>713</v>
      </c>
      <c r="U27" s="51">
        <v>3320</v>
      </c>
      <c r="V27" s="51">
        <f t="shared" si="6"/>
        <v>88680</v>
      </c>
      <c r="W27" s="51">
        <v>20237</v>
      </c>
      <c r="X27" s="51">
        <v>68443</v>
      </c>
      <c r="Y27" s="43"/>
      <c r="Z27" s="43"/>
      <c r="AA27" s="44"/>
    </row>
    <row r="28" spans="1:91" x14ac:dyDescent="0.25">
      <c r="A28" s="48">
        <v>18</v>
      </c>
      <c r="B28" s="49" t="s">
        <v>82</v>
      </c>
      <c r="C28" s="50" t="s">
        <v>83</v>
      </c>
      <c r="D28" s="51">
        <f t="shared" si="3"/>
        <v>21644</v>
      </c>
      <c r="E28" s="51">
        <v>1295</v>
      </c>
      <c r="F28" s="51">
        <v>1327</v>
      </c>
      <c r="G28" s="51">
        <v>1626</v>
      </c>
      <c r="H28" s="51">
        <v>225</v>
      </c>
      <c r="I28" s="51">
        <v>438</v>
      </c>
      <c r="J28" s="51">
        <v>0</v>
      </c>
      <c r="K28" s="51">
        <f t="shared" si="4"/>
        <v>797</v>
      </c>
      <c r="L28" s="51">
        <v>0</v>
      </c>
      <c r="M28" s="51">
        <v>797</v>
      </c>
      <c r="N28" s="51">
        <f t="shared" si="5"/>
        <v>0</v>
      </c>
      <c r="O28" s="51">
        <v>0</v>
      </c>
      <c r="P28" s="51">
        <v>0</v>
      </c>
      <c r="Q28" s="51">
        <v>0</v>
      </c>
      <c r="R28" s="51">
        <v>0</v>
      </c>
      <c r="S28" s="51">
        <f t="shared" si="7"/>
        <v>15936</v>
      </c>
      <c r="T28" s="51">
        <v>0</v>
      </c>
      <c r="U28" s="51">
        <v>725</v>
      </c>
      <c r="V28" s="51">
        <f t="shared" si="6"/>
        <v>15211</v>
      </c>
      <c r="W28" s="51">
        <v>3355</v>
      </c>
      <c r="X28" s="51">
        <v>11856</v>
      </c>
      <c r="Y28" s="43"/>
      <c r="Z28" s="43"/>
      <c r="AA28" s="44"/>
    </row>
    <row r="29" spans="1:91" x14ac:dyDescent="0.25">
      <c r="A29" s="48">
        <v>19</v>
      </c>
      <c r="B29" s="49" t="s">
        <v>84</v>
      </c>
      <c r="C29" s="50" t="s">
        <v>85</v>
      </c>
      <c r="D29" s="51">
        <f t="shared" si="3"/>
        <v>16456</v>
      </c>
      <c r="E29" s="51">
        <v>993</v>
      </c>
      <c r="F29" s="51">
        <v>905</v>
      </c>
      <c r="G29" s="51">
        <v>1377</v>
      </c>
      <c r="H29" s="51">
        <v>6</v>
      </c>
      <c r="I29" s="51">
        <v>323</v>
      </c>
      <c r="J29" s="51">
        <v>0</v>
      </c>
      <c r="K29" s="51">
        <f t="shared" si="4"/>
        <v>346</v>
      </c>
      <c r="L29" s="51">
        <v>0</v>
      </c>
      <c r="M29" s="51">
        <v>346</v>
      </c>
      <c r="N29" s="51">
        <f t="shared" si="5"/>
        <v>0</v>
      </c>
      <c r="O29" s="51">
        <v>0</v>
      </c>
      <c r="P29" s="51">
        <v>0</v>
      </c>
      <c r="Q29" s="51">
        <v>0</v>
      </c>
      <c r="R29" s="51">
        <v>0</v>
      </c>
      <c r="S29" s="51">
        <f t="shared" si="7"/>
        <v>12506</v>
      </c>
      <c r="T29" s="51">
        <v>0</v>
      </c>
      <c r="U29" s="51">
        <v>1145</v>
      </c>
      <c r="V29" s="51">
        <f t="shared" si="6"/>
        <v>11361</v>
      </c>
      <c r="W29" s="51">
        <v>2751</v>
      </c>
      <c r="X29" s="51">
        <v>8610</v>
      </c>
      <c r="Y29" s="43"/>
      <c r="Z29" s="43"/>
      <c r="AA29" s="44"/>
    </row>
    <row r="30" spans="1:91" x14ac:dyDescent="0.25">
      <c r="A30" s="48">
        <v>20</v>
      </c>
      <c r="B30" s="49" t="s">
        <v>86</v>
      </c>
      <c r="C30" s="50" t="s">
        <v>87</v>
      </c>
      <c r="D30" s="51">
        <f t="shared" si="3"/>
        <v>84500</v>
      </c>
      <c r="E30" s="51">
        <v>5250</v>
      </c>
      <c r="F30" s="51">
        <v>2279</v>
      </c>
      <c r="G30" s="51">
        <v>7111</v>
      </c>
      <c r="H30" s="51">
        <v>48</v>
      </c>
      <c r="I30" s="51">
        <v>1736</v>
      </c>
      <c r="J30" s="51">
        <v>0</v>
      </c>
      <c r="K30" s="51">
        <f t="shared" si="4"/>
        <v>4318</v>
      </c>
      <c r="L30" s="51">
        <v>0</v>
      </c>
      <c r="M30" s="51">
        <v>4318</v>
      </c>
      <c r="N30" s="51">
        <f t="shared" si="5"/>
        <v>0</v>
      </c>
      <c r="O30" s="51">
        <v>0</v>
      </c>
      <c r="P30" s="51">
        <v>0</v>
      </c>
      <c r="Q30" s="51">
        <v>0</v>
      </c>
      <c r="R30" s="51">
        <v>0</v>
      </c>
      <c r="S30" s="51">
        <f t="shared" si="7"/>
        <v>63758</v>
      </c>
      <c r="T30" s="51">
        <v>2100</v>
      </c>
      <c r="U30" s="51">
        <v>1607</v>
      </c>
      <c r="V30" s="51">
        <f t="shared" si="6"/>
        <v>60051</v>
      </c>
      <c r="W30" s="51">
        <v>14392</v>
      </c>
      <c r="X30" s="51">
        <v>45659</v>
      </c>
      <c r="Y30" s="43"/>
      <c r="Z30" s="43"/>
      <c r="AA30" s="44"/>
    </row>
    <row r="31" spans="1:91" x14ac:dyDescent="0.25">
      <c r="A31" s="48">
        <v>21</v>
      </c>
      <c r="B31" s="49" t="s">
        <v>22</v>
      </c>
      <c r="C31" s="50" t="s">
        <v>23</v>
      </c>
      <c r="D31" s="51">
        <f t="shared" si="3"/>
        <v>71698</v>
      </c>
      <c r="E31" s="51">
        <v>4544</v>
      </c>
      <c r="F31" s="51">
        <v>487</v>
      </c>
      <c r="G31" s="51">
        <v>5967</v>
      </c>
      <c r="H31" s="51">
        <v>630</v>
      </c>
      <c r="I31" s="51">
        <v>1624</v>
      </c>
      <c r="J31" s="51">
        <v>0</v>
      </c>
      <c r="K31" s="51">
        <f t="shared" si="4"/>
        <v>2929</v>
      </c>
      <c r="L31" s="51">
        <v>53</v>
      </c>
      <c r="M31" s="51">
        <v>2876</v>
      </c>
      <c r="N31" s="51">
        <f t="shared" si="5"/>
        <v>0</v>
      </c>
      <c r="O31" s="51">
        <v>0</v>
      </c>
      <c r="P31" s="51">
        <v>0</v>
      </c>
      <c r="Q31" s="51">
        <v>0</v>
      </c>
      <c r="R31" s="51">
        <v>0</v>
      </c>
      <c r="S31" s="51">
        <f t="shared" si="7"/>
        <v>55517</v>
      </c>
      <c r="T31" s="51">
        <v>0</v>
      </c>
      <c r="U31" s="51">
        <v>5517</v>
      </c>
      <c r="V31" s="51">
        <f t="shared" si="6"/>
        <v>50000</v>
      </c>
      <c r="W31" s="51">
        <v>12992</v>
      </c>
      <c r="X31" s="51">
        <v>37008</v>
      </c>
      <c r="Y31" s="43"/>
      <c r="Z31" s="43"/>
      <c r="AA31" s="44"/>
    </row>
    <row r="32" spans="1:91" ht="24" customHeight="1" x14ac:dyDescent="0.25">
      <c r="A32" s="48">
        <v>22</v>
      </c>
      <c r="B32" s="167" t="s">
        <v>24</v>
      </c>
      <c r="C32" s="50" t="s">
        <v>25</v>
      </c>
      <c r="D32" s="51">
        <f t="shared" si="3"/>
        <v>16721</v>
      </c>
      <c r="E32" s="51">
        <v>1043</v>
      </c>
      <c r="F32" s="51">
        <v>395</v>
      </c>
      <c r="G32" s="51">
        <v>1475</v>
      </c>
      <c r="H32" s="51">
        <v>3</v>
      </c>
      <c r="I32" s="51">
        <v>366</v>
      </c>
      <c r="J32" s="51">
        <v>0</v>
      </c>
      <c r="K32" s="51">
        <f t="shared" si="4"/>
        <v>591</v>
      </c>
      <c r="L32" s="51">
        <v>0</v>
      </c>
      <c r="M32" s="51">
        <v>591</v>
      </c>
      <c r="N32" s="51">
        <f t="shared" si="5"/>
        <v>0</v>
      </c>
      <c r="O32" s="51">
        <v>0</v>
      </c>
      <c r="P32" s="51">
        <v>0</v>
      </c>
      <c r="Q32" s="51">
        <v>0</v>
      </c>
      <c r="R32" s="51">
        <v>0</v>
      </c>
      <c r="S32" s="51">
        <f t="shared" si="7"/>
        <v>12848</v>
      </c>
      <c r="T32" s="51">
        <v>0</v>
      </c>
      <c r="U32" s="51">
        <v>1268</v>
      </c>
      <c r="V32" s="51">
        <f t="shared" si="6"/>
        <v>11580</v>
      </c>
      <c r="W32" s="51">
        <v>2899</v>
      </c>
      <c r="X32" s="51">
        <v>8681</v>
      </c>
      <c r="Y32" s="43"/>
      <c r="Z32" s="43"/>
      <c r="AA32" s="44"/>
    </row>
    <row r="33" spans="1:91" ht="12" customHeight="1" x14ac:dyDescent="0.25">
      <c r="A33" s="48">
        <v>23</v>
      </c>
      <c r="B33" s="167" t="s">
        <v>88</v>
      </c>
      <c r="C33" s="50" t="s">
        <v>89</v>
      </c>
      <c r="D33" s="51">
        <f t="shared" si="3"/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f t="shared" si="4"/>
        <v>0</v>
      </c>
      <c r="L33" s="51">
        <v>0</v>
      </c>
      <c r="M33" s="51">
        <v>0</v>
      </c>
      <c r="N33" s="51">
        <f t="shared" si="5"/>
        <v>0</v>
      </c>
      <c r="O33" s="51">
        <v>0</v>
      </c>
      <c r="P33" s="51">
        <v>0</v>
      </c>
      <c r="Q33" s="51">
        <v>0</v>
      </c>
      <c r="R33" s="51">
        <v>0</v>
      </c>
      <c r="S33" s="51">
        <f t="shared" si="7"/>
        <v>0</v>
      </c>
      <c r="T33" s="51">
        <v>0</v>
      </c>
      <c r="U33" s="51">
        <v>0</v>
      </c>
      <c r="V33" s="51">
        <f t="shared" si="6"/>
        <v>0</v>
      </c>
      <c r="W33" s="51">
        <v>0</v>
      </c>
      <c r="X33" s="51">
        <v>0</v>
      </c>
      <c r="Y33" s="43"/>
      <c r="Z33" s="43"/>
      <c r="AA33" s="44"/>
    </row>
    <row r="34" spans="1:91" ht="24" x14ac:dyDescent="0.25">
      <c r="A34" s="48">
        <v>24</v>
      </c>
      <c r="B34" s="167" t="s">
        <v>90</v>
      </c>
      <c r="C34" s="50" t="s">
        <v>91</v>
      </c>
      <c r="D34" s="51">
        <f t="shared" si="3"/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f t="shared" si="4"/>
        <v>0</v>
      </c>
      <c r="L34" s="51">
        <v>0</v>
      </c>
      <c r="M34" s="51">
        <v>0</v>
      </c>
      <c r="N34" s="51">
        <f t="shared" si="5"/>
        <v>0</v>
      </c>
      <c r="O34" s="51">
        <v>0</v>
      </c>
      <c r="P34" s="51">
        <v>0</v>
      </c>
      <c r="Q34" s="51">
        <v>0</v>
      </c>
      <c r="R34" s="51">
        <v>0</v>
      </c>
      <c r="S34" s="51">
        <f t="shared" si="7"/>
        <v>0</v>
      </c>
      <c r="T34" s="51">
        <v>0</v>
      </c>
      <c r="U34" s="51">
        <v>0</v>
      </c>
      <c r="V34" s="51">
        <f t="shared" si="6"/>
        <v>0</v>
      </c>
      <c r="W34" s="51">
        <v>0</v>
      </c>
      <c r="X34" s="51">
        <v>0</v>
      </c>
      <c r="Y34" s="43"/>
      <c r="Z34" s="43"/>
      <c r="AA34" s="44"/>
    </row>
    <row r="35" spans="1:91" ht="24" x14ac:dyDescent="0.25">
      <c r="A35" s="901">
        <v>25</v>
      </c>
      <c r="B35" s="624" t="s">
        <v>92</v>
      </c>
      <c r="C35" s="57" t="s">
        <v>775</v>
      </c>
      <c r="D35" s="731">
        <f t="shared" si="3"/>
        <v>328600</v>
      </c>
      <c r="E35" s="731">
        <f>20352+2358+1179</f>
        <v>23889</v>
      </c>
      <c r="F35" s="731">
        <f>3407+1102+551</f>
        <v>5060</v>
      </c>
      <c r="G35" s="731">
        <v>32239</v>
      </c>
      <c r="H35" s="731">
        <v>6</v>
      </c>
      <c r="I35" s="731">
        <v>8870</v>
      </c>
      <c r="J35" s="731">
        <v>12415</v>
      </c>
      <c r="K35" s="731">
        <f t="shared" si="4"/>
        <v>6638</v>
      </c>
      <c r="L35" s="731">
        <v>8</v>
      </c>
      <c r="M35" s="731">
        <f>3138+2328+1164</f>
        <v>6630</v>
      </c>
      <c r="N35" s="731">
        <f t="shared" si="5"/>
        <v>0</v>
      </c>
      <c r="O35" s="731">
        <v>0</v>
      </c>
      <c r="P35" s="731">
        <v>0</v>
      </c>
      <c r="Q35" s="731">
        <v>0</v>
      </c>
      <c r="R35" s="731">
        <f>4661+1200+600</f>
        <v>6461</v>
      </c>
      <c r="S35" s="731">
        <f t="shared" si="7"/>
        <v>233022</v>
      </c>
      <c r="T35" s="731">
        <v>0</v>
      </c>
      <c r="U35" s="731">
        <f>20232+150+75</f>
        <v>20457</v>
      </c>
      <c r="V35" s="731">
        <f t="shared" si="6"/>
        <v>212565</v>
      </c>
      <c r="W35" s="731">
        <v>7427</v>
      </c>
      <c r="X35" s="731">
        <f>163723+27610+13805</f>
        <v>205138</v>
      </c>
      <c r="Y35" s="43"/>
      <c r="Z35" s="43"/>
      <c r="AA35" s="44"/>
    </row>
    <row r="36" spans="1:91" ht="15.75" customHeight="1" x14ac:dyDescent="0.25">
      <c r="A36" s="903"/>
      <c r="B36" s="167" t="s">
        <v>94</v>
      </c>
      <c r="C36" s="50" t="s">
        <v>95</v>
      </c>
      <c r="D36" s="51">
        <f t="shared" si="3"/>
        <v>15727</v>
      </c>
      <c r="E36" s="51">
        <v>90</v>
      </c>
      <c r="F36" s="51">
        <v>133</v>
      </c>
      <c r="G36" s="51">
        <v>0</v>
      </c>
      <c r="H36" s="51">
        <v>0</v>
      </c>
      <c r="I36" s="51">
        <v>0</v>
      </c>
      <c r="J36" s="51">
        <v>0</v>
      </c>
      <c r="K36" s="51">
        <f t="shared" si="4"/>
        <v>2180</v>
      </c>
      <c r="L36" s="51">
        <v>0</v>
      </c>
      <c r="M36" s="51">
        <v>2180</v>
      </c>
      <c r="N36" s="51">
        <f t="shared" si="5"/>
        <v>0</v>
      </c>
      <c r="O36" s="51">
        <v>0</v>
      </c>
      <c r="P36" s="51">
        <v>0</v>
      </c>
      <c r="Q36" s="51">
        <v>0</v>
      </c>
      <c r="R36" s="51">
        <v>475</v>
      </c>
      <c r="S36" s="51">
        <f t="shared" si="7"/>
        <v>12849</v>
      </c>
      <c r="T36" s="51">
        <v>0</v>
      </c>
      <c r="U36" s="51">
        <v>38</v>
      </c>
      <c r="V36" s="51">
        <f t="shared" si="6"/>
        <v>12811</v>
      </c>
      <c r="W36" s="51">
        <v>0</v>
      </c>
      <c r="X36" s="51">
        <v>12811</v>
      </c>
      <c r="Y36" s="43"/>
      <c r="Z36" s="43"/>
      <c r="AA36" s="44"/>
    </row>
    <row r="37" spans="1:91" x14ac:dyDescent="0.25">
      <c r="A37" s="48">
        <v>26</v>
      </c>
      <c r="B37" s="52" t="s">
        <v>96</v>
      </c>
      <c r="C37" s="50" t="s">
        <v>97</v>
      </c>
      <c r="D37" s="51">
        <f t="shared" si="3"/>
        <v>56670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f t="shared" si="4"/>
        <v>0</v>
      </c>
      <c r="L37" s="51">
        <v>0</v>
      </c>
      <c r="M37" s="51">
        <v>0</v>
      </c>
      <c r="N37" s="51">
        <f t="shared" si="5"/>
        <v>0</v>
      </c>
      <c r="O37" s="51">
        <v>0</v>
      </c>
      <c r="P37" s="51">
        <v>0</v>
      </c>
      <c r="Q37" s="51">
        <v>0</v>
      </c>
      <c r="R37" s="51">
        <v>0</v>
      </c>
      <c r="S37" s="51">
        <f t="shared" si="7"/>
        <v>56670</v>
      </c>
      <c r="T37" s="51">
        <v>3883</v>
      </c>
      <c r="U37" s="51">
        <v>0</v>
      </c>
      <c r="V37" s="51">
        <f t="shared" si="6"/>
        <v>52787</v>
      </c>
      <c r="W37" s="51">
        <v>52787</v>
      </c>
      <c r="X37" s="51">
        <v>0</v>
      </c>
      <c r="Y37" s="43"/>
      <c r="Z37" s="43"/>
      <c r="AA37" s="44"/>
    </row>
    <row r="38" spans="1:91" x14ac:dyDescent="0.25">
      <c r="A38" s="48">
        <v>27</v>
      </c>
      <c r="B38" s="52" t="s">
        <v>26</v>
      </c>
      <c r="C38" s="50" t="s">
        <v>27</v>
      </c>
      <c r="D38" s="51">
        <f t="shared" si="3"/>
        <v>97968</v>
      </c>
      <c r="E38" s="51">
        <v>6117</v>
      </c>
      <c r="F38" s="51">
        <v>2236</v>
      </c>
      <c r="G38" s="51">
        <v>8604</v>
      </c>
      <c r="H38" s="51">
        <v>33</v>
      </c>
      <c r="I38" s="51">
        <v>2060</v>
      </c>
      <c r="J38" s="51">
        <v>0</v>
      </c>
      <c r="K38" s="51">
        <f t="shared" si="4"/>
        <v>1420</v>
      </c>
      <c r="L38" s="51">
        <v>10</v>
      </c>
      <c r="M38" s="51">
        <v>1410</v>
      </c>
      <c r="N38" s="51">
        <f t="shared" si="5"/>
        <v>0</v>
      </c>
      <c r="O38" s="51">
        <v>0</v>
      </c>
      <c r="P38" s="51">
        <v>0</v>
      </c>
      <c r="Q38" s="51">
        <v>0</v>
      </c>
      <c r="R38" s="51">
        <v>0</v>
      </c>
      <c r="S38" s="51">
        <f t="shared" si="7"/>
        <v>77498</v>
      </c>
      <c r="T38" s="51">
        <v>2329</v>
      </c>
      <c r="U38" s="51">
        <v>1950</v>
      </c>
      <c r="V38" s="51">
        <f t="shared" si="6"/>
        <v>73219</v>
      </c>
      <c r="W38" s="51">
        <v>16132</v>
      </c>
      <c r="X38" s="51">
        <v>57087</v>
      </c>
      <c r="Y38" s="43"/>
      <c r="Z38" s="43"/>
      <c r="AA38" s="44"/>
      <c r="CM38" s="53"/>
    </row>
    <row r="39" spans="1:91" x14ac:dyDescent="0.25">
      <c r="A39" s="48">
        <v>28</v>
      </c>
      <c r="B39" s="49" t="s">
        <v>98</v>
      </c>
      <c r="C39" s="50" t="s">
        <v>99</v>
      </c>
      <c r="D39" s="51">
        <f t="shared" si="3"/>
        <v>147268</v>
      </c>
      <c r="E39" s="51">
        <v>9243</v>
      </c>
      <c r="F39" s="51">
        <v>789</v>
      </c>
      <c r="G39" s="51">
        <v>12666</v>
      </c>
      <c r="H39" s="51">
        <v>6</v>
      </c>
      <c r="I39" s="51">
        <v>3343</v>
      </c>
      <c r="J39" s="51">
        <v>0</v>
      </c>
      <c r="K39" s="51">
        <f t="shared" si="4"/>
        <v>3172</v>
      </c>
      <c r="L39" s="51">
        <v>268</v>
      </c>
      <c r="M39" s="51">
        <v>2904</v>
      </c>
      <c r="N39" s="51">
        <f t="shared" si="5"/>
        <v>0</v>
      </c>
      <c r="O39" s="51">
        <v>0</v>
      </c>
      <c r="P39" s="51">
        <v>0</v>
      </c>
      <c r="Q39" s="51">
        <v>0</v>
      </c>
      <c r="R39" s="51">
        <v>0</v>
      </c>
      <c r="S39" s="51">
        <f t="shared" si="7"/>
        <v>118049</v>
      </c>
      <c r="T39" s="51">
        <v>3381</v>
      </c>
      <c r="U39" s="51">
        <v>2394</v>
      </c>
      <c r="V39" s="51">
        <f t="shared" si="6"/>
        <v>112274</v>
      </c>
      <c r="W39" s="51">
        <v>32907</v>
      </c>
      <c r="X39" s="51">
        <v>79367</v>
      </c>
      <c r="Y39" s="43"/>
      <c r="Z39" s="43"/>
      <c r="AA39" s="44"/>
    </row>
    <row r="40" spans="1:91" x14ac:dyDescent="0.25">
      <c r="A40" s="48">
        <v>29</v>
      </c>
      <c r="B40" s="52" t="s">
        <v>100</v>
      </c>
      <c r="C40" s="50" t="s">
        <v>101</v>
      </c>
      <c r="D40" s="51">
        <f t="shared" si="3"/>
        <v>29208</v>
      </c>
      <c r="E40" s="51">
        <v>1769</v>
      </c>
      <c r="F40" s="51">
        <v>1513</v>
      </c>
      <c r="G40" s="51">
        <v>2429</v>
      </c>
      <c r="H40" s="51">
        <v>6</v>
      </c>
      <c r="I40" s="51">
        <v>559</v>
      </c>
      <c r="J40" s="51">
        <v>0</v>
      </c>
      <c r="K40" s="51">
        <f t="shared" si="4"/>
        <v>590</v>
      </c>
      <c r="L40" s="51">
        <v>0</v>
      </c>
      <c r="M40" s="51">
        <v>590</v>
      </c>
      <c r="N40" s="51">
        <f t="shared" si="5"/>
        <v>0</v>
      </c>
      <c r="O40" s="51">
        <v>0</v>
      </c>
      <c r="P40" s="51">
        <v>0</v>
      </c>
      <c r="Q40" s="51">
        <v>0</v>
      </c>
      <c r="R40" s="51">
        <v>0</v>
      </c>
      <c r="S40" s="51">
        <f t="shared" si="7"/>
        <v>22342</v>
      </c>
      <c r="T40" s="51">
        <v>0</v>
      </c>
      <c r="U40" s="51">
        <v>1382</v>
      </c>
      <c r="V40" s="51">
        <f t="shared" si="6"/>
        <v>20960</v>
      </c>
      <c r="W40" s="51">
        <v>4981</v>
      </c>
      <c r="X40" s="51">
        <v>15979</v>
      </c>
      <c r="Y40" s="43"/>
      <c r="Z40" s="43"/>
      <c r="AA40" s="44"/>
    </row>
    <row r="41" spans="1:91" x14ac:dyDescent="0.25">
      <c r="A41" s="48">
        <v>30</v>
      </c>
      <c r="B41" s="167" t="s">
        <v>102</v>
      </c>
      <c r="C41" s="50" t="s">
        <v>103</v>
      </c>
      <c r="D41" s="51">
        <f t="shared" si="3"/>
        <v>101383</v>
      </c>
      <c r="E41" s="51">
        <v>6348</v>
      </c>
      <c r="F41" s="51">
        <v>2002</v>
      </c>
      <c r="G41" s="51">
        <v>8754</v>
      </c>
      <c r="H41" s="51">
        <v>15</v>
      </c>
      <c r="I41" s="51">
        <v>2165</v>
      </c>
      <c r="J41" s="51">
        <v>0</v>
      </c>
      <c r="K41" s="51">
        <f t="shared" si="4"/>
        <v>3586</v>
      </c>
      <c r="L41" s="51">
        <v>10</v>
      </c>
      <c r="M41" s="51">
        <v>3576</v>
      </c>
      <c r="N41" s="51">
        <f t="shared" si="5"/>
        <v>0</v>
      </c>
      <c r="O41" s="51">
        <v>0</v>
      </c>
      <c r="P41" s="51">
        <v>0</v>
      </c>
      <c r="Q41" s="51">
        <v>0</v>
      </c>
      <c r="R41" s="51">
        <v>0</v>
      </c>
      <c r="S41" s="51">
        <f t="shared" si="7"/>
        <v>78513</v>
      </c>
      <c r="T41" s="51">
        <v>1400</v>
      </c>
      <c r="U41" s="51">
        <v>530</v>
      </c>
      <c r="V41" s="51">
        <f t="shared" si="6"/>
        <v>76583</v>
      </c>
      <c r="W41" s="51">
        <v>17984</v>
      </c>
      <c r="X41" s="51">
        <v>58599</v>
      </c>
      <c r="Y41" s="43"/>
      <c r="Z41" s="43"/>
      <c r="AA41" s="44"/>
    </row>
    <row r="42" spans="1:91" x14ac:dyDescent="0.25">
      <c r="A42" s="48">
        <v>31</v>
      </c>
      <c r="B42" s="52" t="s">
        <v>104</v>
      </c>
      <c r="C42" s="50" t="s">
        <v>105</v>
      </c>
      <c r="D42" s="51">
        <f t="shared" si="3"/>
        <v>38697</v>
      </c>
      <c r="E42" s="51">
        <v>2349</v>
      </c>
      <c r="F42" s="51">
        <v>1921</v>
      </c>
      <c r="G42" s="51">
        <v>3217</v>
      </c>
      <c r="H42" s="51">
        <v>0</v>
      </c>
      <c r="I42" s="51">
        <v>747</v>
      </c>
      <c r="J42" s="51">
        <v>0</v>
      </c>
      <c r="K42" s="51">
        <f t="shared" si="4"/>
        <v>1557</v>
      </c>
      <c r="L42" s="51">
        <v>0</v>
      </c>
      <c r="M42" s="51">
        <v>1557</v>
      </c>
      <c r="N42" s="51">
        <f t="shared" si="5"/>
        <v>0</v>
      </c>
      <c r="O42" s="51">
        <v>0</v>
      </c>
      <c r="P42" s="51">
        <v>0</v>
      </c>
      <c r="Q42" s="51">
        <v>0</v>
      </c>
      <c r="R42" s="51">
        <v>0</v>
      </c>
      <c r="S42" s="51">
        <f t="shared" si="7"/>
        <v>28906</v>
      </c>
      <c r="T42" s="51">
        <v>0</v>
      </c>
      <c r="U42" s="51">
        <v>332</v>
      </c>
      <c r="V42" s="51">
        <f t="shared" si="6"/>
        <v>28574</v>
      </c>
      <c r="W42" s="51">
        <v>6589</v>
      </c>
      <c r="X42" s="51">
        <v>21985</v>
      </c>
      <c r="Y42" s="43"/>
      <c r="Z42" s="43"/>
      <c r="AA42" s="44"/>
      <c r="CM42" s="53"/>
    </row>
    <row r="43" spans="1:91" x14ac:dyDescent="0.25">
      <c r="A43" s="48">
        <v>32</v>
      </c>
      <c r="B43" s="49" t="s">
        <v>106</v>
      </c>
      <c r="C43" s="50" t="s">
        <v>107</v>
      </c>
      <c r="D43" s="51">
        <f t="shared" si="3"/>
        <v>99152</v>
      </c>
      <c r="E43" s="51">
        <v>6162</v>
      </c>
      <c r="F43" s="51">
        <v>2669</v>
      </c>
      <c r="G43" s="51">
        <v>8424</v>
      </c>
      <c r="H43" s="51">
        <v>0</v>
      </c>
      <c r="I43" s="51">
        <v>2120</v>
      </c>
      <c r="J43" s="51">
        <v>0</v>
      </c>
      <c r="K43" s="51">
        <f t="shared" si="4"/>
        <v>4281</v>
      </c>
      <c r="L43" s="51">
        <v>4</v>
      </c>
      <c r="M43" s="51">
        <v>4277</v>
      </c>
      <c r="N43" s="51">
        <f t="shared" si="5"/>
        <v>0</v>
      </c>
      <c r="O43" s="51">
        <v>0</v>
      </c>
      <c r="P43" s="51">
        <v>0</v>
      </c>
      <c r="Q43" s="51">
        <v>0</v>
      </c>
      <c r="R43" s="51">
        <v>0</v>
      </c>
      <c r="S43" s="51">
        <f t="shared" si="7"/>
        <v>75496</v>
      </c>
      <c r="T43" s="51">
        <v>0</v>
      </c>
      <c r="U43" s="51">
        <v>2008</v>
      </c>
      <c r="V43" s="51">
        <f t="shared" si="6"/>
        <v>73488</v>
      </c>
      <c r="W43" s="51">
        <v>17557</v>
      </c>
      <c r="X43" s="51">
        <v>55931</v>
      </c>
      <c r="Y43" s="43"/>
      <c r="Z43" s="43"/>
      <c r="AA43" s="44"/>
    </row>
    <row r="44" spans="1:91" x14ac:dyDescent="0.25">
      <c r="A44" s="48">
        <v>33</v>
      </c>
      <c r="B44" s="55" t="s">
        <v>108</v>
      </c>
      <c r="C44" s="56" t="s">
        <v>109</v>
      </c>
      <c r="D44" s="51">
        <f t="shared" si="3"/>
        <v>34206</v>
      </c>
      <c r="E44" s="51">
        <v>2080</v>
      </c>
      <c r="F44" s="51">
        <v>1649</v>
      </c>
      <c r="G44" s="51">
        <v>2881</v>
      </c>
      <c r="H44" s="51">
        <v>0</v>
      </c>
      <c r="I44" s="51">
        <v>650</v>
      </c>
      <c r="J44" s="51">
        <v>0</v>
      </c>
      <c r="K44" s="51">
        <f t="shared" si="4"/>
        <v>898</v>
      </c>
      <c r="L44" s="51">
        <v>0</v>
      </c>
      <c r="M44" s="51">
        <v>898</v>
      </c>
      <c r="N44" s="51">
        <f t="shared" si="5"/>
        <v>0</v>
      </c>
      <c r="O44" s="51">
        <v>0</v>
      </c>
      <c r="P44" s="51">
        <v>0</v>
      </c>
      <c r="Q44" s="51">
        <v>0</v>
      </c>
      <c r="R44" s="51">
        <v>0</v>
      </c>
      <c r="S44" s="51">
        <f t="shared" si="7"/>
        <v>26048</v>
      </c>
      <c r="T44" s="51">
        <v>0</v>
      </c>
      <c r="U44" s="51">
        <v>758</v>
      </c>
      <c r="V44" s="51">
        <f t="shared" si="6"/>
        <v>25290</v>
      </c>
      <c r="W44" s="51">
        <v>5384</v>
      </c>
      <c r="X44" s="51">
        <v>19906</v>
      </c>
      <c r="Y44" s="43"/>
      <c r="Z44" s="43"/>
      <c r="AA44" s="44"/>
    </row>
    <row r="45" spans="1:91" x14ac:dyDescent="0.25">
      <c r="A45" s="48">
        <v>34</v>
      </c>
      <c r="B45" s="49" t="s">
        <v>110</v>
      </c>
      <c r="C45" s="50" t="s">
        <v>111</v>
      </c>
      <c r="D45" s="51">
        <f t="shared" si="3"/>
        <v>21256</v>
      </c>
      <c r="E45" s="51">
        <v>1279</v>
      </c>
      <c r="F45" s="51">
        <v>1253</v>
      </c>
      <c r="G45" s="51">
        <v>1852</v>
      </c>
      <c r="H45" s="51">
        <v>6</v>
      </c>
      <c r="I45" s="51">
        <v>354</v>
      </c>
      <c r="J45" s="51">
        <v>0</v>
      </c>
      <c r="K45" s="51">
        <f t="shared" si="4"/>
        <v>1042</v>
      </c>
      <c r="L45" s="51">
        <v>0</v>
      </c>
      <c r="M45" s="51">
        <v>1042</v>
      </c>
      <c r="N45" s="51">
        <f t="shared" si="5"/>
        <v>0</v>
      </c>
      <c r="O45" s="51">
        <v>0</v>
      </c>
      <c r="P45" s="51">
        <v>0</v>
      </c>
      <c r="Q45" s="51">
        <v>0</v>
      </c>
      <c r="R45" s="51">
        <v>0</v>
      </c>
      <c r="S45" s="51">
        <f t="shared" si="7"/>
        <v>15470</v>
      </c>
      <c r="T45" s="51">
        <v>0</v>
      </c>
      <c r="U45" s="51">
        <v>152</v>
      </c>
      <c r="V45" s="51">
        <f t="shared" si="6"/>
        <v>15318</v>
      </c>
      <c r="W45" s="51">
        <v>3493</v>
      </c>
      <c r="X45" s="51">
        <v>11825</v>
      </c>
      <c r="Y45" s="43"/>
      <c r="Z45" s="43"/>
      <c r="AA45" s="44"/>
    </row>
    <row r="46" spans="1:91" x14ac:dyDescent="0.25">
      <c r="A46" s="48">
        <v>35</v>
      </c>
      <c r="B46" s="49" t="s">
        <v>112</v>
      </c>
      <c r="C46" s="50" t="s">
        <v>113</v>
      </c>
      <c r="D46" s="51">
        <f t="shared" si="3"/>
        <v>37815</v>
      </c>
      <c r="E46" s="51">
        <v>2275</v>
      </c>
      <c r="F46" s="51">
        <v>2233</v>
      </c>
      <c r="G46" s="51">
        <v>3287</v>
      </c>
      <c r="H46" s="51">
        <v>111</v>
      </c>
      <c r="I46" s="51">
        <v>664</v>
      </c>
      <c r="J46" s="51">
        <v>0</v>
      </c>
      <c r="K46" s="51">
        <f t="shared" si="4"/>
        <v>1765</v>
      </c>
      <c r="L46" s="51">
        <v>0</v>
      </c>
      <c r="M46" s="51">
        <v>1765</v>
      </c>
      <c r="N46" s="51">
        <f t="shared" si="5"/>
        <v>0</v>
      </c>
      <c r="O46" s="51">
        <v>0</v>
      </c>
      <c r="P46" s="51">
        <v>0</v>
      </c>
      <c r="Q46" s="51">
        <v>0</v>
      </c>
      <c r="R46" s="51">
        <v>0</v>
      </c>
      <c r="S46" s="51">
        <f t="shared" si="7"/>
        <v>27480</v>
      </c>
      <c r="T46" s="51">
        <v>0</v>
      </c>
      <c r="U46" s="51">
        <v>1139</v>
      </c>
      <c r="V46" s="51">
        <f t="shared" si="6"/>
        <v>26341</v>
      </c>
      <c r="W46" s="51">
        <v>6105</v>
      </c>
      <c r="X46" s="51">
        <v>20236</v>
      </c>
      <c r="Y46" s="43"/>
      <c r="Z46" s="43"/>
      <c r="AA46" s="44"/>
    </row>
    <row r="47" spans="1:91" x14ac:dyDescent="0.25">
      <c r="A47" s="48">
        <v>36</v>
      </c>
      <c r="B47" s="167" t="s">
        <v>114</v>
      </c>
      <c r="C47" s="50" t="s">
        <v>115</v>
      </c>
      <c r="D47" s="51">
        <f t="shared" si="3"/>
        <v>16829</v>
      </c>
      <c r="E47" s="51">
        <v>998</v>
      </c>
      <c r="F47" s="51">
        <v>1229</v>
      </c>
      <c r="G47" s="51">
        <v>1501</v>
      </c>
      <c r="H47" s="51">
        <v>0</v>
      </c>
      <c r="I47" s="51">
        <v>287</v>
      </c>
      <c r="J47" s="51">
        <v>0</v>
      </c>
      <c r="K47" s="51">
        <f t="shared" si="4"/>
        <v>538</v>
      </c>
      <c r="L47" s="51">
        <v>38</v>
      </c>
      <c r="M47" s="51">
        <v>500</v>
      </c>
      <c r="N47" s="51">
        <f t="shared" si="5"/>
        <v>0</v>
      </c>
      <c r="O47" s="51">
        <v>0</v>
      </c>
      <c r="P47" s="51">
        <v>0</v>
      </c>
      <c r="Q47" s="51">
        <v>0</v>
      </c>
      <c r="R47" s="51">
        <v>0</v>
      </c>
      <c r="S47" s="51">
        <f t="shared" si="7"/>
        <v>12276</v>
      </c>
      <c r="T47" s="51">
        <v>0</v>
      </c>
      <c r="U47" s="51">
        <v>952</v>
      </c>
      <c r="V47" s="51">
        <f t="shared" si="6"/>
        <v>11324</v>
      </c>
      <c r="W47" s="51">
        <v>2886</v>
      </c>
      <c r="X47" s="51">
        <v>8438</v>
      </c>
      <c r="Y47" s="43"/>
      <c r="Z47" s="43"/>
      <c r="AA47" s="44"/>
    </row>
    <row r="48" spans="1:91" x14ac:dyDescent="0.25">
      <c r="A48" s="48">
        <v>37</v>
      </c>
      <c r="B48" s="52" t="s">
        <v>116</v>
      </c>
      <c r="C48" s="50" t="s">
        <v>117</v>
      </c>
      <c r="D48" s="51">
        <f t="shared" si="3"/>
        <v>11845</v>
      </c>
      <c r="E48" s="51">
        <v>1220</v>
      </c>
      <c r="F48" s="51">
        <v>20</v>
      </c>
      <c r="G48" s="51">
        <v>2164</v>
      </c>
      <c r="H48" s="51">
        <v>0</v>
      </c>
      <c r="I48" s="51">
        <v>425</v>
      </c>
      <c r="J48" s="51">
        <v>0</v>
      </c>
      <c r="K48" s="51">
        <f t="shared" si="4"/>
        <v>0</v>
      </c>
      <c r="L48" s="51">
        <v>0</v>
      </c>
      <c r="M48" s="51">
        <v>0</v>
      </c>
      <c r="N48" s="51">
        <f t="shared" si="5"/>
        <v>0</v>
      </c>
      <c r="O48" s="51">
        <v>0</v>
      </c>
      <c r="P48" s="51">
        <v>0</v>
      </c>
      <c r="Q48" s="51">
        <v>0</v>
      </c>
      <c r="R48" s="51">
        <v>0</v>
      </c>
      <c r="S48" s="51">
        <f t="shared" si="7"/>
        <v>8016</v>
      </c>
      <c r="T48" s="51">
        <v>0</v>
      </c>
      <c r="U48" s="51">
        <v>60</v>
      </c>
      <c r="V48" s="51">
        <f t="shared" si="6"/>
        <v>7956</v>
      </c>
      <c r="W48" s="51">
        <v>151</v>
      </c>
      <c r="X48" s="51">
        <v>7805</v>
      </c>
      <c r="Y48" s="43"/>
      <c r="Z48" s="43"/>
      <c r="AA48" s="44"/>
    </row>
    <row r="49" spans="1:27" x14ac:dyDescent="0.25">
      <c r="A49" s="48">
        <v>38</v>
      </c>
      <c r="B49" s="167" t="s">
        <v>28</v>
      </c>
      <c r="C49" s="50" t="s">
        <v>29</v>
      </c>
      <c r="D49" s="51">
        <f t="shared" si="3"/>
        <v>140085</v>
      </c>
      <c r="E49" s="51">
        <v>8415</v>
      </c>
      <c r="F49" s="51">
        <v>1098</v>
      </c>
      <c r="G49" s="51">
        <v>11247</v>
      </c>
      <c r="H49" s="51">
        <v>21</v>
      </c>
      <c r="I49" s="51">
        <v>2992</v>
      </c>
      <c r="J49" s="51">
        <v>7167</v>
      </c>
      <c r="K49" s="51">
        <f t="shared" si="4"/>
        <v>3839</v>
      </c>
      <c r="L49" s="51">
        <v>24</v>
      </c>
      <c r="M49" s="51">
        <v>3815</v>
      </c>
      <c r="N49" s="51">
        <f t="shared" si="5"/>
        <v>0</v>
      </c>
      <c r="O49" s="51">
        <v>0</v>
      </c>
      <c r="P49" s="51">
        <v>0</v>
      </c>
      <c r="Q49" s="51">
        <v>0</v>
      </c>
      <c r="R49" s="51">
        <v>0</v>
      </c>
      <c r="S49" s="51">
        <f t="shared" si="7"/>
        <v>105306</v>
      </c>
      <c r="T49" s="51">
        <v>7000</v>
      </c>
      <c r="U49" s="51">
        <v>1770</v>
      </c>
      <c r="V49" s="51">
        <f t="shared" si="6"/>
        <v>96536</v>
      </c>
      <c r="W49" s="51">
        <v>21065</v>
      </c>
      <c r="X49" s="51">
        <v>75471</v>
      </c>
      <c r="Y49" s="43"/>
      <c r="Z49" s="43"/>
      <c r="AA49" s="44"/>
    </row>
    <row r="50" spans="1:27" x14ac:dyDescent="0.25">
      <c r="A50" s="48">
        <v>39</v>
      </c>
      <c r="B50" s="49" t="s">
        <v>118</v>
      </c>
      <c r="C50" s="50" t="s">
        <v>119</v>
      </c>
      <c r="D50" s="51">
        <f t="shared" si="3"/>
        <v>30812</v>
      </c>
      <c r="E50" s="51">
        <v>1843</v>
      </c>
      <c r="F50" s="51">
        <v>1974</v>
      </c>
      <c r="G50" s="51">
        <v>2608</v>
      </c>
      <c r="H50" s="51">
        <v>0</v>
      </c>
      <c r="I50" s="51">
        <v>529</v>
      </c>
      <c r="J50" s="51">
        <v>0</v>
      </c>
      <c r="K50" s="51">
        <f t="shared" si="4"/>
        <v>1133</v>
      </c>
      <c r="L50" s="51">
        <v>2</v>
      </c>
      <c r="M50" s="51">
        <v>1131</v>
      </c>
      <c r="N50" s="51">
        <f t="shared" si="5"/>
        <v>0</v>
      </c>
      <c r="O50" s="51">
        <v>0</v>
      </c>
      <c r="P50" s="51">
        <v>0</v>
      </c>
      <c r="Q50" s="51">
        <v>0</v>
      </c>
      <c r="R50" s="51">
        <v>0</v>
      </c>
      <c r="S50" s="51">
        <f t="shared" si="7"/>
        <v>22725</v>
      </c>
      <c r="T50" s="51">
        <v>0</v>
      </c>
      <c r="U50" s="51">
        <v>1656</v>
      </c>
      <c r="V50" s="51">
        <f t="shared" si="6"/>
        <v>21069</v>
      </c>
      <c r="W50" s="51">
        <v>5099</v>
      </c>
      <c r="X50" s="51">
        <v>15970</v>
      </c>
      <c r="Y50" s="43"/>
      <c r="Z50" s="43"/>
      <c r="AA50" s="44"/>
    </row>
    <row r="51" spans="1:27" ht="18" customHeight="1" x14ac:dyDescent="0.25">
      <c r="A51" s="48">
        <v>40</v>
      </c>
      <c r="B51" s="49" t="s">
        <v>120</v>
      </c>
      <c r="C51" s="50" t="s">
        <v>121</v>
      </c>
      <c r="D51" s="51">
        <f t="shared" si="3"/>
        <v>104784</v>
      </c>
      <c r="E51" s="51">
        <v>6571</v>
      </c>
      <c r="F51" s="51">
        <v>1914</v>
      </c>
      <c r="G51" s="51">
        <v>9128</v>
      </c>
      <c r="H51" s="51">
        <v>3</v>
      </c>
      <c r="I51" s="51">
        <v>2194</v>
      </c>
      <c r="J51" s="51">
        <v>0</v>
      </c>
      <c r="K51" s="51">
        <f t="shared" si="4"/>
        <v>758</v>
      </c>
      <c r="L51" s="51">
        <v>2</v>
      </c>
      <c r="M51" s="51">
        <v>756</v>
      </c>
      <c r="N51" s="51">
        <f t="shared" si="5"/>
        <v>0</v>
      </c>
      <c r="O51" s="51">
        <v>0</v>
      </c>
      <c r="P51" s="51">
        <v>0</v>
      </c>
      <c r="Q51" s="51">
        <v>0</v>
      </c>
      <c r="R51" s="51">
        <v>0</v>
      </c>
      <c r="S51" s="51">
        <f t="shared" si="7"/>
        <v>84216</v>
      </c>
      <c r="T51" s="51">
        <v>0</v>
      </c>
      <c r="U51" s="51">
        <v>3086</v>
      </c>
      <c r="V51" s="51">
        <f t="shared" si="6"/>
        <v>81130</v>
      </c>
      <c r="W51" s="51">
        <v>18021</v>
      </c>
      <c r="X51" s="51">
        <v>63109</v>
      </c>
      <c r="Y51" s="43"/>
      <c r="Z51" s="43"/>
      <c r="AA51" s="44"/>
    </row>
    <row r="52" spans="1:27" x14ac:dyDescent="0.25">
      <c r="A52" s="48">
        <v>41</v>
      </c>
      <c r="B52" s="167" t="s">
        <v>122</v>
      </c>
      <c r="C52" s="50" t="s">
        <v>123</v>
      </c>
      <c r="D52" s="51">
        <f t="shared" si="3"/>
        <v>23216</v>
      </c>
      <c r="E52" s="51">
        <v>1399</v>
      </c>
      <c r="F52" s="51">
        <v>1324</v>
      </c>
      <c r="G52" s="51">
        <v>1996</v>
      </c>
      <c r="H52" s="51">
        <v>0</v>
      </c>
      <c r="I52" s="51">
        <v>379</v>
      </c>
      <c r="J52" s="51">
        <v>0</v>
      </c>
      <c r="K52" s="51">
        <f t="shared" si="4"/>
        <v>564</v>
      </c>
      <c r="L52" s="51">
        <v>5</v>
      </c>
      <c r="M52" s="51">
        <v>559</v>
      </c>
      <c r="N52" s="51">
        <f t="shared" si="5"/>
        <v>0</v>
      </c>
      <c r="O52" s="51">
        <v>0</v>
      </c>
      <c r="P52" s="51">
        <v>0</v>
      </c>
      <c r="Q52" s="51">
        <v>0</v>
      </c>
      <c r="R52" s="51">
        <v>0</v>
      </c>
      <c r="S52" s="51">
        <f t="shared" si="7"/>
        <v>17554</v>
      </c>
      <c r="T52" s="51">
        <v>0</v>
      </c>
      <c r="U52" s="51">
        <v>558</v>
      </c>
      <c r="V52" s="51">
        <f t="shared" si="6"/>
        <v>16996</v>
      </c>
      <c r="W52" s="51">
        <v>3838</v>
      </c>
      <c r="X52" s="51">
        <v>13158</v>
      </c>
      <c r="Y52" s="43"/>
      <c r="Z52" s="43"/>
      <c r="AA52" s="44"/>
    </row>
    <row r="53" spans="1:27" x14ac:dyDescent="0.25">
      <c r="A53" s="48">
        <v>42</v>
      </c>
      <c r="B53" s="52" t="s">
        <v>124</v>
      </c>
      <c r="C53" s="50" t="s">
        <v>125</v>
      </c>
      <c r="D53" s="51">
        <f t="shared" si="3"/>
        <v>31279</v>
      </c>
      <c r="E53" s="51">
        <v>1886</v>
      </c>
      <c r="F53" s="51">
        <v>1783</v>
      </c>
      <c r="G53" s="51">
        <v>2726</v>
      </c>
      <c r="H53" s="51">
        <v>12</v>
      </c>
      <c r="I53" s="51">
        <v>560</v>
      </c>
      <c r="J53" s="51">
        <v>0</v>
      </c>
      <c r="K53" s="51">
        <f t="shared" si="4"/>
        <v>1568</v>
      </c>
      <c r="L53" s="51">
        <v>17</v>
      </c>
      <c r="M53" s="51">
        <v>1551</v>
      </c>
      <c r="N53" s="51">
        <f t="shared" si="5"/>
        <v>0</v>
      </c>
      <c r="O53" s="51">
        <v>0</v>
      </c>
      <c r="P53" s="51">
        <v>0</v>
      </c>
      <c r="Q53" s="51">
        <v>0</v>
      </c>
      <c r="R53" s="51">
        <v>0</v>
      </c>
      <c r="S53" s="51">
        <f t="shared" si="7"/>
        <v>22744</v>
      </c>
      <c r="T53" s="51">
        <v>0</v>
      </c>
      <c r="U53" s="51">
        <v>2102</v>
      </c>
      <c r="V53" s="51">
        <f t="shared" si="6"/>
        <v>20642</v>
      </c>
      <c r="W53" s="51">
        <v>5238</v>
      </c>
      <c r="X53" s="51">
        <v>15404</v>
      </c>
      <c r="Y53" s="43"/>
      <c r="Z53" s="43"/>
      <c r="AA53" s="44"/>
    </row>
    <row r="54" spans="1:27" x14ac:dyDescent="0.25">
      <c r="A54" s="48">
        <v>43</v>
      </c>
      <c r="B54" s="167" t="s">
        <v>126</v>
      </c>
      <c r="C54" s="50" t="s">
        <v>127</v>
      </c>
      <c r="D54" s="51">
        <f t="shared" si="3"/>
        <v>37385</v>
      </c>
      <c r="E54" s="51">
        <v>2262</v>
      </c>
      <c r="F54" s="51">
        <v>2115</v>
      </c>
      <c r="G54" s="51">
        <v>3195</v>
      </c>
      <c r="H54" s="51">
        <v>3</v>
      </c>
      <c r="I54" s="51">
        <v>674</v>
      </c>
      <c r="J54" s="51">
        <v>0</v>
      </c>
      <c r="K54" s="51">
        <f t="shared" si="4"/>
        <v>1160</v>
      </c>
      <c r="L54" s="51">
        <v>0</v>
      </c>
      <c r="M54" s="51">
        <v>1160</v>
      </c>
      <c r="N54" s="51">
        <f t="shared" si="5"/>
        <v>0</v>
      </c>
      <c r="O54" s="51">
        <v>0</v>
      </c>
      <c r="P54" s="51">
        <v>0</v>
      </c>
      <c r="Q54" s="51">
        <v>0</v>
      </c>
      <c r="R54" s="51">
        <v>0</v>
      </c>
      <c r="S54" s="51">
        <f t="shared" si="7"/>
        <v>27976</v>
      </c>
      <c r="T54" s="51">
        <v>0</v>
      </c>
      <c r="U54" s="51">
        <v>408</v>
      </c>
      <c r="V54" s="51">
        <f t="shared" si="6"/>
        <v>27568</v>
      </c>
      <c r="W54" s="51">
        <v>6107</v>
      </c>
      <c r="X54" s="51">
        <v>21461</v>
      </c>
      <c r="Y54" s="43"/>
      <c r="Z54" s="43"/>
      <c r="AA54" s="44"/>
    </row>
    <row r="55" spans="1:27" ht="10.5" customHeight="1" x14ac:dyDescent="0.25">
      <c r="A55" s="48">
        <v>44</v>
      </c>
      <c r="B55" s="52" t="s">
        <v>128</v>
      </c>
      <c r="C55" s="50" t="s">
        <v>129</v>
      </c>
      <c r="D55" s="51">
        <f t="shared" si="3"/>
        <v>44606</v>
      </c>
      <c r="E55" s="51">
        <v>2712</v>
      </c>
      <c r="F55" s="51">
        <v>2156</v>
      </c>
      <c r="G55" s="51">
        <v>3775</v>
      </c>
      <c r="H55" s="51">
        <v>0</v>
      </c>
      <c r="I55" s="51">
        <v>870</v>
      </c>
      <c r="J55" s="51">
        <v>0</v>
      </c>
      <c r="K55" s="51">
        <f t="shared" si="4"/>
        <v>1757</v>
      </c>
      <c r="L55" s="51">
        <v>20</v>
      </c>
      <c r="M55" s="51">
        <v>1737</v>
      </c>
      <c r="N55" s="51">
        <f t="shared" si="5"/>
        <v>0</v>
      </c>
      <c r="O55" s="51">
        <v>0</v>
      </c>
      <c r="P55" s="51">
        <v>0</v>
      </c>
      <c r="Q55" s="51">
        <v>0</v>
      </c>
      <c r="R55" s="51">
        <v>0</v>
      </c>
      <c r="S55" s="51">
        <f t="shared" si="7"/>
        <v>33336</v>
      </c>
      <c r="T55" s="51">
        <v>0</v>
      </c>
      <c r="U55" s="51">
        <v>2597</v>
      </c>
      <c r="V55" s="51">
        <f t="shared" si="6"/>
        <v>30739</v>
      </c>
      <c r="W55" s="51">
        <v>7504</v>
      </c>
      <c r="X55" s="51">
        <v>23235</v>
      </c>
      <c r="Y55" s="43"/>
      <c r="Z55" s="43"/>
      <c r="AA55" s="44"/>
    </row>
    <row r="56" spans="1:27" x14ac:dyDescent="0.25">
      <c r="A56" s="48">
        <v>45</v>
      </c>
      <c r="B56" s="167" t="s">
        <v>130</v>
      </c>
      <c r="C56" s="50" t="s">
        <v>131</v>
      </c>
      <c r="D56" s="51">
        <f t="shared" si="3"/>
        <v>15091</v>
      </c>
      <c r="E56" s="51">
        <v>903</v>
      </c>
      <c r="F56" s="51">
        <v>1106</v>
      </c>
      <c r="G56" s="51">
        <v>1344</v>
      </c>
      <c r="H56" s="51">
        <v>0</v>
      </c>
      <c r="I56" s="51">
        <v>263</v>
      </c>
      <c r="J56" s="51">
        <v>0</v>
      </c>
      <c r="K56" s="51">
        <f t="shared" si="4"/>
        <v>250</v>
      </c>
      <c r="L56" s="51">
        <v>1</v>
      </c>
      <c r="M56" s="51">
        <v>249</v>
      </c>
      <c r="N56" s="51">
        <f t="shared" si="5"/>
        <v>0</v>
      </c>
      <c r="O56" s="51">
        <v>0</v>
      </c>
      <c r="P56" s="51">
        <v>0</v>
      </c>
      <c r="Q56" s="51">
        <v>0</v>
      </c>
      <c r="R56" s="51">
        <v>0</v>
      </c>
      <c r="S56" s="51">
        <f t="shared" si="7"/>
        <v>11225</v>
      </c>
      <c r="T56" s="51">
        <v>0</v>
      </c>
      <c r="U56" s="51">
        <v>933</v>
      </c>
      <c r="V56" s="51">
        <f t="shared" si="6"/>
        <v>10292</v>
      </c>
      <c r="W56" s="51">
        <v>2570</v>
      </c>
      <c r="X56" s="51">
        <v>7722</v>
      </c>
      <c r="Y56" s="43"/>
      <c r="Z56" s="43"/>
      <c r="AA56" s="44"/>
    </row>
    <row r="57" spans="1:27" x14ac:dyDescent="0.25">
      <c r="A57" s="48">
        <v>46</v>
      </c>
      <c r="B57" s="52" t="s">
        <v>132</v>
      </c>
      <c r="C57" s="50" t="s">
        <v>133</v>
      </c>
      <c r="D57" s="51">
        <f t="shared" si="3"/>
        <v>29169</v>
      </c>
      <c r="E57" s="51">
        <v>1747</v>
      </c>
      <c r="F57" s="51">
        <v>1836</v>
      </c>
      <c r="G57" s="51">
        <v>2458</v>
      </c>
      <c r="H57" s="51">
        <v>27</v>
      </c>
      <c r="I57" s="51">
        <v>465</v>
      </c>
      <c r="J57" s="51">
        <v>0</v>
      </c>
      <c r="K57" s="51">
        <f t="shared" si="4"/>
        <v>1227</v>
      </c>
      <c r="L57" s="51">
        <v>0</v>
      </c>
      <c r="M57" s="51">
        <v>1227</v>
      </c>
      <c r="N57" s="51">
        <f t="shared" si="5"/>
        <v>0</v>
      </c>
      <c r="O57" s="51">
        <v>0</v>
      </c>
      <c r="P57" s="51">
        <v>0</v>
      </c>
      <c r="Q57" s="51">
        <v>0</v>
      </c>
      <c r="R57" s="51">
        <v>0</v>
      </c>
      <c r="S57" s="51">
        <f t="shared" si="7"/>
        <v>21409</v>
      </c>
      <c r="T57" s="51">
        <v>0</v>
      </c>
      <c r="U57" s="51">
        <v>630</v>
      </c>
      <c r="V57" s="51">
        <f t="shared" si="6"/>
        <v>20779</v>
      </c>
      <c r="W57" s="51">
        <v>4859</v>
      </c>
      <c r="X57" s="51">
        <v>15920</v>
      </c>
      <c r="Y57" s="43"/>
      <c r="Z57" s="43"/>
      <c r="AA57" s="44"/>
    </row>
    <row r="58" spans="1:27" x14ac:dyDescent="0.25">
      <c r="A58" s="48">
        <v>47</v>
      </c>
      <c r="B58" s="167" t="s">
        <v>134</v>
      </c>
      <c r="C58" s="50" t="s">
        <v>135</v>
      </c>
      <c r="D58" s="51">
        <f t="shared" si="3"/>
        <v>44851</v>
      </c>
      <c r="E58" s="51">
        <v>2736</v>
      </c>
      <c r="F58" s="51">
        <v>2041</v>
      </c>
      <c r="G58" s="51">
        <v>3885</v>
      </c>
      <c r="H58" s="51">
        <v>3</v>
      </c>
      <c r="I58" s="51">
        <v>838</v>
      </c>
      <c r="J58" s="51">
        <v>0</v>
      </c>
      <c r="K58" s="51">
        <f t="shared" si="4"/>
        <v>1375</v>
      </c>
      <c r="L58" s="51">
        <v>5</v>
      </c>
      <c r="M58" s="51">
        <v>1370</v>
      </c>
      <c r="N58" s="51">
        <f t="shared" si="5"/>
        <v>0</v>
      </c>
      <c r="O58" s="51">
        <v>0</v>
      </c>
      <c r="P58" s="51">
        <v>0</v>
      </c>
      <c r="Q58" s="51">
        <v>0</v>
      </c>
      <c r="R58" s="51">
        <v>0</v>
      </c>
      <c r="S58" s="51">
        <f t="shared" si="7"/>
        <v>33973</v>
      </c>
      <c r="T58" s="51">
        <v>0</v>
      </c>
      <c r="U58" s="51">
        <v>310</v>
      </c>
      <c r="V58" s="51">
        <f t="shared" si="6"/>
        <v>33663</v>
      </c>
      <c r="W58" s="51">
        <v>7554</v>
      </c>
      <c r="X58" s="51">
        <v>26109</v>
      </c>
      <c r="Y58" s="43"/>
      <c r="Z58" s="43"/>
      <c r="AA58" s="44"/>
    </row>
    <row r="59" spans="1:27" x14ac:dyDescent="0.25">
      <c r="A59" s="48">
        <v>48</v>
      </c>
      <c r="B59" s="167" t="s">
        <v>136</v>
      </c>
      <c r="C59" s="50" t="s">
        <v>137</v>
      </c>
      <c r="D59" s="51">
        <f t="shared" si="3"/>
        <v>155970</v>
      </c>
      <c r="E59" s="51">
        <v>9785</v>
      </c>
      <c r="F59" s="51">
        <v>2731</v>
      </c>
      <c r="G59" s="51">
        <v>13284</v>
      </c>
      <c r="H59" s="51">
        <v>24</v>
      </c>
      <c r="I59" s="51">
        <v>3384</v>
      </c>
      <c r="J59" s="51">
        <v>0</v>
      </c>
      <c r="K59" s="51">
        <f t="shared" si="4"/>
        <v>4364</v>
      </c>
      <c r="L59" s="51">
        <v>0</v>
      </c>
      <c r="M59" s="51">
        <v>4364</v>
      </c>
      <c r="N59" s="51">
        <f t="shared" si="5"/>
        <v>0</v>
      </c>
      <c r="O59" s="51">
        <v>0</v>
      </c>
      <c r="P59" s="51">
        <v>0</v>
      </c>
      <c r="Q59" s="51">
        <v>0</v>
      </c>
      <c r="R59" s="51">
        <v>0</v>
      </c>
      <c r="S59" s="51">
        <f t="shared" si="7"/>
        <v>122398</v>
      </c>
      <c r="T59" s="51">
        <v>5100</v>
      </c>
      <c r="U59" s="51">
        <v>4100</v>
      </c>
      <c r="V59" s="51">
        <f t="shared" si="6"/>
        <v>113198</v>
      </c>
      <c r="W59" s="51">
        <v>27664</v>
      </c>
      <c r="X59" s="51">
        <v>85534</v>
      </c>
      <c r="Y59" s="43"/>
      <c r="Z59" s="43"/>
      <c r="AA59" s="44"/>
    </row>
    <row r="60" spans="1:27" x14ac:dyDescent="0.25">
      <c r="A60" s="48">
        <v>49</v>
      </c>
      <c r="B60" s="167" t="s">
        <v>138</v>
      </c>
      <c r="C60" s="50" t="s">
        <v>139</v>
      </c>
      <c r="D60" s="51">
        <f t="shared" si="3"/>
        <v>32573</v>
      </c>
      <c r="E60" s="51">
        <v>1965</v>
      </c>
      <c r="F60" s="51">
        <v>1822</v>
      </c>
      <c r="G60" s="51">
        <v>2761</v>
      </c>
      <c r="H60" s="51">
        <v>0</v>
      </c>
      <c r="I60" s="51">
        <v>560</v>
      </c>
      <c r="J60" s="51">
        <v>0</v>
      </c>
      <c r="K60" s="51">
        <f t="shared" si="4"/>
        <v>1364</v>
      </c>
      <c r="L60" s="51">
        <v>0</v>
      </c>
      <c r="M60" s="51">
        <v>1364</v>
      </c>
      <c r="N60" s="51">
        <f t="shared" si="5"/>
        <v>0</v>
      </c>
      <c r="O60" s="51">
        <v>0</v>
      </c>
      <c r="P60" s="51">
        <v>0</v>
      </c>
      <c r="Q60" s="51">
        <v>0</v>
      </c>
      <c r="R60" s="51">
        <v>0</v>
      </c>
      <c r="S60" s="51">
        <f t="shared" si="7"/>
        <v>24101</v>
      </c>
      <c r="T60" s="51">
        <v>0</v>
      </c>
      <c r="U60" s="51">
        <v>1220</v>
      </c>
      <c r="V60" s="51">
        <f t="shared" si="6"/>
        <v>22881</v>
      </c>
      <c r="W60" s="51">
        <v>5512</v>
      </c>
      <c r="X60" s="51">
        <v>17369</v>
      </c>
      <c r="Y60" s="43"/>
      <c r="Z60" s="43"/>
      <c r="AA60" s="44"/>
    </row>
    <row r="61" spans="1:27" x14ac:dyDescent="0.25">
      <c r="A61" s="48">
        <v>50</v>
      </c>
      <c r="B61" s="167" t="s">
        <v>140</v>
      </c>
      <c r="C61" s="50" t="s">
        <v>141</v>
      </c>
      <c r="D61" s="51">
        <f t="shared" si="3"/>
        <v>23996</v>
      </c>
      <c r="E61" s="51">
        <v>1433</v>
      </c>
      <c r="F61" s="51">
        <v>1584</v>
      </c>
      <c r="G61" s="51">
        <v>2051</v>
      </c>
      <c r="H61" s="51">
        <v>0</v>
      </c>
      <c r="I61" s="51">
        <v>444</v>
      </c>
      <c r="J61" s="51">
        <v>0</v>
      </c>
      <c r="K61" s="51">
        <f t="shared" si="4"/>
        <v>339</v>
      </c>
      <c r="L61" s="51">
        <v>0</v>
      </c>
      <c r="M61" s="51">
        <v>339</v>
      </c>
      <c r="N61" s="51">
        <f t="shared" si="5"/>
        <v>0</v>
      </c>
      <c r="O61" s="51">
        <v>0</v>
      </c>
      <c r="P61" s="51">
        <v>0</v>
      </c>
      <c r="Q61" s="51">
        <v>0</v>
      </c>
      <c r="R61" s="51">
        <v>0</v>
      </c>
      <c r="S61" s="51">
        <f t="shared" si="7"/>
        <v>18145</v>
      </c>
      <c r="T61" s="51">
        <v>0</v>
      </c>
      <c r="U61" s="51">
        <v>627</v>
      </c>
      <c r="V61" s="51">
        <f t="shared" si="6"/>
        <v>17518</v>
      </c>
      <c r="W61" s="51">
        <v>4007</v>
      </c>
      <c r="X61" s="51">
        <v>13511</v>
      </c>
      <c r="Y61" s="43"/>
      <c r="Z61" s="43"/>
      <c r="AA61" s="44"/>
    </row>
    <row r="62" spans="1:27" x14ac:dyDescent="0.25">
      <c r="A62" s="48">
        <v>51</v>
      </c>
      <c r="B62" s="52" t="s">
        <v>142</v>
      </c>
      <c r="C62" s="50" t="s">
        <v>143</v>
      </c>
      <c r="D62" s="51">
        <f t="shared" si="3"/>
        <v>25170</v>
      </c>
      <c r="E62" s="51">
        <v>1579</v>
      </c>
      <c r="F62" s="51">
        <v>463</v>
      </c>
      <c r="G62" s="51">
        <v>2213</v>
      </c>
      <c r="H62" s="51">
        <v>3</v>
      </c>
      <c r="I62" s="51">
        <v>517</v>
      </c>
      <c r="J62" s="51">
        <v>0</v>
      </c>
      <c r="K62" s="51">
        <f t="shared" si="4"/>
        <v>1076</v>
      </c>
      <c r="L62" s="51">
        <v>6</v>
      </c>
      <c r="M62" s="51">
        <v>1070</v>
      </c>
      <c r="N62" s="51">
        <f t="shared" si="5"/>
        <v>0</v>
      </c>
      <c r="O62" s="51">
        <v>0</v>
      </c>
      <c r="P62" s="51">
        <v>0</v>
      </c>
      <c r="Q62" s="51">
        <v>0</v>
      </c>
      <c r="R62" s="51">
        <v>0</v>
      </c>
      <c r="S62" s="51">
        <f t="shared" si="7"/>
        <v>19319</v>
      </c>
      <c r="T62" s="51">
        <v>0</v>
      </c>
      <c r="U62" s="51">
        <v>1128</v>
      </c>
      <c r="V62" s="51">
        <f t="shared" si="6"/>
        <v>18191</v>
      </c>
      <c r="W62" s="51">
        <v>4385</v>
      </c>
      <c r="X62" s="51">
        <v>13806</v>
      </c>
      <c r="Y62" s="43"/>
      <c r="Z62" s="43"/>
      <c r="AA62" s="44"/>
    </row>
    <row r="63" spans="1:27" x14ac:dyDescent="0.25">
      <c r="A63" s="48">
        <v>52</v>
      </c>
      <c r="B63" s="167" t="s">
        <v>144</v>
      </c>
      <c r="C63" s="50" t="s">
        <v>145</v>
      </c>
      <c r="D63" s="51">
        <f t="shared" si="3"/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f t="shared" si="4"/>
        <v>0</v>
      </c>
      <c r="L63" s="51">
        <v>0</v>
      </c>
      <c r="M63" s="51">
        <v>0</v>
      </c>
      <c r="N63" s="51">
        <f t="shared" si="5"/>
        <v>0</v>
      </c>
      <c r="O63" s="51">
        <v>0</v>
      </c>
      <c r="P63" s="51">
        <v>0</v>
      </c>
      <c r="Q63" s="51">
        <v>0</v>
      </c>
      <c r="R63" s="51">
        <v>0</v>
      </c>
      <c r="S63" s="51">
        <f t="shared" si="7"/>
        <v>0</v>
      </c>
      <c r="T63" s="51">
        <v>0</v>
      </c>
      <c r="U63" s="51">
        <v>0</v>
      </c>
      <c r="V63" s="51">
        <f t="shared" si="6"/>
        <v>0</v>
      </c>
      <c r="W63" s="51">
        <v>0</v>
      </c>
      <c r="X63" s="51">
        <v>0</v>
      </c>
      <c r="Y63" s="43"/>
      <c r="Z63" s="43"/>
      <c r="AA63" s="44"/>
    </row>
    <row r="64" spans="1:27" x14ac:dyDescent="0.25">
      <c r="A64" s="48">
        <v>53</v>
      </c>
      <c r="B64" s="167" t="s">
        <v>146</v>
      </c>
      <c r="C64" s="50" t="s">
        <v>147</v>
      </c>
      <c r="D64" s="51">
        <f t="shared" si="3"/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f t="shared" si="4"/>
        <v>0</v>
      </c>
      <c r="L64" s="51">
        <v>0</v>
      </c>
      <c r="M64" s="51">
        <v>0</v>
      </c>
      <c r="N64" s="51">
        <f t="shared" si="5"/>
        <v>0</v>
      </c>
      <c r="O64" s="51">
        <v>0</v>
      </c>
      <c r="P64" s="51">
        <v>0</v>
      </c>
      <c r="Q64" s="51">
        <v>0</v>
      </c>
      <c r="R64" s="51">
        <v>0</v>
      </c>
      <c r="S64" s="51">
        <f t="shared" si="7"/>
        <v>0</v>
      </c>
      <c r="T64" s="51">
        <v>0</v>
      </c>
      <c r="U64" s="51">
        <v>0</v>
      </c>
      <c r="V64" s="51">
        <f t="shared" si="6"/>
        <v>0</v>
      </c>
      <c r="W64" s="51">
        <v>0</v>
      </c>
      <c r="X64" s="51">
        <v>0</v>
      </c>
      <c r="Y64" s="43"/>
      <c r="Z64" s="43"/>
      <c r="AA64" s="44"/>
    </row>
    <row r="65" spans="1:28" ht="23.25" customHeight="1" x14ac:dyDescent="0.25">
      <c r="A65" s="48">
        <v>54</v>
      </c>
      <c r="B65" s="167" t="s">
        <v>148</v>
      </c>
      <c r="C65" s="50" t="s">
        <v>149</v>
      </c>
      <c r="D65" s="51">
        <f t="shared" si="3"/>
        <v>46096</v>
      </c>
      <c r="E65" s="51">
        <v>3305</v>
      </c>
      <c r="F65" s="51">
        <v>939</v>
      </c>
      <c r="G65" s="51">
        <v>0</v>
      </c>
      <c r="H65" s="51">
        <v>0</v>
      </c>
      <c r="I65" s="51">
        <v>0</v>
      </c>
      <c r="J65" s="51">
        <v>0</v>
      </c>
      <c r="K65" s="51">
        <f t="shared" si="4"/>
        <v>7791</v>
      </c>
      <c r="L65" s="51">
        <v>200</v>
      </c>
      <c r="M65" s="51">
        <v>7591</v>
      </c>
      <c r="N65" s="51">
        <f t="shared" si="5"/>
        <v>0</v>
      </c>
      <c r="O65" s="51">
        <v>0</v>
      </c>
      <c r="P65" s="51">
        <v>0</v>
      </c>
      <c r="Q65" s="51">
        <v>0</v>
      </c>
      <c r="R65" s="51">
        <v>0</v>
      </c>
      <c r="S65" s="51">
        <f t="shared" si="7"/>
        <v>34061</v>
      </c>
      <c r="T65" s="51">
        <v>0</v>
      </c>
      <c r="U65" s="51">
        <v>536</v>
      </c>
      <c r="V65" s="51">
        <f t="shared" si="6"/>
        <v>33525</v>
      </c>
      <c r="W65" s="51">
        <v>0</v>
      </c>
      <c r="X65" s="51">
        <v>33525</v>
      </c>
      <c r="Y65" s="43"/>
      <c r="Z65" s="43"/>
      <c r="AA65" s="44"/>
    </row>
    <row r="66" spans="1:28" ht="23.25" customHeight="1" x14ac:dyDescent="0.25">
      <c r="A66" s="48">
        <v>55</v>
      </c>
      <c r="B66" s="52" t="s">
        <v>150</v>
      </c>
      <c r="C66" s="50" t="s">
        <v>151</v>
      </c>
      <c r="D66" s="51">
        <f t="shared" si="3"/>
        <v>35482</v>
      </c>
      <c r="E66" s="51">
        <v>2540</v>
      </c>
      <c r="F66" s="51">
        <v>782</v>
      </c>
      <c r="G66" s="51">
        <v>0</v>
      </c>
      <c r="H66" s="51">
        <v>0</v>
      </c>
      <c r="I66" s="51">
        <v>0</v>
      </c>
      <c r="J66" s="51">
        <v>0</v>
      </c>
      <c r="K66" s="51">
        <f t="shared" si="4"/>
        <v>7103</v>
      </c>
      <c r="L66" s="51">
        <v>240</v>
      </c>
      <c r="M66" s="51">
        <v>6863</v>
      </c>
      <c r="N66" s="51">
        <f t="shared" si="5"/>
        <v>0</v>
      </c>
      <c r="O66" s="51">
        <v>0</v>
      </c>
      <c r="P66" s="51">
        <v>0</v>
      </c>
      <c r="Q66" s="51">
        <v>0</v>
      </c>
      <c r="R66" s="51">
        <v>0</v>
      </c>
      <c r="S66" s="51">
        <f t="shared" si="7"/>
        <v>25057</v>
      </c>
      <c r="T66" s="51">
        <v>0</v>
      </c>
      <c r="U66" s="51">
        <v>300</v>
      </c>
      <c r="V66" s="51">
        <f t="shared" si="6"/>
        <v>24757</v>
      </c>
      <c r="W66" s="51">
        <v>0</v>
      </c>
      <c r="X66" s="51">
        <v>24757</v>
      </c>
      <c r="Y66" s="43"/>
      <c r="Z66" s="43"/>
      <c r="AA66" s="44"/>
    </row>
    <row r="67" spans="1:28" ht="28.5" customHeight="1" x14ac:dyDescent="0.25">
      <c r="A67" s="48">
        <v>56</v>
      </c>
      <c r="B67" s="52" t="s">
        <v>154</v>
      </c>
      <c r="C67" s="50" t="s">
        <v>155</v>
      </c>
      <c r="D67" s="51">
        <f t="shared" si="3"/>
        <v>72228</v>
      </c>
      <c r="E67" s="51">
        <v>4867</v>
      </c>
      <c r="F67" s="51">
        <v>1606</v>
      </c>
      <c r="G67" s="51">
        <v>0</v>
      </c>
      <c r="H67" s="51">
        <v>0</v>
      </c>
      <c r="I67" s="51">
        <v>0</v>
      </c>
      <c r="J67" s="51">
        <v>0</v>
      </c>
      <c r="K67" s="51">
        <f t="shared" si="4"/>
        <v>8000</v>
      </c>
      <c r="L67" s="51">
        <v>140</v>
      </c>
      <c r="M67" s="51">
        <v>7860</v>
      </c>
      <c r="N67" s="51">
        <f t="shared" si="5"/>
        <v>0</v>
      </c>
      <c r="O67" s="51">
        <v>0</v>
      </c>
      <c r="P67" s="51">
        <v>0</v>
      </c>
      <c r="Q67" s="51">
        <v>0</v>
      </c>
      <c r="R67" s="51">
        <v>4121</v>
      </c>
      <c r="S67" s="51">
        <f t="shared" si="7"/>
        <v>53634</v>
      </c>
      <c r="T67" s="51">
        <v>0</v>
      </c>
      <c r="U67" s="51">
        <v>675</v>
      </c>
      <c r="V67" s="51">
        <f t="shared" si="6"/>
        <v>52959</v>
      </c>
      <c r="W67" s="51">
        <v>0</v>
      </c>
      <c r="X67" s="51">
        <v>52959</v>
      </c>
      <c r="Y67" s="43"/>
      <c r="Z67" s="43"/>
      <c r="AA67" s="44"/>
    </row>
    <row r="68" spans="1:28" ht="28.5" customHeight="1" x14ac:dyDescent="0.25">
      <c r="A68" s="48">
        <v>57</v>
      </c>
      <c r="B68" s="49" t="s">
        <v>158</v>
      </c>
      <c r="C68" s="50" t="s">
        <v>159</v>
      </c>
      <c r="D68" s="51">
        <f t="shared" si="3"/>
        <v>29527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f t="shared" si="4"/>
        <v>0</v>
      </c>
      <c r="L68" s="51">
        <v>0</v>
      </c>
      <c r="M68" s="51">
        <v>0</v>
      </c>
      <c r="N68" s="51">
        <f t="shared" si="5"/>
        <v>0</v>
      </c>
      <c r="O68" s="51">
        <v>0</v>
      </c>
      <c r="P68" s="51">
        <v>0</v>
      </c>
      <c r="Q68" s="51">
        <v>0</v>
      </c>
      <c r="R68" s="51">
        <v>0</v>
      </c>
      <c r="S68" s="51">
        <f t="shared" si="7"/>
        <v>29527</v>
      </c>
      <c r="T68" s="51">
        <v>11949</v>
      </c>
      <c r="U68" s="51">
        <v>0</v>
      </c>
      <c r="V68" s="51">
        <f t="shared" si="6"/>
        <v>17578</v>
      </c>
      <c r="W68" s="51">
        <v>17578</v>
      </c>
      <c r="X68" s="51">
        <v>0</v>
      </c>
      <c r="Y68" s="43"/>
      <c r="Z68" s="43"/>
      <c r="AA68" s="44"/>
    </row>
    <row r="69" spans="1:28" ht="28.5" customHeight="1" x14ac:dyDescent="0.25">
      <c r="A69" s="48">
        <v>58</v>
      </c>
      <c r="B69" s="49" t="s">
        <v>160</v>
      </c>
      <c r="C69" s="50" t="s">
        <v>161</v>
      </c>
      <c r="D69" s="51">
        <f t="shared" si="3"/>
        <v>29571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f t="shared" si="4"/>
        <v>0</v>
      </c>
      <c r="L69" s="51">
        <v>0</v>
      </c>
      <c r="M69" s="51">
        <v>0</v>
      </c>
      <c r="N69" s="51">
        <f t="shared" si="5"/>
        <v>0</v>
      </c>
      <c r="O69" s="51">
        <v>0</v>
      </c>
      <c r="P69" s="51">
        <v>0</v>
      </c>
      <c r="Q69" s="51">
        <v>0</v>
      </c>
      <c r="R69" s="51">
        <v>0</v>
      </c>
      <c r="S69" s="51">
        <f t="shared" si="7"/>
        <v>29571</v>
      </c>
      <c r="T69" s="51">
        <v>13891</v>
      </c>
      <c r="U69" s="51">
        <v>0</v>
      </c>
      <c r="V69" s="51">
        <f t="shared" si="6"/>
        <v>15680</v>
      </c>
      <c r="W69" s="51">
        <v>15680</v>
      </c>
      <c r="X69" s="51">
        <v>0</v>
      </c>
      <c r="Y69" s="43"/>
      <c r="Z69" s="43"/>
      <c r="AA69" s="44"/>
      <c r="AB69" s="37"/>
    </row>
    <row r="70" spans="1:28" ht="28.5" customHeight="1" x14ac:dyDescent="0.25">
      <c r="A70" s="48">
        <v>59</v>
      </c>
      <c r="B70" s="52" t="s">
        <v>162</v>
      </c>
      <c r="C70" s="50" t="s">
        <v>163</v>
      </c>
      <c r="D70" s="51">
        <f t="shared" si="3"/>
        <v>88017</v>
      </c>
      <c r="E70" s="51">
        <v>6607</v>
      </c>
      <c r="F70" s="51">
        <v>346</v>
      </c>
      <c r="G70" s="51">
        <v>11714</v>
      </c>
      <c r="H70" s="51">
        <v>15</v>
      </c>
      <c r="I70" s="51">
        <v>3356</v>
      </c>
      <c r="J70" s="51">
        <v>0</v>
      </c>
      <c r="K70" s="51">
        <f t="shared" si="4"/>
        <v>0</v>
      </c>
      <c r="L70" s="51">
        <v>0</v>
      </c>
      <c r="M70" s="51">
        <v>0</v>
      </c>
      <c r="N70" s="51">
        <f t="shared" si="5"/>
        <v>0</v>
      </c>
      <c r="O70" s="51">
        <v>0</v>
      </c>
      <c r="P70" s="51">
        <v>0</v>
      </c>
      <c r="Q70" s="51">
        <v>0</v>
      </c>
      <c r="R70" s="51">
        <v>0</v>
      </c>
      <c r="S70" s="51">
        <f t="shared" si="7"/>
        <v>65979</v>
      </c>
      <c r="T70" s="51">
        <v>0</v>
      </c>
      <c r="U70" s="51">
        <v>8114</v>
      </c>
      <c r="V70" s="51">
        <f t="shared" si="6"/>
        <v>57865</v>
      </c>
      <c r="W70" s="51">
        <v>0</v>
      </c>
      <c r="X70" s="51">
        <v>57865</v>
      </c>
      <c r="Y70" s="43"/>
      <c r="Z70" s="43"/>
      <c r="AA70" s="44"/>
    </row>
    <row r="71" spans="1:28" ht="28.5" customHeight="1" x14ac:dyDescent="0.25">
      <c r="A71" s="48">
        <v>60</v>
      </c>
      <c r="B71" s="52" t="s">
        <v>164</v>
      </c>
      <c r="C71" s="50" t="s">
        <v>165</v>
      </c>
      <c r="D71" s="51">
        <f t="shared" si="3"/>
        <v>44569</v>
      </c>
      <c r="E71" s="51">
        <v>3826</v>
      </c>
      <c r="F71" s="51">
        <v>209</v>
      </c>
      <c r="G71" s="51">
        <v>6784</v>
      </c>
      <c r="H71" s="51">
        <f>669</f>
        <v>669</v>
      </c>
      <c r="I71" s="51">
        <v>1916</v>
      </c>
      <c r="J71" s="51">
        <v>0</v>
      </c>
      <c r="K71" s="51">
        <f t="shared" si="4"/>
        <v>0</v>
      </c>
      <c r="L71" s="51">
        <v>0</v>
      </c>
      <c r="M71" s="51">
        <v>0</v>
      </c>
      <c r="N71" s="51">
        <f t="shared" si="5"/>
        <v>0</v>
      </c>
      <c r="O71" s="51">
        <v>0</v>
      </c>
      <c r="P71" s="51">
        <v>0</v>
      </c>
      <c r="Q71" s="51">
        <v>0</v>
      </c>
      <c r="R71" s="51">
        <v>0</v>
      </c>
      <c r="S71" s="51">
        <f t="shared" si="7"/>
        <v>31165</v>
      </c>
      <c r="T71" s="51">
        <v>0</v>
      </c>
      <c r="U71" s="51">
        <v>800</v>
      </c>
      <c r="V71" s="51">
        <f t="shared" si="6"/>
        <v>30365</v>
      </c>
      <c r="W71" s="51">
        <v>0</v>
      </c>
      <c r="X71" s="51">
        <v>30365</v>
      </c>
      <c r="Y71" s="43"/>
      <c r="Z71" s="43"/>
      <c r="AA71" s="44"/>
    </row>
    <row r="72" spans="1:28" ht="28.5" customHeight="1" x14ac:dyDescent="0.25">
      <c r="A72" s="48">
        <v>61</v>
      </c>
      <c r="B72" s="52" t="s">
        <v>166</v>
      </c>
      <c r="C72" s="50" t="s">
        <v>167</v>
      </c>
      <c r="D72" s="51">
        <f t="shared" si="3"/>
        <v>115247</v>
      </c>
      <c r="E72" s="51">
        <v>8784</v>
      </c>
      <c r="F72" s="51">
        <v>442</v>
      </c>
      <c r="G72" s="51">
        <v>15827</v>
      </c>
      <c r="H72" s="51">
        <v>0</v>
      </c>
      <c r="I72" s="51">
        <v>4450</v>
      </c>
      <c r="J72" s="51">
        <v>0</v>
      </c>
      <c r="K72" s="51">
        <f t="shared" si="4"/>
        <v>0</v>
      </c>
      <c r="L72" s="51">
        <v>0</v>
      </c>
      <c r="M72" s="51">
        <v>0</v>
      </c>
      <c r="N72" s="51">
        <f t="shared" si="5"/>
        <v>0</v>
      </c>
      <c r="O72" s="51">
        <v>0</v>
      </c>
      <c r="P72" s="51">
        <v>0</v>
      </c>
      <c r="Q72" s="51">
        <v>0</v>
      </c>
      <c r="R72" s="51">
        <v>0</v>
      </c>
      <c r="S72" s="51">
        <f t="shared" si="7"/>
        <v>85744</v>
      </c>
      <c r="T72" s="51">
        <v>0</v>
      </c>
      <c r="U72" s="51">
        <v>9643</v>
      </c>
      <c r="V72" s="51">
        <f t="shared" si="6"/>
        <v>76101</v>
      </c>
      <c r="W72" s="51">
        <v>0</v>
      </c>
      <c r="X72" s="51">
        <v>76101</v>
      </c>
      <c r="Y72" s="43"/>
      <c r="Z72" s="43"/>
      <c r="AA72" s="44"/>
    </row>
    <row r="73" spans="1:28" ht="36" customHeight="1" x14ac:dyDescent="0.25">
      <c r="A73" s="901">
        <v>62</v>
      </c>
      <c r="B73" s="49" t="s">
        <v>170</v>
      </c>
      <c r="C73" s="57" t="s">
        <v>774</v>
      </c>
      <c r="D73" s="51">
        <f t="shared" ref="D73:D138" si="8">E73+F73+G73+H73+I73+J73+K73+N73+R73+S73</f>
        <v>53722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f t="shared" ref="K73:K138" si="9">L73+M73</f>
        <v>0</v>
      </c>
      <c r="L73" s="51">
        <v>0</v>
      </c>
      <c r="M73" s="51">
        <v>0</v>
      </c>
      <c r="N73" s="51">
        <f t="shared" ref="N73:N138" si="10">O73+P73+Q73</f>
        <v>0</v>
      </c>
      <c r="O73" s="51">
        <v>0</v>
      </c>
      <c r="P73" s="51">
        <v>0</v>
      </c>
      <c r="Q73" s="51">
        <v>0</v>
      </c>
      <c r="R73" s="51">
        <v>0</v>
      </c>
      <c r="S73" s="51">
        <f t="shared" ref="S73:S139" si="11">T73+U73+V73</f>
        <v>53722</v>
      </c>
      <c r="T73" s="51">
        <v>0</v>
      </c>
      <c r="U73" s="51">
        <v>0</v>
      </c>
      <c r="V73" s="51">
        <f t="shared" ref="V73:V138" si="12">W73+X73</f>
        <v>53722</v>
      </c>
      <c r="W73" s="732">
        <f>15367+25570+5617+7168</f>
        <v>53722</v>
      </c>
      <c r="X73" s="51">
        <v>0</v>
      </c>
      <c r="Y73" s="43"/>
      <c r="Z73" s="43"/>
      <c r="AA73" s="44"/>
    </row>
    <row r="74" spans="1:28" ht="28.5" customHeight="1" x14ac:dyDescent="0.25">
      <c r="A74" s="902"/>
      <c r="B74" s="52" t="s">
        <v>168</v>
      </c>
      <c r="C74" s="50" t="s">
        <v>169</v>
      </c>
      <c r="D74" s="51">
        <f t="shared" ref="D74:D75" si="13">E74+F74+G74+H74+I74+J74+K74+N74+R74+S74</f>
        <v>6457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f t="shared" ref="K74:K75" si="14">L74+M74</f>
        <v>0</v>
      </c>
      <c r="L74" s="51">
        <v>0</v>
      </c>
      <c r="M74" s="51">
        <v>0</v>
      </c>
      <c r="N74" s="51">
        <f t="shared" ref="N74:N75" si="15">O74+P74+Q74</f>
        <v>0</v>
      </c>
      <c r="O74" s="51">
        <v>0</v>
      </c>
      <c r="P74" s="51">
        <v>0</v>
      </c>
      <c r="Q74" s="51">
        <v>0</v>
      </c>
      <c r="R74" s="51">
        <v>0</v>
      </c>
      <c r="S74" s="51">
        <f t="shared" si="11"/>
        <v>6457</v>
      </c>
      <c r="T74" s="51">
        <v>0</v>
      </c>
      <c r="U74" s="51">
        <v>0</v>
      </c>
      <c r="V74" s="51">
        <f t="shared" ref="V74:V75" si="16">W74+X74</f>
        <v>6457</v>
      </c>
      <c r="W74" s="732">
        <v>6457</v>
      </c>
      <c r="X74" s="51">
        <v>0</v>
      </c>
      <c r="Y74" s="43"/>
      <c r="Z74" s="43"/>
      <c r="AA74" s="44"/>
    </row>
    <row r="75" spans="1:28" ht="24.75" customHeight="1" x14ac:dyDescent="0.25">
      <c r="A75" s="903"/>
      <c r="B75" s="52" t="s">
        <v>174</v>
      </c>
      <c r="C75" s="50" t="s">
        <v>175</v>
      </c>
      <c r="D75" s="51">
        <f t="shared" si="13"/>
        <v>6941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f t="shared" si="14"/>
        <v>0</v>
      </c>
      <c r="L75" s="51">
        <v>0</v>
      </c>
      <c r="M75" s="51">
        <v>0</v>
      </c>
      <c r="N75" s="51">
        <f t="shared" si="15"/>
        <v>0</v>
      </c>
      <c r="O75" s="51">
        <v>0</v>
      </c>
      <c r="P75" s="51">
        <v>0</v>
      </c>
      <c r="Q75" s="51">
        <v>0</v>
      </c>
      <c r="R75" s="51">
        <v>0</v>
      </c>
      <c r="S75" s="51">
        <f t="shared" ref="S75" si="17">T75+U75+V75</f>
        <v>6941</v>
      </c>
      <c r="T75" s="51">
        <v>0</v>
      </c>
      <c r="U75" s="51">
        <v>0</v>
      </c>
      <c r="V75" s="51">
        <f t="shared" si="16"/>
        <v>6941</v>
      </c>
      <c r="W75" s="732">
        <v>6941</v>
      </c>
      <c r="X75" s="51">
        <v>0</v>
      </c>
      <c r="Y75" s="43"/>
      <c r="Z75" s="43"/>
      <c r="AA75" s="44"/>
    </row>
    <row r="76" spans="1:28" ht="37.5" customHeight="1" x14ac:dyDescent="0.25">
      <c r="A76" s="901">
        <v>63</v>
      </c>
      <c r="B76" s="624" t="s">
        <v>176</v>
      </c>
      <c r="C76" s="57" t="s">
        <v>777</v>
      </c>
      <c r="D76" s="731">
        <f t="shared" si="8"/>
        <v>80803</v>
      </c>
      <c r="E76" s="731">
        <v>0</v>
      </c>
      <c r="F76" s="731">
        <v>0</v>
      </c>
      <c r="G76" s="731">
        <v>0</v>
      </c>
      <c r="H76" s="731">
        <v>0</v>
      </c>
      <c r="I76" s="731">
        <v>0</v>
      </c>
      <c r="J76" s="731">
        <v>0</v>
      </c>
      <c r="K76" s="731">
        <f t="shared" si="9"/>
        <v>0</v>
      </c>
      <c r="L76" s="731">
        <v>0</v>
      </c>
      <c r="M76" s="731">
        <v>0</v>
      </c>
      <c r="N76" s="731">
        <f t="shared" si="10"/>
        <v>0</v>
      </c>
      <c r="O76" s="731">
        <v>0</v>
      </c>
      <c r="P76" s="731">
        <v>0</v>
      </c>
      <c r="Q76" s="731">
        <v>0</v>
      </c>
      <c r="R76" s="731">
        <v>0</v>
      </c>
      <c r="S76" s="731">
        <f t="shared" si="11"/>
        <v>80803</v>
      </c>
      <c r="T76" s="731">
        <v>2833</v>
      </c>
      <c r="U76" s="731">
        <v>0</v>
      </c>
      <c r="V76" s="731">
        <f t="shared" si="12"/>
        <v>77970</v>
      </c>
      <c r="W76" s="733">
        <f>22674+36864+6350+6339+5743</f>
        <v>77970</v>
      </c>
      <c r="X76" s="731">
        <v>0</v>
      </c>
      <c r="Y76" s="43"/>
      <c r="Z76" s="43"/>
      <c r="AA76" s="44"/>
    </row>
    <row r="77" spans="1:28" ht="27" customHeight="1" x14ac:dyDescent="0.25">
      <c r="A77" s="902"/>
      <c r="B77" s="52" t="s">
        <v>172</v>
      </c>
      <c r="C77" s="50" t="s">
        <v>173</v>
      </c>
      <c r="D77" s="51">
        <f t="shared" ref="D77" si="18">E77+F77+G77+H77+I77+J77+K77+N77+R77+S77</f>
        <v>6265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f t="shared" ref="K77" si="19">L77+M77</f>
        <v>0</v>
      </c>
      <c r="L77" s="51">
        <v>0</v>
      </c>
      <c r="M77" s="51">
        <v>0</v>
      </c>
      <c r="N77" s="51">
        <f t="shared" ref="N77" si="20">O77+P77+Q77</f>
        <v>0</v>
      </c>
      <c r="O77" s="51">
        <v>0</v>
      </c>
      <c r="P77" s="51">
        <v>0</v>
      </c>
      <c r="Q77" s="51">
        <v>0</v>
      </c>
      <c r="R77" s="51">
        <v>0</v>
      </c>
      <c r="S77" s="51">
        <f t="shared" ref="S77" si="21">T77+U77+V77</f>
        <v>6265</v>
      </c>
      <c r="T77" s="51">
        <v>0</v>
      </c>
      <c r="U77" s="51">
        <v>0</v>
      </c>
      <c r="V77" s="51">
        <f t="shared" ref="V77" si="22">W77+X77</f>
        <v>6265</v>
      </c>
      <c r="W77" s="732">
        <v>6265</v>
      </c>
      <c r="X77" s="51">
        <v>0</v>
      </c>
      <c r="Y77" s="43"/>
      <c r="Z77" s="43"/>
      <c r="AA77" s="44"/>
    </row>
    <row r="78" spans="1:28" ht="30" customHeight="1" x14ac:dyDescent="0.25">
      <c r="A78" s="902"/>
      <c r="B78" s="49" t="s">
        <v>178</v>
      </c>
      <c r="C78" s="50" t="s">
        <v>179</v>
      </c>
      <c r="D78" s="51">
        <f t="shared" si="8"/>
        <v>6689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f t="shared" si="9"/>
        <v>0</v>
      </c>
      <c r="L78" s="51">
        <v>0</v>
      </c>
      <c r="M78" s="51">
        <v>0</v>
      </c>
      <c r="N78" s="51">
        <f t="shared" si="10"/>
        <v>0</v>
      </c>
      <c r="O78" s="51">
        <v>0</v>
      </c>
      <c r="P78" s="51">
        <v>0</v>
      </c>
      <c r="Q78" s="51">
        <v>0</v>
      </c>
      <c r="R78" s="51">
        <v>0</v>
      </c>
      <c r="S78" s="51">
        <f t="shared" si="11"/>
        <v>6689</v>
      </c>
      <c r="T78" s="51">
        <v>0</v>
      </c>
      <c r="U78" s="51">
        <v>0</v>
      </c>
      <c r="V78" s="51">
        <f t="shared" si="12"/>
        <v>6689</v>
      </c>
      <c r="W78" s="732">
        <v>6689</v>
      </c>
      <c r="X78" s="51">
        <v>0</v>
      </c>
      <c r="Y78" s="43"/>
      <c r="Z78" s="43"/>
      <c r="AA78" s="44"/>
    </row>
    <row r="79" spans="1:28" ht="34.5" customHeight="1" x14ac:dyDescent="0.25">
      <c r="A79" s="903"/>
      <c r="B79" s="49" t="s">
        <v>180</v>
      </c>
      <c r="C79" s="50" t="s">
        <v>181</v>
      </c>
      <c r="D79" s="51">
        <f t="shared" si="8"/>
        <v>4872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f t="shared" si="9"/>
        <v>0</v>
      </c>
      <c r="L79" s="51">
        <v>0</v>
      </c>
      <c r="M79" s="51">
        <v>0</v>
      </c>
      <c r="N79" s="51">
        <f t="shared" si="10"/>
        <v>0</v>
      </c>
      <c r="O79" s="51">
        <v>0</v>
      </c>
      <c r="P79" s="51">
        <v>0</v>
      </c>
      <c r="Q79" s="51">
        <v>0</v>
      </c>
      <c r="R79" s="51">
        <v>0</v>
      </c>
      <c r="S79" s="51">
        <f t="shared" si="11"/>
        <v>4872</v>
      </c>
      <c r="T79" s="51">
        <v>0</v>
      </c>
      <c r="U79" s="51">
        <v>0</v>
      </c>
      <c r="V79" s="51">
        <f t="shared" si="12"/>
        <v>4872</v>
      </c>
      <c r="W79" s="732">
        <v>4872</v>
      </c>
      <c r="X79" s="51">
        <v>0</v>
      </c>
      <c r="Y79" s="43"/>
      <c r="Z79" s="43"/>
      <c r="AA79" s="44"/>
    </row>
    <row r="80" spans="1:28" ht="28.5" customHeight="1" x14ac:dyDescent="0.25">
      <c r="A80" s="48">
        <v>64</v>
      </c>
      <c r="B80" s="167" t="s">
        <v>182</v>
      </c>
      <c r="C80" s="50" t="s">
        <v>183</v>
      </c>
      <c r="D80" s="51">
        <f t="shared" si="8"/>
        <v>103445</v>
      </c>
      <c r="E80" s="51">
        <v>7302</v>
      </c>
      <c r="F80" s="51">
        <v>960</v>
      </c>
      <c r="G80" s="51">
        <v>9088</v>
      </c>
      <c r="H80" s="51">
        <v>42</v>
      </c>
      <c r="I80" s="51">
        <v>2816</v>
      </c>
      <c r="J80" s="51">
        <v>0</v>
      </c>
      <c r="K80" s="51">
        <f t="shared" si="9"/>
        <v>2300</v>
      </c>
      <c r="L80" s="51">
        <v>30</v>
      </c>
      <c r="M80" s="51">
        <v>2270</v>
      </c>
      <c r="N80" s="51">
        <f t="shared" si="10"/>
        <v>0</v>
      </c>
      <c r="O80" s="51">
        <v>0</v>
      </c>
      <c r="P80" s="51">
        <v>0</v>
      </c>
      <c r="Q80" s="51">
        <v>0</v>
      </c>
      <c r="R80" s="51">
        <v>2654</v>
      </c>
      <c r="S80" s="51">
        <f t="shared" si="11"/>
        <v>78283</v>
      </c>
      <c r="T80" s="51">
        <v>0</v>
      </c>
      <c r="U80" s="51">
        <v>3030</v>
      </c>
      <c r="V80" s="51">
        <f t="shared" si="12"/>
        <v>75253</v>
      </c>
      <c r="W80" s="51">
        <v>17710</v>
      </c>
      <c r="X80" s="51">
        <v>57543</v>
      </c>
      <c r="Y80" s="43"/>
      <c r="Z80" s="43"/>
      <c r="AA80" s="44"/>
    </row>
    <row r="81" spans="1:27" ht="28.5" customHeight="1" x14ac:dyDescent="0.25">
      <c r="A81" s="48">
        <v>65</v>
      </c>
      <c r="B81" s="49" t="s">
        <v>184</v>
      </c>
      <c r="C81" s="50" t="s">
        <v>185</v>
      </c>
      <c r="D81" s="51">
        <f t="shared" si="8"/>
        <v>166283</v>
      </c>
      <c r="E81" s="51">
        <v>12625</v>
      </c>
      <c r="F81" s="51">
        <v>710</v>
      </c>
      <c r="G81" s="51">
        <v>21915</v>
      </c>
      <c r="H81" s="51">
        <v>3</v>
      </c>
      <c r="I81" s="51">
        <v>6912</v>
      </c>
      <c r="J81" s="51">
        <v>0</v>
      </c>
      <c r="K81" s="51">
        <f t="shared" si="9"/>
        <v>255</v>
      </c>
      <c r="L81" s="51">
        <v>0</v>
      </c>
      <c r="M81" s="51">
        <v>255</v>
      </c>
      <c r="N81" s="51">
        <f t="shared" si="10"/>
        <v>0</v>
      </c>
      <c r="O81" s="51">
        <v>0</v>
      </c>
      <c r="P81" s="51">
        <v>0</v>
      </c>
      <c r="Q81" s="51">
        <v>0</v>
      </c>
      <c r="R81" s="51">
        <v>4338</v>
      </c>
      <c r="S81" s="51">
        <f t="shared" si="11"/>
        <v>119525</v>
      </c>
      <c r="T81" s="51">
        <v>0</v>
      </c>
      <c r="U81" s="51">
        <v>10400</v>
      </c>
      <c r="V81" s="51">
        <f t="shared" si="12"/>
        <v>109125</v>
      </c>
      <c r="W81" s="51">
        <v>0</v>
      </c>
      <c r="X81" s="51">
        <v>109125</v>
      </c>
      <c r="Y81" s="43"/>
      <c r="Z81" s="43"/>
      <c r="AA81" s="44"/>
    </row>
    <row r="82" spans="1:27" ht="28.5" customHeight="1" x14ac:dyDescent="0.25">
      <c r="A82" s="48">
        <v>66</v>
      </c>
      <c r="B82" s="167" t="s">
        <v>186</v>
      </c>
      <c r="C82" s="50" t="s">
        <v>187</v>
      </c>
      <c r="D82" s="51">
        <f t="shared" si="8"/>
        <v>96527</v>
      </c>
      <c r="E82" s="51">
        <v>6723</v>
      </c>
      <c r="F82" s="51">
        <v>363</v>
      </c>
      <c r="G82" s="51">
        <v>11919</v>
      </c>
      <c r="H82" s="51">
        <v>21</v>
      </c>
      <c r="I82" s="51">
        <v>3357</v>
      </c>
      <c r="J82" s="51">
        <v>7941</v>
      </c>
      <c r="K82" s="51">
        <f t="shared" si="9"/>
        <v>0</v>
      </c>
      <c r="L82" s="51">
        <v>0</v>
      </c>
      <c r="M82" s="51">
        <v>0</v>
      </c>
      <c r="N82" s="51">
        <f t="shared" si="10"/>
        <v>0</v>
      </c>
      <c r="O82" s="51">
        <v>0</v>
      </c>
      <c r="P82" s="51">
        <v>0</v>
      </c>
      <c r="Q82" s="51">
        <v>0</v>
      </c>
      <c r="R82" s="51">
        <v>5265</v>
      </c>
      <c r="S82" s="51">
        <f t="shared" si="11"/>
        <v>60938</v>
      </c>
      <c r="T82" s="51">
        <v>0</v>
      </c>
      <c r="U82" s="51">
        <v>2100</v>
      </c>
      <c r="V82" s="51">
        <f t="shared" si="12"/>
        <v>58838</v>
      </c>
      <c r="W82" s="51">
        <v>11221</v>
      </c>
      <c r="X82" s="51">
        <v>47617</v>
      </c>
      <c r="Y82" s="43"/>
      <c r="Z82" s="43"/>
      <c r="AA82" s="44"/>
    </row>
    <row r="83" spans="1:27" ht="28.5" customHeight="1" x14ac:dyDescent="0.25">
      <c r="A83" s="901">
        <v>67</v>
      </c>
      <c r="B83" s="624" t="s">
        <v>188</v>
      </c>
      <c r="C83" s="57" t="s">
        <v>785</v>
      </c>
      <c r="D83" s="731">
        <f t="shared" si="8"/>
        <v>103764</v>
      </c>
      <c r="E83" s="731">
        <f>4563+1891+945</f>
        <v>7399</v>
      </c>
      <c r="F83" s="731">
        <f>419+539+270</f>
        <v>1228</v>
      </c>
      <c r="G83" s="731">
        <v>8089</v>
      </c>
      <c r="H83" s="731">
        <v>39</v>
      </c>
      <c r="I83" s="731">
        <v>2428</v>
      </c>
      <c r="J83" s="731">
        <v>0</v>
      </c>
      <c r="K83" s="731">
        <f t="shared" si="9"/>
        <v>12118</v>
      </c>
      <c r="L83" s="731">
        <f>390+195</f>
        <v>585</v>
      </c>
      <c r="M83" s="731">
        <f>7689+3844</f>
        <v>11533</v>
      </c>
      <c r="N83" s="731">
        <f t="shared" si="10"/>
        <v>0</v>
      </c>
      <c r="O83" s="731">
        <v>0</v>
      </c>
      <c r="P83" s="731">
        <v>0</v>
      </c>
      <c r="Q83" s="731">
        <v>0</v>
      </c>
      <c r="R83" s="731">
        <v>0</v>
      </c>
      <c r="S83" s="731">
        <f t="shared" si="11"/>
        <v>72463</v>
      </c>
      <c r="T83" s="731">
        <v>0</v>
      </c>
      <c r="U83" s="42">
        <f>2474+714+357</f>
        <v>3545</v>
      </c>
      <c r="V83" s="731">
        <f t="shared" si="12"/>
        <v>68918</v>
      </c>
      <c r="W83" s="733">
        <f>10026+3250+1625</f>
        <v>14901</v>
      </c>
      <c r="X83" s="734">
        <f>34500+13011+6506</f>
        <v>54017</v>
      </c>
      <c r="Y83" s="43"/>
      <c r="Z83" s="43"/>
      <c r="AA83" s="44"/>
    </row>
    <row r="84" spans="1:27" ht="28.5" customHeight="1" x14ac:dyDescent="0.25">
      <c r="A84" s="903"/>
      <c r="B84" s="167" t="s">
        <v>156</v>
      </c>
      <c r="C84" s="50" t="s">
        <v>157</v>
      </c>
      <c r="D84" s="51">
        <f t="shared" si="8"/>
        <v>19494</v>
      </c>
      <c r="E84" s="51"/>
      <c r="F84" s="51"/>
      <c r="G84" s="51">
        <v>0</v>
      </c>
      <c r="H84" s="51">
        <v>0</v>
      </c>
      <c r="I84" s="51">
        <v>0</v>
      </c>
      <c r="J84" s="51">
        <v>0</v>
      </c>
      <c r="K84" s="51">
        <f t="shared" si="9"/>
        <v>6179</v>
      </c>
      <c r="L84" s="51">
        <v>195</v>
      </c>
      <c r="M84" s="51">
        <v>5984</v>
      </c>
      <c r="N84" s="51">
        <f t="shared" si="10"/>
        <v>0</v>
      </c>
      <c r="O84" s="51">
        <v>0</v>
      </c>
      <c r="P84" s="51">
        <v>0</v>
      </c>
      <c r="Q84" s="51">
        <v>0</v>
      </c>
      <c r="R84" s="51">
        <v>0</v>
      </c>
      <c r="S84" s="51">
        <f t="shared" si="11"/>
        <v>13315</v>
      </c>
      <c r="T84" s="51">
        <v>0</v>
      </c>
      <c r="U84" s="46">
        <v>357</v>
      </c>
      <c r="V84" s="51">
        <f t="shared" si="12"/>
        <v>12958</v>
      </c>
      <c r="W84" s="732">
        <v>3070</v>
      </c>
      <c r="X84" s="735">
        <v>9888</v>
      </c>
      <c r="Y84" s="43"/>
      <c r="Z84" s="43"/>
      <c r="AA84" s="44"/>
    </row>
    <row r="85" spans="1:27" ht="28.5" customHeight="1" x14ac:dyDescent="0.25">
      <c r="A85" s="48">
        <v>68</v>
      </c>
      <c r="B85" s="49" t="s">
        <v>190</v>
      </c>
      <c r="C85" s="50" t="s">
        <v>191</v>
      </c>
      <c r="D85" s="51">
        <f t="shared" si="8"/>
        <v>166424</v>
      </c>
      <c r="E85" s="51">
        <v>11386</v>
      </c>
      <c r="F85" s="51">
        <v>2105</v>
      </c>
      <c r="G85" s="51">
        <v>20187</v>
      </c>
      <c r="H85" s="51">
        <v>234</v>
      </c>
      <c r="I85" s="51">
        <v>5757</v>
      </c>
      <c r="J85" s="51">
        <v>8551</v>
      </c>
      <c r="K85" s="51">
        <f t="shared" si="9"/>
        <v>0</v>
      </c>
      <c r="L85" s="51">
        <v>0</v>
      </c>
      <c r="M85" s="51">
        <v>0</v>
      </c>
      <c r="N85" s="51">
        <f t="shared" si="10"/>
        <v>0</v>
      </c>
      <c r="O85" s="51">
        <v>0</v>
      </c>
      <c r="P85" s="51">
        <v>0</v>
      </c>
      <c r="Q85" s="51">
        <v>0</v>
      </c>
      <c r="R85" s="51">
        <v>0</v>
      </c>
      <c r="S85" s="51">
        <f t="shared" si="11"/>
        <v>118204</v>
      </c>
      <c r="T85" s="51">
        <v>0</v>
      </c>
      <c r="U85" s="51">
        <v>9000</v>
      </c>
      <c r="V85" s="51">
        <f t="shared" si="12"/>
        <v>109204</v>
      </c>
      <c r="W85" s="51">
        <v>14428</v>
      </c>
      <c r="X85" s="51">
        <v>94776</v>
      </c>
      <c r="Y85" s="43"/>
      <c r="Z85" s="43"/>
      <c r="AA85" s="44"/>
    </row>
    <row r="86" spans="1:27" ht="28.5" customHeight="1" x14ac:dyDescent="0.25">
      <c r="A86" s="901">
        <v>69</v>
      </c>
      <c r="B86" s="624" t="s">
        <v>192</v>
      </c>
      <c r="C86" s="57" t="s">
        <v>776</v>
      </c>
      <c r="D86" s="731">
        <f>E86+F86+G86+H86+I86+J86+K86+N86+R86+S86</f>
        <v>92757</v>
      </c>
      <c r="E86" s="731">
        <f>2645+2390+1195</f>
        <v>6230</v>
      </c>
      <c r="F86" s="731">
        <f>587+627+313</f>
        <v>1527</v>
      </c>
      <c r="G86" s="731">
        <v>0</v>
      </c>
      <c r="H86" s="731">
        <v>0</v>
      </c>
      <c r="I86" s="731">
        <v>0</v>
      </c>
      <c r="J86" s="731">
        <v>0</v>
      </c>
      <c r="K86" s="731">
        <f t="shared" si="9"/>
        <v>17971</v>
      </c>
      <c r="L86" s="731">
        <f>49+240+120</f>
        <v>409</v>
      </c>
      <c r="M86" s="731">
        <f>3928+9089+4545</f>
        <v>17562</v>
      </c>
      <c r="N86" s="731">
        <f t="shared" si="10"/>
        <v>0</v>
      </c>
      <c r="O86" s="731">
        <v>0</v>
      </c>
      <c r="P86" s="731">
        <v>0</v>
      </c>
      <c r="Q86" s="731">
        <v>0</v>
      </c>
      <c r="R86" s="731">
        <f>2586+1293</f>
        <v>3879</v>
      </c>
      <c r="S86" s="731">
        <f t="shared" si="11"/>
        <v>63150</v>
      </c>
      <c r="T86" s="42">
        <f>1773+887</f>
        <v>2660</v>
      </c>
      <c r="U86" s="42">
        <f>2825+200+100</f>
        <v>3125</v>
      </c>
      <c r="V86" s="731">
        <f t="shared" si="12"/>
        <v>57365</v>
      </c>
      <c r="W86" s="733">
        <f>6992+3496</f>
        <v>10488</v>
      </c>
      <c r="X86" s="734">
        <f>26695+13455+6727</f>
        <v>46877</v>
      </c>
      <c r="Y86" s="43"/>
      <c r="Z86" s="43"/>
      <c r="AA86" s="44"/>
    </row>
    <row r="87" spans="1:27" ht="28.5" customHeight="1" x14ac:dyDescent="0.25">
      <c r="A87" s="903"/>
      <c r="B87" s="49" t="s">
        <v>152</v>
      </c>
      <c r="C87" s="50" t="s">
        <v>153</v>
      </c>
      <c r="D87" s="51">
        <f t="shared" ref="D87" si="23">E87+F87+G87+H87+I87+J87+K87+N87+R87+S87</f>
        <v>23175</v>
      </c>
      <c r="E87" s="51">
        <v>35</v>
      </c>
      <c r="F87" s="51"/>
      <c r="G87" s="51">
        <v>0</v>
      </c>
      <c r="H87" s="51">
        <v>0</v>
      </c>
      <c r="I87" s="51">
        <v>0</v>
      </c>
      <c r="J87" s="51">
        <v>0</v>
      </c>
      <c r="K87" s="51">
        <f t="shared" si="9"/>
        <v>7132</v>
      </c>
      <c r="L87" s="51">
        <v>120</v>
      </c>
      <c r="M87" s="51">
        <v>7012</v>
      </c>
      <c r="N87" s="51">
        <f t="shared" si="10"/>
        <v>0</v>
      </c>
      <c r="O87" s="51">
        <v>0</v>
      </c>
      <c r="P87" s="51">
        <v>0</v>
      </c>
      <c r="Q87" s="51">
        <v>0</v>
      </c>
      <c r="R87" s="51">
        <v>1142</v>
      </c>
      <c r="S87" s="51">
        <f t="shared" si="11"/>
        <v>14866</v>
      </c>
      <c r="T87" s="46">
        <v>887</v>
      </c>
      <c r="U87" s="46">
        <v>100</v>
      </c>
      <c r="V87" s="51">
        <f t="shared" si="12"/>
        <v>13879</v>
      </c>
      <c r="W87" s="732">
        <v>4278</v>
      </c>
      <c r="X87" s="51">
        <v>9601</v>
      </c>
      <c r="Y87" s="43"/>
      <c r="Z87" s="43"/>
      <c r="AA87" s="44"/>
    </row>
    <row r="88" spans="1:27" x14ac:dyDescent="0.25">
      <c r="A88" s="48">
        <v>70</v>
      </c>
      <c r="B88" s="49" t="s">
        <v>194</v>
      </c>
      <c r="C88" s="50" t="s">
        <v>195</v>
      </c>
      <c r="D88" s="51">
        <f t="shared" si="8"/>
        <v>112937</v>
      </c>
      <c r="E88" s="51">
        <v>9162</v>
      </c>
      <c r="F88" s="51">
        <v>446</v>
      </c>
      <c r="G88" s="51">
        <v>16244</v>
      </c>
      <c r="H88" s="51">
        <v>3</v>
      </c>
      <c r="I88" s="51">
        <v>4934</v>
      </c>
      <c r="J88" s="51">
        <v>0</v>
      </c>
      <c r="K88" s="51">
        <f t="shared" si="9"/>
        <v>0</v>
      </c>
      <c r="L88" s="51">
        <v>0</v>
      </c>
      <c r="M88" s="51">
        <v>0</v>
      </c>
      <c r="N88" s="51">
        <f t="shared" si="10"/>
        <v>0</v>
      </c>
      <c r="O88" s="51">
        <v>0</v>
      </c>
      <c r="P88" s="51">
        <v>0</v>
      </c>
      <c r="Q88" s="51">
        <v>0</v>
      </c>
      <c r="R88" s="51">
        <v>0</v>
      </c>
      <c r="S88" s="51">
        <f t="shared" si="11"/>
        <v>82148</v>
      </c>
      <c r="T88" s="51">
        <v>0</v>
      </c>
      <c r="U88" s="51">
        <v>5530</v>
      </c>
      <c r="V88" s="51">
        <f t="shared" si="12"/>
        <v>76618</v>
      </c>
      <c r="W88" s="51">
        <v>7339</v>
      </c>
      <c r="X88" s="51">
        <v>69279</v>
      </c>
      <c r="Y88" s="43"/>
      <c r="Z88" s="43"/>
      <c r="AA88" s="44"/>
    </row>
    <row r="89" spans="1:27" x14ac:dyDescent="0.25">
      <c r="A89" s="48">
        <v>71</v>
      </c>
      <c r="B89" s="49" t="s">
        <v>196</v>
      </c>
      <c r="C89" s="50" t="s">
        <v>197</v>
      </c>
      <c r="D89" s="51">
        <f t="shared" si="8"/>
        <v>27747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f t="shared" si="9"/>
        <v>0</v>
      </c>
      <c r="L89" s="51">
        <v>0</v>
      </c>
      <c r="M89" s="51">
        <v>0</v>
      </c>
      <c r="N89" s="51">
        <f t="shared" si="10"/>
        <v>27747</v>
      </c>
      <c r="O89" s="51">
        <v>26718</v>
      </c>
      <c r="P89" s="51">
        <v>1029</v>
      </c>
      <c r="Q89" s="51">
        <v>0</v>
      </c>
      <c r="R89" s="51">
        <v>0</v>
      </c>
      <c r="S89" s="51">
        <f t="shared" si="11"/>
        <v>0</v>
      </c>
      <c r="T89" s="51">
        <v>0</v>
      </c>
      <c r="U89" s="51">
        <v>0</v>
      </c>
      <c r="V89" s="51">
        <f t="shared" si="12"/>
        <v>0</v>
      </c>
      <c r="W89" s="51">
        <v>0</v>
      </c>
      <c r="X89" s="51">
        <v>0</v>
      </c>
      <c r="Y89" s="43"/>
      <c r="Z89" s="43"/>
      <c r="AA89" s="44"/>
    </row>
    <row r="90" spans="1:27" x14ac:dyDescent="0.25">
      <c r="A90" s="48">
        <v>72</v>
      </c>
      <c r="B90" s="52" t="s">
        <v>30</v>
      </c>
      <c r="C90" s="50" t="s">
        <v>198</v>
      </c>
      <c r="D90" s="51">
        <f t="shared" si="8"/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f t="shared" si="9"/>
        <v>0</v>
      </c>
      <c r="L90" s="51">
        <v>0</v>
      </c>
      <c r="M90" s="51">
        <v>0</v>
      </c>
      <c r="N90" s="51">
        <f t="shared" si="10"/>
        <v>0</v>
      </c>
      <c r="O90" s="51">
        <v>0</v>
      </c>
      <c r="P90" s="51">
        <v>0</v>
      </c>
      <c r="Q90" s="51">
        <v>0</v>
      </c>
      <c r="R90" s="51">
        <v>0</v>
      </c>
      <c r="S90" s="51">
        <f t="shared" si="11"/>
        <v>0</v>
      </c>
      <c r="T90" s="51">
        <v>0</v>
      </c>
      <c r="U90" s="51">
        <v>0</v>
      </c>
      <c r="V90" s="51">
        <f t="shared" si="12"/>
        <v>0</v>
      </c>
      <c r="W90" s="51">
        <v>0</v>
      </c>
      <c r="X90" s="51">
        <v>0</v>
      </c>
      <c r="Y90" s="43"/>
      <c r="Z90" s="43"/>
      <c r="AA90" s="44"/>
    </row>
    <row r="91" spans="1:27" ht="24" x14ac:dyDescent="0.25">
      <c r="A91" s="901">
        <v>73</v>
      </c>
      <c r="B91" s="904" t="s">
        <v>199</v>
      </c>
      <c r="C91" s="57" t="s">
        <v>200</v>
      </c>
      <c r="D91" s="51">
        <f t="shared" si="8"/>
        <v>28178</v>
      </c>
      <c r="E91" s="51">
        <v>496</v>
      </c>
      <c r="F91" s="51">
        <v>1</v>
      </c>
      <c r="G91" s="51">
        <v>626</v>
      </c>
      <c r="H91" s="51">
        <v>0</v>
      </c>
      <c r="I91" s="51">
        <v>425</v>
      </c>
      <c r="J91" s="51">
        <v>0</v>
      </c>
      <c r="K91" s="51">
        <f t="shared" si="9"/>
        <v>0</v>
      </c>
      <c r="L91" s="51">
        <v>0</v>
      </c>
      <c r="M91" s="51">
        <v>0</v>
      </c>
      <c r="N91" s="51">
        <f t="shared" si="10"/>
        <v>20535</v>
      </c>
      <c r="O91" s="51">
        <v>17473</v>
      </c>
      <c r="P91" s="51">
        <v>3062</v>
      </c>
      <c r="Q91" s="51">
        <v>0</v>
      </c>
      <c r="R91" s="51">
        <v>0</v>
      </c>
      <c r="S91" s="51">
        <f t="shared" si="11"/>
        <v>6095</v>
      </c>
      <c r="T91" s="51">
        <v>0</v>
      </c>
      <c r="U91" s="51">
        <v>590</v>
      </c>
      <c r="V91" s="51">
        <f t="shared" si="12"/>
        <v>5505</v>
      </c>
      <c r="W91" s="51">
        <v>0</v>
      </c>
      <c r="X91" s="51">
        <v>5505</v>
      </c>
      <c r="Y91" s="43"/>
      <c r="Z91" s="43"/>
      <c r="AA91" s="44"/>
    </row>
    <row r="92" spans="1:27" ht="36" x14ac:dyDescent="0.25">
      <c r="A92" s="902"/>
      <c r="B92" s="905"/>
      <c r="C92" s="50" t="s">
        <v>201</v>
      </c>
      <c r="D92" s="51">
        <f t="shared" si="8"/>
        <v>7643</v>
      </c>
      <c r="E92" s="51">
        <v>496</v>
      </c>
      <c r="F92" s="51">
        <v>1</v>
      </c>
      <c r="G92" s="51">
        <v>626</v>
      </c>
      <c r="H92" s="51">
        <v>0</v>
      </c>
      <c r="I92" s="51">
        <v>425</v>
      </c>
      <c r="J92" s="51">
        <v>0</v>
      </c>
      <c r="K92" s="51">
        <f t="shared" si="9"/>
        <v>0</v>
      </c>
      <c r="L92" s="51">
        <v>0</v>
      </c>
      <c r="M92" s="51">
        <v>0</v>
      </c>
      <c r="N92" s="51">
        <f t="shared" si="10"/>
        <v>0</v>
      </c>
      <c r="O92" s="51">
        <v>0</v>
      </c>
      <c r="P92" s="51">
        <v>0</v>
      </c>
      <c r="Q92" s="51">
        <v>0</v>
      </c>
      <c r="R92" s="51">
        <v>0</v>
      </c>
      <c r="S92" s="51">
        <f t="shared" si="11"/>
        <v>6095</v>
      </c>
      <c r="T92" s="51">
        <v>0</v>
      </c>
      <c r="U92" s="51">
        <v>590</v>
      </c>
      <c r="V92" s="51">
        <f t="shared" si="12"/>
        <v>5505</v>
      </c>
      <c r="W92" s="51">
        <v>0</v>
      </c>
      <c r="X92" s="51">
        <v>5505</v>
      </c>
      <c r="Y92" s="43"/>
      <c r="Z92" s="43"/>
      <c r="AA92" s="44"/>
    </row>
    <row r="93" spans="1:27" ht="24" x14ac:dyDescent="0.25">
      <c r="A93" s="902"/>
      <c r="B93" s="905"/>
      <c r="C93" s="50" t="s">
        <v>202</v>
      </c>
      <c r="D93" s="51">
        <f t="shared" si="8"/>
        <v>3062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f t="shared" si="9"/>
        <v>0</v>
      </c>
      <c r="L93" s="51">
        <v>0</v>
      </c>
      <c r="M93" s="51">
        <v>0</v>
      </c>
      <c r="N93" s="51">
        <f t="shared" si="10"/>
        <v>3062</v>
      </c>
      <c r="O93" s="51">
        <v>0</v>
      </c>
      <c r="P93" s="51">
        <v>3062</v>
      </c>
      <c r="Q93" s="51">
        <v>0</v>
      </c>
      <c r="R93" s="51">
        <v>0</v>
      </c>
      <c r="S93" s="51">
        <f t="shared" si="11"/>
        <v>0</v>
      </c>
      <c r="T93" s="51">
        <v>0</v>
      </c>
      <c r="U93" s="51">
        <v>0</v>
      </c>
      <c r="V93" s="51">
        <f t="shared" si="12"/>
        <v>0</v>
      </c>
      <c r="W93" s="51">
        <v>0</v>
      </c>
      <c r="X93" s="51">
        <v>0</v>
      </c>
      <c r="Y93" s="43"/>
      <c r="Z93" s="43"/>
      <c r="AA93" s="44"/>
    </row>
    <row r="94" spans="1:27" ht="36" x14ac:dyDescent="0.25">
      <c r="A94" s="903"/>
      <c r="B94" s="906"/>
      <c r="C94" s="58" t="s">
        <v>203</v>
      </c>
      <c r="D94" s="51">
        <f t="shared" si="8"/>
        <v>17473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f t="shared" si="9"/>
        <v>0</v>
      </c>
      <c r="L94" s="51">
        <v>0</v>
      </c>
      <c r="M94" s="51">
        <v>0</v>
      </c>
      <c r="N94" s="51">
        <f t="shared" si="10"/>
        <v>17473</v>
      </c>
      <c r="O94" s="51">
        <v>17473</v>
      </c>
      <c r="P94" s="51">
        <v>0</v>
      </c>
      <c r="Q94" s="51">
        <v>0</v>
      </c>
      <c r="R94" s="51">
        <v>0</v>
      </c>
      <c r="S94" s="51">
        <f t="shared" si="11"/>
        <v>0</v>
      </c>
      <c r="T94" s="51">
        <v>0</v>
      </c>
      <c r="U94" s="51">
        <v>0</v>
      </c>
      <c r="V94" s="51">
        <f t="shared" si="12"/>
        <v>0</v>
      </c>
      <c r="W94" s="51">
        <v>0</v>
      </c>
      <c r="X94" s="51">
        <v>0</v>
      </c>
      <c r="Y94" s="43"/>
      <c r="Z94" s="43"/>
      <c r="AA94" s="44"/>
    </row>
    <row r="95" spans="1:27" ht="24" x14ac:dyDescent="0.25">
      <c r="A95" s="48">
        <v>74</v>
      </c>
      <c r="B95" s="52" t="s">
        <v>204</v>
      </c>
      <c r="C95" s="50" t="s">
        <v>205</v>
      </c>
      <c r="D95" s="51">
        <f t="shared" si="8"/>
        <v>918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f t="shared" si="9"/>
        <v>0</v>
      </c>
      <c r="L95" s="51">
        <v>0</v>
      </c>
      <c r="M95" s="51">
        <v>0</v>
      </c>
      <c r="N95" s="51">
        <f t="shared" si="10"/>
        <v>918</v>
      </c>
      <c r="O95" s="51">
        <v>718</v>
      </c>
      <c r="P95" s="51">
        <v>200</v>
      </c>
      <c r="Q95" s="51">
        <v>0</v>
      </c>
      <c r="R95" s="51">
        <v>0</v>
      </c>
      <c r="S95" s="51">
        <f t="shared" si="11"/>
        <v>0</v>
      </c>
      <c r="T95" s="51">
        <v>0</v>
      </c>
      <c r="U95" s="51">
        <v>0</v>
      </c>
      <c r="V95" s="51">
        <f t="shared" si="12"/>
        <v>0</v>
      </c>
      <c r="W95" s="51">
        <v>0</v>
      </c>
      <c r="X95" s="51">
        <v>0</v>
      </c>
      <c r="Y95" s="43"/>
      <c r="Z95" s="43"/>
      <c r="AA95" s="44"/>
    </row>
    <row r="96" spans="1:27" x14ac:dyDescent="0.25">
      <c r="A96" s="48">
        <v>75</v>
      </c>
      <c r="B96" s="52" t="s">
        <v>206</v>
      </c>
      <c r="C96" s="50" t="s">
        <v>207</v>
      </c>
      <c r="D96" s="51">
        <f t="shared" si="8"/>
        <v>5338</v>
      </c>
      <c r="E96" s="51">
        <v>393</v>
      </c>
      <c r="F96" s="51">
        <v>0</v>
      </c>
      <c r="G96" s="51">
        <v>697</v>
      </c>
      <c r="H96" s="51">
        <v>0</v>
      </c>
      <c r="I96" s="51">
        <v>148</v>
      </c>
      <c r="J96" s="51">
        <v>0</v>
      </c>
      <c r="K96" s="51">
        <f t="shared" si="9"/>
        <v>0</v>
      </c>
      <c r="L96" s="51">
        <v>0</v>
      </c>
      <c r="M96" s="51">
        <v>0</v>
      </c>
      <c r="N96" s="51">
        <f t="shared" si="10"/>
        <v>0</v>
      </c>
      <c r="O96" s="51">
        <v>0</v>
      </c>
      <c r="P96" s="51">
        <v>0</v>
      </c>
      <c r="Q96" s="51">
        <v>0</v>
      </c>
      <c r="R96" s="51">
        <v>0</v>
      </c>
      <c r="S96" s="51">
        <f t="shared" si="11"/>
        <v>4100</v>
      </c>
      <c r="T96" s="51">
        <v>0</v>
      </c>
      <c r="U96" s="51">
        <v>500</v>
      </c>
      <c r="V96" s="51">
        <f t="shared" si="12"/>
        <v>3600</v>
      </c>
      <c r="W96" s="51">
        <v>470</v>
      </c>
      <c r="X96" s="51">
        <v>3130</v>
      </c>
      <c r="Y96" s="43"/>
      <c r="Z96" s="43"/>
      <c r="AA96" s="44"/>
    </row>
    <row r="97" spans="1:27" x14ac:dyDescent="0.25">
      <c r="A97" s="48">
        <v>76</v>
      </c>
      <c r="B97" s="167" t="s">
        <v>208</v>
      </c>
      <c r="C97" s="50" t="s">
        <v>209</v>
      </c>
      <c r="D97" s="51">
        <f t="shared" si="8"/>
        <v>34103</v>
      </c>
      <c r="E97" s="51">
        <v>2446</v>
      </c>
      <c r="F97" s="51">
        <v>188</v>
      </c>
      <c r="G97" s="51">
        <v>4336</v>
      </c>
      <c r="H97" s="51">
        <v>216</v>
      </c>
      <c r="I97" s="51">
        <v>1198</v>
      </c>
      <c r="J97" s="51">
        <v>0</v>
      </c>
      <c r="K97" s="51">
        <f t="shared" si="9"/>
        <v>0</v>
      </c>
      <c r="L97" s="51">
        <v>0</v>
      </c>
      <c r="M97" s="51">
        <v>0</v>
      </c>
      <c r="N97" s="51">
        <f t="shared" si="10"/>
        <v>0</v>
      </c>
      <c r="O97" s="51">
        <v>0</v>
      </c>
      <c r="P97" s="51">
        <v>0</v>
      </c>
      <c r="Q97" s="51">
        <v>0</v>
      </c>
      <c r="R97" s="51">
        <v>0</v>
      </c>
      <c r="S97" s="51">
        <f t="shared" si="11"/>
        <v>25719</v>
      </c>
      <c r="T97" s="51">
        <v>0</v>
      </c>
      <c r="U97" s="51">
        <v>1813</v>
      </c>
      <c r="V97" s="51">
        <f t="shared" si="12"/>
        <v>23906</v>
      </c>
      <c r="W97" s="51">
        <v>5810</v>
      </c>
      <c r="X97" s="51">
        <v>18096</v>
      </c>
      <c r="Y97" s="43"/>
      <c r="Z97" s="43"/>
      <c r="AA97" s="44"/>
    </row>
    <row r="98" spans="1:27" x14ac:dyDescent="0.25">
      <c r="A98" s="48">
        <v>77</v>
      </c>
      <c r="B98" s="52" t="s">
        <v>210</v>
      </c>
      <c r="C98" s="50" t="s">
        <v>211</v>
      </c>
      <c r="D98" s="51">
        <f t="shared" si="8"/>
        <v>20360</v>
      </c>
      <c r="E98" s="51">
        <v>1221</v>
      </c>
      <c r="F98" s="51">
        <v>1248</v>
      </c>
      <c r="G98" s="51">
        <v>1691</v>
      </c>
      <c r="H98" s="51">
        <v>3</v>
      </c>
      <c r="I98" s="51">
        <v>382</v>
      </c>
      <c r="J98" s="51">
        <v>0</v>
      </c>
      <c r="K98" s="51">
        <f t="shared" si="9"/>
        <v>550</v>
      </c>
      <c r="L98" s="51">
        <v>5</v>
      </c>
      <c r="M98" s="51">
        <v>545</v>
      </c>
      <c r="N98" s="51">
        <f t="shared" si="10"/>
        <v>0</v>
      </c>
      <c r="O98" s="51">
        <v>0</v>
      </c>
      <c r="P98" s="51">
        <v>0</v>
      </c>
      <c r="Q98" s="51">
        <v>0</v>
      </c>
      <c r="R98" s="51">
        <v>0</v>
      </c>
      <c r="S98" s="51">
        <f t="shared" si="11"/>
        <v>15265</v>
      </c>
      <c r="T98" s="51">
        <v>0</v>
      </c>
      <c r="U98" s="51">
        <v>710</v>
      </c>
      <c r="V98" s="51">
        <f t="shared" si="12"/>
        <v>14555</v>
      </c>
      <c r="W98" s="51">
        <v>3269</v>
      </c>
      <c r="X98" s="51">
        <v>11286</v>
      </c>
      <c r="Y98" s="43"/>
      <c r="Z98" s="43"/>
      <c r="AA98" s="44"/>
    </row>
    <row r="99" spans="1:27" x14ac:dyDescent="0.25">
      <c r="A99" s="48">
        <v>78</v>
      </c>
      <c r="B99" s="167" t="s">
        <v>212</v>
      </c>
      <c r="C99" s="50" t="s">
        <v>213</v>
      </c>
      <c r="D99" s="51">
        <f t="shared" si="8"/>
        <v>21116</v>
      </c>
      <c r="E99" s="51">
        <v>1293</v>
      </c>
      <c r="F99" s="51">
        <v>870</v>
      </c>
      <c r="G99" s="51">
        <v>1771</v>
      </c>
      <c r="H99" s="51">
        <v>18</v>
      </c>
      <c r="I99" s="51">
        <v>415</v>
      </c>
      <c r="J99" s="51">
        <v>0</v>
      </c>
      <c r="K99" s="51">
        <f t="shared" si="9"/>
        <v>792</v>
      </c>
      <c r="L99" s="51">
        <v>24</v>
      </c>
      <c r="M99" s="51">
        <v>768</v>
      </c>
      <c r="N99" s="51">
        <f t="shared" si="10"/>
        <v>0</v>
      </c>
      <c r="O99" s="51">
        <v>0</v>
      </c>
      <c r="P99" s="51">
        <v>0</v>
      </c>
      <c r="Q99" s="51">
        <v>0</v>
      </c>
      <c r="R99" s="51">
        <v>0</v>
      </c>
      <c r="S99" s="51">
        <f t="shared" si="11"/>
        <v>15957</v>
      </c>
      <c r="T99" s="51">
        <v>0</v>
      </c>
      <c r="U99" s="51">
        <v>784</v>
      </c>
      <c r="V99" s="51">
        <f t="shared" si="12"/>
        <v>15173</v>
      </c>
      <c r="W99" s="51">
        <v>3442</v>
      </c>
      <c r="X99" s="51">
        <v>11731</v>
      </c>
      <c r="Y99" s="43"/>
      <c r="Z99" s="43"/>
      <c r="AA99" s="44"/>
    </row>
    <row r="100" spans="1:27" x14ac:dyDescent="0.25">
      <c r="A100" s="48">
        <v>79</v>
      </c>
      <c r="B100" s="167" t="s">
        <v>214</v>
      </c>
      <c r="C100" s="50" t="s">
        <v>215</v>
      </c>
      <c r="D100" s="51">
        <f t="shared" si="8"/>
        <v>59360</v>
      </c>
      <c r="E100" s="51">
        <v>3692</v>
      </c>
      <c r="F100" s="51">
        <v>1531</v>
      </c>
      <c r="G100" s="51">
        <v>4964</v>
      </c>
      <c r="H100" s="51">
        <v>57</v>
      </c>
      <c r="I100" s="51">
        <v>1365</v>
      </c>
      <c r="J100" s="51">
        <v>0</v>
      </c>
      <c r="K100" s="51">
        <f t="shared" si="9"/>
        <v>2159</v>
      </c>
      <c r="L100" s="51">
        <v>10</v>
      </c>
      <c r="M100" s="51">
        <v>2149</v>
      </c>
      <c r="N100" s="51">
        <f t="shared" si="10"/>
        <v>0</v>
      </c>
      <c r="O100" s="51">
        <v>0</v>
      </c>
      <c r="P100" s="51">
        <v>0</v>
      </c>
      <c r="Q100" s="51">
        <v>0</v>
      </c>
      <c r="R100" s="51">
        <v>0</v>
      </c>
      <c r="S100" s="51">
        <f t="shared" si="11"/>
        <v>45592</v>
      </c>
      <c r="T100" s="51">
        <v>0</v>
      </c>
      <c r="U100" s="51">
        <v>1462</v>
      </c>
      <c r="V100" s="51">
        <f t="shared" si="12"/>
        <v>44130</v>
      </c>
      <c r="W100" s="51">
        <v>10239</v>
      </c>
      <c r="X100" s="51">
        <v>33891</v>
      </c>
      <c r="Y100" s="43"/>
      <c r="Z100" s="43"/>
      <c r="AA100" s="44"/>
    </row>
    <row r="101" spans="1:27" x14ac:dyDescent="0.25">
      <c r="A101" s="48">
        <v>80</v>
      </c>
      <c r="B101" s="52" t="s">
        <v>216</v>
      </c>
      <c r="C101" s="50" t="s">
        <v>217</v>
      </c>
      <c r="D101" s="51">
        <f t="shared" si="8"/>
        <v>25004</v>
      </c>
      <c r="E101" s="51">
        <v>1510</v>
      </c>
      <c r="F101" s="51">
        <v>1364</v>
      </c>
      <c r="G101" s="51">
        <v>2091</v>
      </c>
      <c r="H101" s="51">
        <v>99</v>
      </c>
      <c r="I101" s="51">
        <v>463</v>
      </c>
      <c r="J101" s="51">
        <v>0</v>
      </c>
      <c r="K101" s="51">
        <f t="shared" si="9"/>
        <v>433</v>
      </c>
      <c r="L101" s="51">
        <v>0</v>
      </c>
      <c r="M101" s="51">
        <v>433</v>
      </c>
      <c r="N101" s="51">
        <f t="shared" si="10"/>
        <v>0</v>
      </c>
      <c r="O101" s="51">
        <v>0</v>
      </c>
      <c r="P101" s="51">
        <v>0</v>
      </c>
      <c r="Q101" s="51">
        <v>0</v>
      </c>
      <c r="R101" s="51">
        <v>0</v>
      </c>
      <c r="S101" s="51">
        <f t="shared" si="11"/>
        <v>19044</v>
      </c>
      <c r="T101" s="51">
        <v>0</v>
      </c>
      <c r="U101" s="51">
        <v>683</v>
      </c>
      <c r="V101" s="51">
        <f t="shared" si="12"/>
        <v>18361</v>
      </c>
      <c r="W101" s="51">
        <v>4142</v>
      </c>
      <c r="X101" s="51">
        <v>14219</v>
      </c>
      <c r="Y101" s="43"/>
      <c r="Z101" s="43"/>
      <c r="AA101" s="44"/>
    </row>
    <row r="102" spans="1:27" x14ac:dyDescent="0.25">
      <c r="A102" s="48">
        <v>81</v>
      </c>
      <c r="B102" s="49" t="s">
        <v>218</v>
      </c>
      <c r="C102" s="50" t="s">
        <v>219</v>
      </c>
      <c r="D102" s="51">
        <f t="shared" si="8"/>
        <v>77827</v>
      </c>
      <c r="E102" s="51">
        <v>4832</v>
      </c>
      <c r="F102" s="51">
        <v>2173</v>
      </c>
      <c r="G102" s="51">
        <v>6078</v>
      </c>
      <c r="H102" s="51">
        <v>6</v>
      </c>
      <c r="I102" s="51">
        <v>1731</v>
      </c>
      <c r="J102" s="51">
        <v>0</v>
      </c>
      <c r="K102" s="51">
        <f t="shared" si="9"/>
        <v>865</v>
      </c>
      <c r="L102" s="51">
        <v>0</v>
      </c>
      <c r="M102" s="51">
        <v>865</v>
      </c>
      <c r="N102" s="51">
        <f t="shared" si="10"/>
        <v>0</v>
      </c>
      <c r="O102" s="51">
        <v>0</v>
      </c>
      <c r="P102" s="51">
        <v>0</v>
      </c>
      <c r="Q102" s="51">
        <v>0</v>
      </c>
      <c r="R102" s="51">
        <v>0</v>
      </c>
      <c r="S102" s="51">
        <f t="shared" si="11"/>
        <v>62142</v>
      </c>
      <c r="T102" s="51">
        <v>100</v>
      </c>
      <c r="U102" s="51">
        <v>5710</v>
      </c>
      <c r="V102" s="51">
        <f t="shared" si="12"/>
        <v>56332</v>
      </c>
      <c r="W102" s="51">
        <v>12782</v>
      </c>
      <c r="X102" s="51">
        <v>43550</v>
      </c>
      <c r="Y102" s="43"/>
      <c r="Z102" s="43"/>
      <c r="AA102" s="44"/>
    </row>
    <row r="103" spans="1:27" x14ac:dyDescent="0.25">
      <c r="A103" s="48">
        <v>82</v>
      </c>
      <c r="B103" s="49" t="s">
        <v>220</v>
      </c>
      <c r="C103" s="50" t="s">
        <v>221</v>
      </c>
      <c r="D103" s="51">
        <f t="shared" si="8"/>
        <v>56706</v>
      </c>
      <c r="E103" s="51">
        <v>3447</v>
      </c>
      <c r="F103" s="51">
        <v>2727</v>
      </c>
      <c r="G103" s="51">
        <v>4683</v>
      </c>
      <c r="H103" s="51">
        <v>0</v>
      </c>
      <c r="I103" s="51">
        <v>1140</v>
      </c>
      <c r="J103" s="51">
        <v>0</v>
      </c>
      <c r="K103" s="51">
        <f t="shared" si="9"/>
        <v>1173</v>
      </c>
      <c r="L103" s="51">
        <v>3</v>
      </c>
      <c r="M103" s="51">
        <v>1170</v>
      </c>
      <c r="N103" s="51">
        <f t="shared" si="10"/>
        <v>0</v>
      </c>
      <c r="O103" s="51">
        <v>0</v>
      </c>
      <c r="P103" s="51">
        <v>0</v>
      </c>
      <c r="Q103" s="51">
        <v>0</v>
      </c>
      <c r="R103" s="51">
        <v>0</v>
      </c>
      <c r="S103" s="51">
        <f t="shared" si="11"/>
        <v>43536</v>
      </c>
      <c r="T103" s="51">
        <v>300</v>
      </c>
      <c r="U103" s="51">
        <v>265</v>
      </c>
      <c r="V103" s="51">
        <f t="shared" si="12"/>
        <v>42971</v>
      </c>
      <c r="W103" s="51">
        <v>11476</v>
      </c>
      <c r="X103" s="51">
        <v>31495</v>
      </c>
      <c r="Y103" s="43"/>
      <c r="Z103" s="43"/>
      <c r="AA103" s="44"/>
    </row>
    <row r="104" spans="1:27" ht="12" customHeight="1" x14ac:dyDescent="0.25">
      <c r="A104" s="48">
        <v>83</v>
      </c>
      <c r="B104" s="167" t="s">
        <v>222</v>
      </c>
      <c r="C104" s="50" t="s">
        <v>223</v>
      </c>
      <c r="D104" s="51">
        <f t="shared" si="8"/>
        <v>19694</v>
      </c>
      <c r="E104" s="51">
        <v>1172</v>
      </c>
      <c r="F104" s="51">
        <v>1350</v>
      </c>
      <c r="G104" s="51">
        <v>1604</v>
      </c>
      <c r="H104" s="51">
        <v>0</v>
      </c>
      <c r="I104" s="51">
        <v>368</v>
      </c>
      <c r="J104" s="51">
        <v>0</v>
      </c>
      <c r="K104" s="51">
        <f t="shared" si="9"/>
        <v>370</v>
      </c>
      <c r="L104" s="51">
        <v>0</v>
      </c>
      <c r="M104" s="51">
        <v>370</v>
      </c>
      <c r="N104" s="51">
        <f t="shared" si="10"/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f t="shared" si="11"/>
        <v>14830</v>
      </c>
      <c r="T104" s="51">
        <v>0</v>
      </c>
      <c r="U104" s="51">
        <v>355</v>
      </c>
      <c r="V104" s="51">
        <f t="shared" si="12"/>
        <v>14475</v>
      </c>
      <c r="W104" s="51">
        <v>3197</v>
      </c>
      <c r="X104" s="51">
        <v>11278</v>
      </c>
      <c r="Y104" s="43"/>
      <c r="Z104" s="43"/>
      <c r="AA104" s="44"/>
    </row>
    <row r="105" spans="1:27" x14ac:dyDescent="0.25">
      <c r="A105" s="48">
        <v>84</v>
      </c>
      <c r="B105" s="49" t="s">
        <v>224</v>
      </c>
      <c r="C105" s="50" t="s">
        <v>225</v>
      </c>
      <c r="D105" s="51">
        <f t="shared" si="8"/>
        <v>30521</v>
      </c>
      <c r="E105" s="51">
        <v>1845</v>
      </c>
      <c r="F105" s="51">
        <v>1634</v>
      </c>
      <c r="G105" s="51">
        <v>2515</v>
      </c>
      <c r="H105" s="51">
        <v>0</v>
      </c>
      <c r="I105" s="51">
        <v>546</v>
      </c>
      <c r="J105" s="51">
        <v>0</v>
      </c>
      <c r="K105" s="51">
        <f t="shared" si="9"/>
        <v>1836</v>
      </c>
      <c r="L105" s="51">
        <v>37</v>
      </c>
      <c r="M105" s="51">
        <v>1799</v>
      </c>
      <c r="N105" s="51">
        <f t="shared" si="10"/>
        <v>0</v>
      </c>
      <c r="O105" s="51">
        <v>0</v>
      </c>
      <c r="P105" s="51">
        <v>0</v>
      </c>
      <c r="Q105" s="51">
        <v>0</v>
      </c>
      <c r="R105" s="51">
        <v>0</v>
      </c>
      <c r="S105" s="51">
        <f t="shared" si="11"/>
        <v>22145</v>
      </c>
      <c r="T105" s="51">
        <v>0</v>
      </c>
      <c r="U105" s="51">
        <v>1802</v>
      </c>
      <c r="V105" s="51">
        <f t="shared" si="12"/>
        <v>20343</v>
      </c>
      <c r="W105" s="51">
        <v>5025</v>
      </c>
      <c r="X105" s="51">
        <v>15318</v>
      </c>
      <c r="Y105" s="43"/>
      <c r="Z105" s="43"/>
      <c r="AA105" s="44"/>
    </row>
    <row r="106" spans="1:27" x14ac:dyDescent="0.25">
      <c r="A106" s="48">
        <v>85</v>
      </c>
      <c r="B106" s="49" t="s">
        <v>226</v>
      </c>
      <c r="C106" s="50" t="s">
        <v>227</v>
      </c>
      <c r="D106" s="51">
        <f t="shared" si="8"/>
        <v>28889</v>
      </c>
      <c r="E106" s="51">
        <v>1755</v>
      </c>
      <c r="F106" s="51">
        <v>1397</v>
      </c>
      <c r="G106" s="51">
        <v>2375</v>
      </c>
      <c r="H106" s="51">
        <v>3</v>
      </c>
      <c r="I106" s="51">
        <v>558</v>
      </c>
      <c r="J106" s="51">
        <v>0</v>
      </c>
      <c r="K106" s="51">
        <f t="shared" si="9"/>
        <v>577</v>
      </c>
      <c r="L106" s="51">
        <v>0</v>
      </c>
      <c r="M106" s="51">
        <v>577</v>
      </c>
      <c r="N106" s="51">
        <f t="shared" si="10"/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f t="shared" si="11"/>
        <v>22224</v>
      </c>
      <c r="T106" s="51">
        <v>0</v>
      </c>
      <c r="U106" s="51">
        <v>585</v>
      </c>
      <c r="V106" s="51">
        <f t="shared" si="12"/>
        <v>21639</v>
      </c>
      <c r="W106" s="51">
        <v>4865</v>
      </c>
      <c r="X106" s="51">
        <v>16774</v>
      </c>
      <c r="Y106" s="43"/>
      <c r="Z106" s="43"/>
      <c r="AA106" s="44"/>
    </row>
    <row r="107" spans="1:27" x14ac:dyDescent="0.25">
      <c r="A107" s="48">
        <v>86</v>
      </c>
      <c r="B107" s="52" t="s">
        <v>32</v>
      </c>
      <c r="C107" s="50" t="s">
        <v>33</v>
      </c>
      <c r="D107" s="51">
        <f t="shared" si="8"/>
        <v>35014</v>
      </c>
      <c r="E107" s="51">
        <v>2168</v>
      </c>
      <c r="F107" s="51">
        <v>1040</v>
      </c>
      <c r="G107" s="51">
        <v>2875</v>
      </c>
      <c r="H107" s="51">
        <v>0</v>
      </c>
      <c r="I107" s="51">
        <v>728</v>
      </c>
      <c r="J107" s="51">
        <v>0</v>
      </c>
      <c r="K107" s="51">
        <f t="shared" si="9"/>
        <v>1048</v>
      </c>
      <c r="L107" s="51">
        <v>50</v>
      </c>
      <c r="M107" s="51">
        <v>998</v>
      </c>
      <c r="N107" s="51">
        <f t="shared" si="10"/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f t="shared" si="11"/>
        <v>27155</v>
      </c>
      <c r="T107" s="51">
        <v>0</v>
      </c>
      <c r="U107" s="51">
        <v>600</v>
      </c>
      <c r="V107" s="51">
        <f t="shared" si="12"/>
        <v>26555</v>
      </c>
      <c r="W107" s="51">
        <v>5772</v>
      </c>
      <c r="X107" s="51">
        <v>20783</v>
      </c>
      <c r="Y107" s="43"/>
      <c r="Z107" s="43"/>
      <c r="AA107" s="44"/>
    </row>
    <row r="108" spans="1:27" x14ac:dyDescent="0.25">
      <c r="A108" s="48">
        <v>87</v>
      </c>
      <c r="B108" s="167" t="s">
        <v>228</v>
      </c>
      <c r="C108" s="50" t="s">
        <v>229</v>
      </c>
      <c r="D108" s="51">
        <f t="shared" si="8"/>
        <v>22166</v>
      </c>
      <c r="E108" s="51">
        <v>1352</v>
      </c>
      <c r="F108" s="51">
        <v>992</v>
      </c>
      <c r="G108" s="51">
        <v>1841</v>
      </c>
      <c r="H108" s="51">
        <v>3</v>
      </c>
      <c r="I108" s="51">
        <v>422</v>
      </c>
      <c r="J108" s="51">
        <v>0</v>
      </c>
      <c r="K108" s="51">
        <f t="shared" si="9"/>
        <v>716</v>
      </c>
      <c r="L108" s="51">
        <v>1</v>
      </c>
      <c r="M108" s="51">
        <v>715</v>
      </c>
      <c r="N108" s="51">
        <f t="shared" si="10"/>
        <v>0</v>
      </c>
      <c r="O108" s="51">
        <v>0</v>
      </c>
      <c r="P108" s="51">
        <v>0</v>
      </c>
      <c r="Q108" s="51">
        <v>0</v>
      </c>
      <c r="R108" s="51">
        <v>0</v>
      </c>
      <c r="S108" s="51">
        <f t="shared" si="11"/>
        <v>16840</v>
      </c>
      <c r="T108" s="51">
        <v>0</v>
      </c>
      <c r="U108" s="51">
        <v>970</v>
      </c>
      <c r="V108" s="51">
        <f t="shared" si="12"/>
        <v>15870</v>
      </c>
      <c r="W108" s="51">
        <v>3793</v>
      </c>
      <c r="X108" s="51">
        <v>12077</v>
      </c>
      <c r="Y108" s="43"/>
      <c r="Z108" s="43"/>
      <c r="AA108" s="44"/>
    </row>
    <row r="109" spans="1:27" x14ac:dyDescent="0.25">
      <c r="A109" s="48">
        <v>88</v>
      </c>
      <c r="B109" s="49" t="s">
        <v>230</v>
      </c>
      <c r="C109" s="50" t="s">
        <v>231</v>
      </c>
      <c r="D109" s="51">
        <f t="shared" si="8"/>
        <v>57476</v>
      </c>
      <c r="E109" s="51">
        <v>3513</v>
      </c>
      <c r="F109" s="51">
        <v>2482</v>
      </c>
      <c r="G109" s="51">
        <v>4869</v>
      </c>
      <c r="H109" s="51">
        <v>6</v>
      </c>
      <c r="I109" s="51">
        <v>1159</v>
      </c>
      <c r="J109" s="51">
        <v>0</v>
      </c>
      <c r="K109" s="51">
        <f t="shared" si="9"/>
        <v>2704</v>
      </c>
      <c r="L109" s="51">
        <v>0</v>
      </c>
      <c r="M109" s="51">
        <v>2704</v>
      </c>
      <c r="N109" s="51">
        <f t="shared" si="10"/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f t="shared" si="11"/>
        <v>42743</v>
      </c>
      <c r="T109" s="51">
        <v>0</v>
      </c>
      <c r="U109" s="51">
        <v>1910</v>
      </c>
      <c r="V109" s="51">
        <f t="shared" si="12"/>
        <v>40833</v>
      </c>
      <c r="W109" s="51">
        <v>9872</v>
      </c>
      <c r="X109" s="51">
        <v>30961</v>
      </c>
      <c r="Y109" s="43"/>
      <c r="Z109" s="43"/>
      <c r="AA109" s="44"/>
    </row>
    <row r="110" spans="1:27" ht="13.5" customHeight="1" x14ac:dyDescent="0.25">
      <c r="A110" s="48">
        <v>89</v>
      </c>
      <c r="B110" s="49" t="s">
        <v>232</v>
      </c>
      <c r="C110" s="50" t="s">
        <v>233</v>
      </c>
      <c r="D110" s="51">
        <f t="shared" si="8"/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f t="shared" si="9"/>
        <v>0</v>
      </c>
      <c r="L110" s="51">
        <v>0</v>
      </c>
      <c r="M110" s="51">
        <v>0</v>
      </c>
      <c r="N110" s="51">
        <f t="shared" si="10"/>
        <v>0</v>
      </c>
      <c r="O110" s="51">
        <v>0</v>
      </c>
      <c r="P110" s="51">
        <v>0</v>
      </c>
      <c r="Q110" s="51">
        <v>0</v>
      </c>
      <c r="R110" s="51">
        <v>0</v>
      </c>
      <c r="S110" s="51">
        <f t="shared" si="11"/>
        <v>0</v>
      </c>
      <c r="T110" s="51">
        <v>0</v>
      </c>
      <c r="U110" s="51">
        <v>0</v>
      </c>
      <c r="V110" s="51">
        <f t="shared" si="12"/>
        <v>0</v>
      </c>
      <c r="W110" s="51">
        <v>0</v>
      </c>
      <c r="X110" s="51">
        <v>0</v>
      </c>
      <c r="Y110" s="43"/>
      <c r="Z110" s="43"/>
      <c r="AA110" s="44"/>
    </row>
    <row r="111" spans="1:27" x14ac:dyDescent="0.25">
      <c r="A111" s="48">
        <v>90</v>
      </c>
      <c r="B111" s="49" t="s">
        <v>234</v>
      </c>
      <c r="C111" s="50" t="s">
        <v>235</v>
      </c>
      <c r="D111" s="51">
        <f t="shared" si="8"/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f t="shared" si="9"/>
        <v>0</v>
      </c>
      <c r="L111" s="51">
        <v>0</v>
      </c>
      <c r="M111" s="51">
        <v>0</v>
      </c>
      <c r="N111" s="51">
        <f t="shared" si="10"/>
        <v>0</v>
      </c>
      <c r="O111" s="51">
        <v>0</v>
      </c>
      <c r="P111" s="51">
        <v>0</v>
      </c>
      <c r="Q111" s="51">
        <v>0</v>
      </c>
      <c r="R111" s="51">
        <v>0</v>
      </c>
      <c r="S111" s="51">
        <f t="shared" si="11"/>
        <v>0</v>
      </c>
      <c r="T111" s="51">
        <v>0</v>
      </c>
      <c r="U111" s="51">
        <v>0</v>
      </c>
      <c r="V111" s="51">
        <f t="shared" si="12"/>
        <v>0</v>
      </c>
      <c r="W111" s="51">
        <v>0</v>
      </c>
      <c r="X111" s="51">
        <v>0</v>
      </c>
      <c r="Y111" s="43"/>
      <c r="Z111" s="43"/>
      <c r="AA111" s="44"/>
    </row>
    <row r="112" spans="1:27" x14ac:dyDescent="0.25">
      <c r="A112" s="48">
        <v>91</v>
      </c>
      <c r="B112" s="167" t="s">
        <v>236</v>
      </c>
      <c r="C112" s="50" t="s">
        <v>237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f t="shared" si="9"/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51">
        <v>0</v>
      </c>
      <c r="R112" s="51">
        <v>0</v>
      </c>
      <c r="S112" s="51">
        <f t="shared" si="11"/>
        <v>0</v>
      </c>
      <c r="T112" s="51">
        <v>0</v>
      </c>
      <c r="U112" s="51">
        <v>0</v>
      </c>
      <c r="V112" s="51">
        <f t="shared" si="12"/>
        <v>0</v>
      </c>
      <c r="W112" s="51">
        <v>0</v>
      </c>
      <c r="X112" s="51">
        <v>0</v>
      </c>
      <c r="Y112" s="43"/>
      <c r="Z112" s="43"/>
      <c r="AA112" s="44"/>
    </row>
    <row r="113" spans="1:27" ht="12.75" customHeight="1" x14ac:dyDescent="0.25">
      <c r="A113" s="48">
        <v>92</v>
      </c>
      <c r="B113" s="167" t="s">
        <v>238</v>
      </c>
      <c r="C113" s="50" t="s">
        <v>239</v>
      </c>
      <c r="D113" s="51">
        <f t="shared" si="8"/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f t="shared" si="9"/>
        <v>0</v>
      </c>
      <c r="L113" s="51">
        <v>0</v>
      </c>
      <c r="M113" s="51">
        <v>0</v>
      </c>
      <c r="N113" s="51">
        <f t="shared" si="10"/>
        <v>0</v>
      </c>
      <c r="O113" s="51">
        <v>0</v>
      </c>
      <c r="P113" s="51">
        <v>0</v>
      </c>
      <c r="Q113" s="51">
        <v>0</v>
      </c>
      <c r="R113" s="51">
        <v>0</v>
      </c>
      <c r="S113" s="51">
        <f t="shared" si="11"/>
        <v>0</v>
      </c>
      <c r="T113" s="51">
        <v>0</v>
      </c>
      <c r="U113" s="51">
        <v>0</v>
      </c>
      <c r="V113" s="51">
        <f t="shared" si="12"/>
        <v>0</v>
      </c>
      <c r="W113" s="51">
        <v>0</v>
      </c>
      <c r="X113" s="51">
        <v>0</v>
      </c>
      <c r="Y113" s="43"/>
      <c r="Z113" s="43"/>
      <c r="AA113" s="44"/>
    </row>
    <row r="114" spans="1:27" ht="24" x14ac:dyDescent="0.25">
      <c r="A114" s="48">
        <v>93</v>
      </c>
      <c r="B114" s="167" t="s">
        <v>240</v>
      </c>
      <c r="C114" s="50" t="s">
        <v>241</v>
      </c>
      <c r="D114" s="51">
        <f t="shared" si="8"/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f t="shared" si="9"/>
        <v>0</v>
      </c>
      <c r="L114" s="51">
        <v>0</v>
      </c>
      <c r="M114" s="51">
        <v>0</v>
      </c>
      <c r="N114" s="51">
        <f t="shared" si="10"/>
        <v>0</v>
      </c>
      <c r="O114" s="51">
        <v>0</v>
      </c>
      <c r="P114" s="51">
        <v>0</v>
      </c>
      <c r="Q114" s="51">
        <v>0</v>
      </c>
      <c r="R114" s="51">
        <v>0</v>
      </c>
      <c r="S114" s="51">
        <f t="shared" si="11"/>
        <v>0</v>
      </c>
      <c r="T114" s="51">
        <v>0</v>
      </c>
      <c r="U114" s="51">
        <v>0</v>
      </c>
      <c r="V114" s="51">
        <f t="shared" si="12"/>
        <v>0</v>
      </c>
      <c r="W114" s="51">
        <v>0</v>
      </c>
      <c r="X114" s="51">
        <v>0</v>
      </c>
      <c r="Y114" s="43"/>
      <c r="Z114" s="43"/>
      <c r="AA114" s="44"/>
    </row>
    <row r="115" spans="1:27" x14ac:dyDescent="0.25">
      <c r="A115" s="48">
        <v>94</v>
      </c>
      <c r="B115" s="167" t="s">
        <v>242</v>
      </c>
      <c r="C115" s="50" t="s">
        <v>243</v>
      </c>
      <c r="D115" s="51">
        <f t="shared" si="8"/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f t="shared" si="9"/>
        <v>0</v>
      </c>
      <c r="L115" s="51">
        <v>0</v>
      </c>
      <c r="M115" s="51">
        <v>0</v>
      </c>
      <c r="N115" s="51">
        <f t="shared" si="10"/>
        <v>0</v>
      </c>
      <c r="O115" s="51">
        <v>0</v>
      </c>
      <c r="P115" s="51">
        <v>0</v>
      </c>
      <c r="Q115" s="51">
        <v>0</v>
      </c>
      <c r="R115" s="51">
        <v>0</v>
      </c>
      <c r="S115" s="51">
        <f t="shared" si="11"/>
        <v>0</v>
      </c>
      <c r="T115" s="51">
        <v>0</v>
      </c>
      <c r="U115" s="51">
        <v>0</v>
      </c>
      <c r="V115" s="51">
        <f t="shared" si="12"/>
        <v>0</v>
      </c>
      <c r="W115" s="51">
        <v>0</v>
      </c>
      <c r="X115" s="51">
        <v>0</v>
      </c>
      <c r="Y115" s="43"/>
      <c r="Z115" s="43"/>
      <c r="AA115" s="44"/>
    </row>
    <row r="116" spans="1:27" x14ac:dyDescent="0.25">
      <c r="A116" s="48">
        <v>95</v>
      </c>
      <c r="B116" s="167" t="s">
        <v>244</v>
      </c>
      <c r="C116" s="50" t="s">
        <v>245</v>
      </c>
      <c r="D116" s="51">
        <f t="shared" si="8"/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f t="shared" si="9"/>
        <v>0</v>
      </c>
      <c r="L116" s="51">
        <v>0</v>
      </c>
      <c r="M116" s="51">
        <v>0</v>
      </c>
      <c r="N116" s="51">
        <f t="shared" si="10"/>
        <v>0</v>
      </c>
      <c r="O116" s="51">
        <v>0</v>
      </c>
      <c r="P116" s="51">
        <v>0</v>
      </c>
      <c r="Q116" s="51">
        <v>0</v>
      </c>
      <c r="R116" s="51">
        <v>0</v>
      </c>
      <c r="S116" s="51">
        <f t="shared" si="11"/>
        <v>0</v>
      </c>
      <c r="T116" s="51">
        <v>0</v>
      </c>
      <c r="U116" s="51">
        <v>0</v>
      </c>
      <c r="V116" s="51">
        <f t="shared" si="12"/>
        <v>0</v>
      </c>
      <c r="W116" s="51">
        <v>0</v>
      </c>
      <c r="X116" s="51">
        <v>0</v>
      </c>
      <c r="Y116" s="43"/>
      <c r="Z116" s="43"/>
      <c r="AA116" s="44"/>
    </row>
    <row r="117" spans="1:27" x14ac:dyDescent="0.25">
      <c r="A117" s="48">
        <v>96</v>
      </c>
      <c r="B117" s="59" t="s">
        <v>246</v>
      </c>
      <c r="C117" s="56" t="s">
        <v>247</v>
      </c>
      <c r="D117" s="51">
        <f t="shared" si="8"/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f t="shared" si="9"/>
        <v>0</v>
      </c>
      <c r="L117" s="51">
        <v>0</v>
      </c>
      <c r="M117" s="51">
        <v>0</v>
      </c>
      <c r="N117" s="51">
        <f t="shared" si="10"/>
        <v>0</v>
      </c>
      <c r="O117" s="51">
        <v>0</v>
      </c>
      <c r="P117" s="51">
        <v>0</v>
      </c>
      <c r="Q117" s="51">
        <v>0</v>
      </c>
      <c r="R117" s="51">
        <v>0</v>
      </c>
      <c r="S117" s="51">
        <f t="shared" si="11"/>
        <v>0</v>
      </c>
      <c r="T117" s="51">
        <v>0</v>
      </c>
      <c r="U117" s="51">
        <v>0</v>
      </c>
      <c r="V117" s="51">
        <f t="shared" si="12"/>
        <v>0</v>
      </c>
      <c r="W117" s="51">
        <v>0</v>
      </c>
      <c r="X117" s="51">
        <v>0</v>
      </c>
      <c r="Y117" s="43"/>
      <c r="Z117" s="43"/>
      <c r="AA117" s="44"/>
    </row>
    <row r="118" spans="1:27" x14ac:dyDescent="0.25">
      <c r="A118" s="48">
        <v>97</v>
      </c>
      <c r="B118" s="52" t="s">
        <v>248</v>
      </c>
      <c r="C118" s="50" t="s">
        <v>249</v>
      </c>
      <c r="D118" s="51">
        <f t="shared" si="8"/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f t="shared" si="9"/>
        <v>0</v>
      </c>
      <c r="L118" s="51">
        <v>0</v>
      </c>
      <c r="M118" s="51">
        <v>0</v>
      </c>
      <c r="N118" s="51">
        <f t="shared" si="10"/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f t="shared" si="11"/>
        <v>0</v>
      </c>
      <c r="T118" s="51">
        <v>0</v>
      </c>
      <c r="U118" s="51">
        <v>0</v>
      </c>
      <c r="V118" s="51">
        <f t="shared" si="12"/>
        <v>0</v>
      </c>
      <c r="W118" s="51">
        <v>0</v>
      </c>
      <c r="X118" s="51">
        <v>0</v>
      </c>
      <c r="Y118" s="43"/>
      <c r="Z118" s="43"/>
      <c r="AA118" s="44"/>
    </row>
    <row r="119" spans="1:27" ht="11.25" customHeight="1" x14ac:dyDescent="0.25">
      <c r="A119" s="48">
        <v>98</v>
      </c>
      <c r="B119" s="167" t="s">
        <v>250</v>
      </c>
      <c r="C119" s="50" t="s">
        <v>251</v>
      </c>
      <c r="D119" s="51">
        <f t="shared" si="8"/>
        <v>16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f t="shared" si="9"/>
        <v>0</v>
      </c>
      <c r="L119" s="51">
        <v>0</v>
      </c>
      <c r="M119" s="51">
        <v>0</v>
      </c>
      <c r="N119" s="51">
        <f t="shared" si="10"/>
        <v>16</v>
      </c>
      <c r="O119" s="51">
        <v>16</v>
      </c>
      <c r="P119" s="51">
        <v>0</v>
      </c>
      <c r="Q119" s="51">
        <v>0</v>
      </c>
      <c r="R119" s="51">
        <v>0</v>
      </c>
      <c r="S119" s="51">
        <f t="shared" si="11"/>
        <v>0</v>
      </c>
      <c r="T119" s="51">
        <v>0</v>
      </c>
      <c r="U119" s="51">
        <v>0</v>
      </c>
      <c r="V119" s="51">
        <f t="shared" si="12"/>
        <v>0</v>
      </c>
      <c r="W119" s="51">
        <v>0</v>
      </c>
      <c r="X119" s="51">
        <v>0</v>
      </c>
      <c r="Y119" s="43"/>
      <c r="Z119" s="43"/>
      <c r="AA119" s="44"/>
    </row>
    <row r="120" spans="1:27" x14ac:dyDescent="0.25">
      <c r="A120" s="48">
        <v>99</v>
      </c>
      <c r="B120" s="49" t="s">
        <v>252</v>
      </c>
      <c r="C120" s="60" t="s">
        <v>253</v>
      </c>
      <c r="D120" s="51">
        <f t="shared" si="8"/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f t="shared" si="9"/>
        <v>0</v>
      </c>
      <c r="L120" s="51">
        <v>0</v>
      </c>
      <c r="M120" s="51">
        <v>0</v>
      </c>
      <c r="N120" s="51">
        <f t="shared" si="10"/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f t="shared" si="11"/>
        <v>0</v>
      </c>
      <c r="T120" s="51">
        <v>0</v>
      </c>
      <c r="U120" s="51">
        <v>0</v>
      </c>
      <c r="V120" s="51">
        <f t="shared" si="12"/>
        <v>0</v>
      </c>
      <c r="W120" s="51">
        <v>0</v>
      </c>
      <c r="X120" s="51">
        <v>0</v>
      </c>
      <c r="Y120" s="43"/>
      <c r="Z120" s="43"/>
      <c r="AA120" s="44"/>
    </row>
    <row r="121" spans="1:27" x14ac:dyDescent="0.25">
      <c r="A121" s="48">
        <v>100</v>
      </c>
      <c r="B121" s="167" t="s">
        <v>254</v>
      </c>
      <c r="C121" s="50" t="s">
        <v>255</v>
      </c>
      <c r="D121" s="51">
        <f t="shared" si="8"/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f t="shared" si="9"/>
        <v>0</v>
      </c>
      <c r="L121" s="51">
        <v>0</v>
      </c>
      <c r="M121" s="51">
        <v>0</v>
      </c>
      <c r="N121" s="51">
        <f t="shared" si="10"/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f t="shared" si="11"/>
        <v>0</v>
      </c>
      <c r="T121" s="51">
        <v>0</v>
      </c>
      <c r="U121" s="51">
        <v>0</v>
      </c>
      <c r="V121" s="51">
        <f t="shared" si="12"/>
        <v>0</v>
      </c>
      <c r="W121" s="51">
        <v>0</v>
      </c>
      <c r="X121" s="51">
        <v>0</v>
      </c>
      <c r="Y121" s="43"/>
      <c r="Z121" s="43"/>
      <c r="AA121" s="44"/>
    </row>
    <row r="122" spans="1:27" ht="14.25" customHeight="1" x14ac:dyDescent="0.25">
      <c r="A122" s="48">
        <v>101</v>
      </c>
      <c r="B122" s="52" t="s">
        <v>256</v>
      </c>
      <c r="C122" s="50" t="s">
        <v>257</v>
      </c>
      <c r="D122" s="51">
        <f t="shared" si="8"/>
        <v>68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f t="shared" si="9"/>
        <v>0</v>
      </c>
      <c r="L122" s="51">
        <v>0</v>
      </c>
      <c r="M122" s="51">
        <v>0</v>
      </c>
      <c r="N122" s="51">
        <f t="shared" si="10"/>
        <v>68</v>
      </c>
      <c r="O122" s="51">
        <v>59</v>
      </c>
      <c r="P122" s="51">
        <v>9</v>
      </c>
      <c r="Q122" s="51">
        <v>0</v>
      </c>
      <c r="R122" s="51">
        <v>0</v>
      </c>
      <c r="S122" s="51">
        <f t="shared" si="11"/>
        <v>0</v>
      </c>
      <c r="T122" s="51">
        <v>0</v>
      </c>
      <c r="U122" s="51">
        <v>0</v>
      </c>
      <c r="V122" s="51">
        <f t="shared" si="12"/>
        <v>0</v>
      </c>
      <c r="W122" s="51">
        <v>0</v>
      </c>
      <c r="X122" s="51">
        <v>0</v>
      </c>
      <c r="Y122" s="43"/>
      <c r="Z122" s="43"/>
      <c r="AA122" s="44"/>
    </row>
    <row r="123" spans="1:27" x14ac:dyDescent="0.25">
      <c r="A123" s="48">
        <v>102</v>
      </c>
      <c r="B123" s="49" t="s">
        <v>258</v>
      </c>
      <c r="C123" s="50" t="s">
        <v>259</v>
      </c>
      <c r="D123" s="51">
        <f t="shared" si="8"/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f t="shared" si="9"/>
        <v>0</v>
      </c>
      <c r="L123" s="51">
        <v>0</v>
      </c>
      <c r="M123" s="51">
        <v>0</v>
      </c>
      <c r="N123" s="51">
        <f t="shared" si="10"/>
        <v>0</v>
      </c>
      <c r="O123" s="51">
        <v>0</v>
      </c>
      <c r="P123" s="51">
        <v>0</v>
      </c>
      <c r="Q123" s="51">
        <v>0</v>
      </c>
      <c r="R123" s="51">
        <v>0</v>
      </c>
      <c r="S123" s="51">
        <f t="shared" si="11"/>
        <v>0</v>
      </c>
      <c r="T123" s="51">
        <v>0</v>
      </c>
      <c r="U123" s="51">
        <v>0</v>
      </c>
      <c r="V123" s="51">
        <f t="shared" si="12"/>
        <v>0</v>
      </c>
      <c r="W123" s="51">
        <v>0</v>
      </c>
      <c r="X123" s="51">
        <v>0</v>
      </c>
      <c r="Y123" s="43"/>
      <c r="Z123" s="43"/>
      <c r="AA123" s="44"/>
    </row>
    <row r="124" spans="1:27" x14ac:dyDescent="0.25">
      <c r="A124" s="48">
        <v>103</v>
      </c>
      <c r="B124" s="52" t="s">
        <v>543</v>
      </c>
      <c r="C124" s="50" t="s">
        <v>544</v>
      </c>
      <c r="D124" s="51">
        <f t="shared" si="8"/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f t="shared" si="9"/>
        <v>0</v>
      </c>
      <c r="L124" s="51">
        <v>0</v>
      </c>
      <c r="M124" s="51">
        <v>0</v>
      </c>
      <c r="N124" s="51">
        <f t="shared" si="10"/>
        <v>0</v>
      </c>
      <c r="O124" s="51">
        <v>0</v>
      </c>
      <c r="P124" s="51">
        <v>0</v>
      </c>
      <c r="Q124" s="51">
        <v>0</v>
      </c>
      <c r="R124" s="51">
        <v>0</v>
      </c>
      <c r="S124" s="51">
        <f t="shared" si="11"/>
        <v>0</v>
      </c>
      <c r="T124" s="51">
        <v>0</v>
      </c>
      <c r="U124" s="51">
        <v>0</v>
      </c>
      <c r="V124" s="51">
        <f t="shared" si="12"/>
        <v>0</v>
      </c>
      <c r="W124" s="51">
        <v>0</v>
      </c>
      <c r="X124" s="51">
        <v>0</v>
      </c>
      <c r="Y124" s="43"/>
      <c r="Z124" s="43"/>
      <c r="AA124" s="44"/>
    </row>
    <row r="125" spans="1:27" ht="13.5" customHeight="1" x14ac:dyDescent="0.25">
      <c r="A125" s="48">
        <v>104</v>
      </c>
      <c r="B125" s="52" t="s">
        <v>260</v>
      </c>
      <c r="C125" s="50" t="s">
        <v>261</v>
      </c>
      <c r="D125" s="51">
        <f t="shared" si="8"/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f t="shared" si="9"/>
        <v>0</v>
      </c>
      <c r="L125" s="51">
        <v>0</v>
      </c>
      <c r="M125" s="51">
        <v>0</v>
      </c>
      <c r="N125" s="51">
        <f t="shared" si="10"/>
        <v>0</v>
      </c>
      <c r="O125" s="51">
        <v>0</v>
      </c>
      <c r="P125" s="51">
        <v>0</v>
      </c>
      <c r="Q125" s="51">
        <v>0</v>
      </c>
      <c r="R125" s="51">
        <v>0</v>
      </c>
      <c r="S125" s="51">
        <f t="shared" si="11"/>
        <v>0</v>
      </c>
      <c r="T125" s="51">
        <v>0</v>
      </c>
      <c r="U125" s="51">
        <v>0</v>
      </c>
      <c r="V125" s="51">
        <f t="shared" si="12"/>
        <v>0</v>
      </c>
      <c r="W125" s="51">
        <v>0</v>
      </c>
      <c r="X125" s="51">
        <v>0</v>
      </c>
      <c r="Y125" s="43"/>
      <c r="Z125" s="43"/>
      <c r="AA125" s="44"/>
    </row>
    <row r="126" spans="1:27" x14ac:dyDescent="0.25">
      <c r="A126" s="48">
        <v>105</v>
      </c>
      <c r="B126" s="167" t="s">
        <v>262</v>
      </c>
      <c r="C126" s="50" t="s">
        <v>263</v>
      </c>
      <c r="D126" s="51">
        <f t="shared" si="8"/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f t="shared" si="9"/>
        <v>0</v>
      </c>
      <c r="L126" s="51">
        <v>0</v>
      </c>
      <c r="M126" s="51">
        <v>0</v>
      </c>
      <c r="N126" s="51">
        <f t="shared" si="10"/>
        <v>0</v>
      </c>
      <c r="O126" s="51">
        <v>0</v>
      </c>
      <c r="P126" s="51">
        <v>0</v>
      </c>
      <c r="Q126" s="51">
        <v>0</v>
      </c>
      <c r="R126" s="51">
        <v>0</v>
      </c>
      <c r="S126" s="51">
        <f t="shared" si="11"/>
        <v>0</v>
      </c>
      <c r="T126" s="51">
        <v>0</v>
      </c>
      <c r="U126" s="51">
        <v>0</v>
      </c>
      <c r="V126" s="51">
        <f t="shared" si="12"/>
        <v>0</v>
      </c>
      <c r="W126" s="51">
        <v>0</v>
      </c>
      <c r="X126" s="51">
        <v>0</v>
      </c>
      <c r="Y126" s="43"/>
      <c r="Z126" s="43"/>
      <c r="AA126" s="44"/>
    </row>
    <row r="127" spans="1:27" ht="24" x14ac:dyDescent="0.25">
      <c r="A127" s="48">
        <v>106</v>
      </c>
      <c r="B127" s="167" t="s">
        <v>264</v>
      </c>
      <c r="C127" s="54" t="s">
        <v>265</v>
      </c>
      <c r="D127" s="51">
        <f t="shared" si="8"/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f t="shared" si="9"/>
        <v>0</v>
      </c>
      <c r="L127" s="51">
        <v>0</v>
      </c>
      <c r="M127" s="51">
        <v>0</v>
      </c>
      <c r="N127" s="51">
        <f t="shared" si="10"/>
        <v>0</v>
      </c>
      <c r="O127" s="51">
        <v>0</v>
      </c>
      <c r="P127" s="51">
        <v>0</v>
      </c>
      <c r="Q127" s="51">
        <v>0</v>
      </c>
      <c r="R127" s="51">
        <v>0</v>
      </c>
      <c r="S127" s="51">
        <f t="shared" si="11"/>
        <v>0</v>
      </c>
      <c r="T127" s="51">
        <v>0</v>
      </c>
      <c r="U127" s="51">
        <v>0</v>
      </c>
      <c r="V127" s="51">
        <f t="shared" si="12"/>
        <v>0</v>
      </c>
      <c r="W127" s="51">
        <v>0</v>
      </c>
      <c r="X127" s="51">
        <v>0</v>
      </c>
      <c r="Y127" s="43"/>
      <c r="Z127" s="43"/>
      <c r="AA127" s="44"/>
    </row>
    <row r="128" spans="1:27" x14ac:dyDescent="0.25">
      <c r="A128" s="48">
        <v>107</v>
      </c>
      <c r="B128" s="167" t="s">
        <v>266</v>
      </c>
      <c r="C128" s="50" t="s">
        <v>267</v>
      </c>
      <c r="D128" s="51">
        <f t="shared" si="8"/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f t="shared" si="9"/>
        <v>0</v>
      </c>
      <c r="L128" s="51">
        <v>0</v>
      </c>
      <c r="M128" s="51">
        <v>0</v>
      </c>
      <c r="N128" s="51">
        <f t="shared" si="10"/>
        <v>0</v>
      </c>
      <c r="O128" s="51">
        <v>0</v>
      </c>
      <c r="P128" s="51">
        <v>0</v>
      </c>
      <c r="Q128" s="51">
        <v>0</v>
      </c>
      <c r="R128" s="51">
        <v>0</v>
      </c>
      <c r="S128" s="51">
        <f t="shared" si="11"/>
        <v>0</v>
      </c>
      <c r="T128" s="51">
        <v>0</v>
      </c>
      <c r="U128" s="51">
        <v>0</v>
      </c>
      <c r="V128" s="51">
        <f t="shared" si="12"/>
        <v>0</v>
      </c>
      <c r="W128" s="51">
        <v>0</v>
      </c>
      <c r="X128" s="51">
        <v>0</v>
      </c>
      <c r="Y128" s="43"/>
      <c r="Z128" s="43"/>
      <c r="AA128" s="44"/>
    </row>
    <row r="129" spans="1:27" ht="10.5" customHeight="1" x14ac:dyDescent="0.25">
      <c r="A129" s="48">
        <v>108</v>
      </c>
      <c r="B129" s="167" t="s">
        <v>268</v>
      </c>
      <c r="C129" s="50" t="s">
        <v>269</v>
      </c>
      <c r="D129" s="51">
        <f t="shared" si="8"/>
        <v>27280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27280</v>
      </c>
      <c r="K129" s="51">
        <f t="shared" si="9"/>
        <v>0</v>
      </c>
      <c r="L129" s="51">
        <v>0</v>
      </c>
      <c r="M129" s="51">
        <v>0</v>
      </c>
      <c r="N129" s="51">
        <f t="shared" si="10"/>
        <v>0</v>
      </c>
      <c r="O129" s="51">
        <v>0</v>
      </c>
      <c r="P129" s="51">
        <v>0</v>
      </c>
      <c r="Q129" s="51">
        <v>0</v>
      </c>
      <c r="R129" s="51">
        <v>0</v>
      </c>
      <c r="S129" s="51">
        <f t="shared" si="11"/>
        <v>0</v>
      </c>
      <c r="T129" s="51">
        <v>0</v>
      </c>
      <c r="U129" s="51">
        <v>0</v>
      </c>
      <c r="V129" s="51">
        <f t="shared" si="12"/>
        <v>0</v>
      </c>
      <c r="W129" s="51">
        <v>0</v>
      </c>
      <c r="X129" s="51">
        <v>0</v>
      </c>
      <c r="Y129" s="43"/>
      <c r="Z129" s="43"/>
      <c r="AA129" s="44"/>
    </row>
    <row r="130" spans="1:27" x14ac:dyDescent="0.25">
      <c r="A130" s="48">
        <v>109</v>
      </c>
      <c r="B130" s="167" t="s">
        <v>270</v>
      </c>
      <c r="C130" s="50" t="s">
        <v>271</v>
      </c>
      <c r="D130" s="51">
        <f t="shared" si="8"/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f t="shared" si="9"/>
        <v>0</v>
      </c>
      <c r="L130" s="51">
        <v>0</v>
      </c>
      <c r="M130" s="51">
        <v>0</v>
      </c>
      <c r="N130" s="51">
        <f t="shared" si="10"/>
        <v>0</v>
      </c>
      <c r="O130" s="51">
        <v>0</v>
      </c>
      <c r="P130" s="51">
        <v>0</v>
      </c>
      <c r="Q130" s="51">
        <v>0</v>
      </c>
      <c r="R130" s="51">
        <v>0</v>
      </c>
      <c r="S130" s="51">
        <f t="shared" si="11"/>
        <v>0</v>
      </c>
      <c r="T130" s="51">
        <v>0</v>
      </c>
      <c r="U130" s="51">
        <v>0</v>
      </c>
      <c r="V130" s="51">
        <f t="shared" si="12"/>
        <v>0</v>
      </c>
      <c r="W130" s="51">
        <v>0</v>
      </c>
      <c r="X130" s="51">
        <v>0</v>
      </c>
      <c r="Y130" s="43"/>
      <c r="Z130" s="43"/>
      <c r="AA130" s="44"/>
    </row>
    <row r="131" spans="1:27" x14ac:dyDescent="0.25">
      <c r="A131" s="48">
        <v>110</v>
      </c>
      <c r="B131" s="49" t="s">
        <v>272</v>
      </c>
      <c r="C131" s="50" t="s">
        <v>273</v>
      </c>
      <c r="D131" s="51">
        <f t="shared" si="8"/>
        <v>6594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f t="shared" si="9"/>
        <v>0</v>
      </c>
      <c r="L131" s="51">
        <v>0</v>
      </c>
      <c r="M131" s="51">
        <v>0</v>
      </c>
      <c r="N131" s="51">
        <f t="shared" si="10"/>
        <v>0</v>
      </c>
      <c r="O131" s="51">
        <v>0</v>
      </c>
      <c r="P131" s="51">
        <v>0</v>
      </c>
      <c r="Q131" s="51">
        <v>0</v>
      </c>
      <c r="R131" s="51">
        <v>6594</v>
      </c>
      <c r="S131" s="51">
        <f t="shared" si="11"/>
        <v>0</v>
      </c>
      <c r="T131" s="51">
        <v>0</v>
      </c>
      <c r="U131" s="51">
        <v>0</v>
      </c>
      <c r="V131" s="51">
        <f t="shared" si="12"/>
        <v>0</v>
      </c>
      <c r="W131" s="51">
        <v>0</v>
      </c>
      <c r="X131" s="51">
        <v>0</v>
      </c>
      <c r="Y131" s="43"/>
      <c r="Z131" s="43"/>
      <c r="AA131" s="44"/>
    </row>
    <row r="132" spans="1:27" x14ac:dyDescent="0.25">
      <c r="A132" s="48">
        <v>111</v>
      </c>
      <c r="B132" s="49" t="s">
        <v>274</v>
      </c>
      <c r="C132" s="50" t="s">
        <v>275</v>
      </c>
      <c r="D132" s="51">
        <f t="shared" si="8"/>
        <v>37416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f t="shared" si="9"/>
        <v>0</v>
      </c>
      <c r="L132" s="51">
        <v>0</v>
      </c>
      <c r="M132" s="51">
        <v>0</v>
      </c>
      <c r="N132" s="51">
        <f t="shared" si="10"/>
        <v>37416</v>
      </c>
      <c r="O132" s="51">
        <v>37416</v>
      </c>
      <c r="P132" s="51">
        <v>0</v>
      </c>
      <c r="Q132" s="51">
        <v>0</v>
      </c>
      <c r="R132" s="51">
        <v>0</v>
      </c>
      <c r="S132" s="51">
        <f t="shared" si="11"/>
        <v>0</v>
      </c>
      <c r="T132" s="51">
        <v>0</v>
      </c>
      <c r="U132" s="51">
        <v>0</v>
      </c>
      <c r="V132" s="51">
        <f t="shared" si="12"/>
        <v>0</v>
      </c>
      <c r="W132" s="51">
        <v>0</v>
      </c>
      <c r="X132" s="51">
        <v>0</v>
      </c>
      <c r="Y132" s="43"/>
      <c r="Z132" s="43"/>
      <c r="AA132" s="44"/>
    </row>
    <row r="133" spans="1:27" x14ac:dyDescent="0.25">
      <c r="A133" s="48">
        <v>112</v>
      </c>
      <c r="B133" s="49" t="s">
        <v>276</v>
      </c>
      <c r="C133" s="50" t="s">
        <v>277</v>
      </c>
      <c r="D133" s="51">
        <f t="shared" si="8"/>
        <v>23534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f t="shared" si="9"/>
        <v>0</v>
      </c>
      <c r="L133" s="51">
        <v>0</v>
      </c>
      <c r="M133" s="51">
        <v>0</v>
      </c>
      <c r="N133" s="51">
        <f t="shared" si="10"/>
        <v>23534</v>
      </c>
      <c r="O133" s="51">
        <v>23534</v>
      </c>
      <c r="P133" s="51">
        <v>0</v>
      </c>
      <c r="Q133" s="51">
        <v>0</v>
      </c>
      <c r="R133" s="51">
        <v>0</v>
      </c>
      <c r="S133" s="51">
        <f t="shared" si="11"/>
        <v>0</v>
      </c>
      <c r="T133" s="51">
        <v>0</v>
      </c>
      <c r="U133" s="51">
        <v>0</v>
      </c>
      <c r="V133" s="51">
        <f t="shared" si="12"/>
        <v>0</v>
      </c>
      <c r="W133" s="51">
        <v>0</v>
      </c>
      <c r="X133" s="51">
        <v>0</v>
      </c>
      <c r="Y133" s="43"/>
      <c r="Z133" s="43"/>
      <c r="AA133" s="44"/>
    </row>
    <row r="134" spans="1:27" x14ac:dyDescent="0.25">
      <c r="A134" s="48">
        <v>113</v>
      </c>
      <c r="B134" s="167" t="s">
        <v>278</v>
      </c>
      <c r="C134" s="50" t="s">
        <v>279</v>
      </c>
      <c r="D134" s="51">
        <f t="shared" si="8"/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f t="shared" si="9"/>
        <v>0</v>
      </c>
      <c r="L134" s="51">
        <v>0</v>
      </c>
      <c r="M134" s="51">
        <v>0</v>
      </c>
      <c r="N134" s="51">
        <f t="shared" si="10"/>
        <v>0</v>
      </c>
      <c r="O134" s="51">
        <v>0</v>
      </c>
      <c r="P134" s="51">
        <v>0</v>
      </c>
      <c r="Q134" s="51">
        <v>0</v>
      </c>
      <c r="R134" s="51">
        <v>0</v>
      </c>
      <c r="S134" s="51">
        <f t="shared" si="11"/>
        <v>0</v>
      </c>
      <c r="T134" s="51">
        <v>0</v>
      </c>
      <c r="U134" s="51">
        <v>0</v>
      </c>
      <c r="V134" s="51">
        <f t="shared" si="12"/>
        <v>0</v>
      </c>
      <c r="W134" s="51">
        <v>0</v>
      </c>
      <c r="X134" s="51">
        <v>0</v>
      </c>
      <c r="Y134" s="43"/>
      <c r="Z134" s="43"/>
      <c r="AA134" s="44"/>
    </row>
    <row r="135" spans="1:27" x14ac:dyDescent="0.25">
      <c r="A135" s="48">
        <v>114</v>
      </c>
      <c r="B135" s="167" t="s">
        <v>280</v>
      </c>
      <c r="C135" s="50" t="s">
        <v>281</v>
      </c>
      <c r="D135" s="51">
        <f t="shared" si="8"/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f t="shared" si="9"/>
        <v>0</v>
      </c>
      <c r="L135" s="51">
        <v>0</v>
      </c>
      <c r="M135" s="51">
        <v>0</v>
      </c>
      <c r="N135" s="51">
        <f t="shared" si="10"/>
        <v>0</v>
      </c>
      <c r="O135" s="51">
        <v>0</v>
      </c>
      <c r="P135" s="51">
        <v>0</v>
      </c>
      <c r="Q135" s="51">
        <v>0</v>
      </c>
      <c r="R135" s="51">
        <v>0</v>
      </c>
      <c r="S135" s="51">
        <f t="shared" si="11"/>
        <v>0</v>
      </c>
      <c r="T135" s="51">
        <v>0</v>
      </c>
      <c r="U135" s="51">
        <v>0</v>
      </c>
      <c r="V135" s="51">
        <f t="shared" si="12"/>
        <v>0</v>
      </c>
      <c r="W135" s="51">
        <v>0</v>
      </c>
      <c r="X135" s="51">
        <v>0</v>
      </c>
      <c r="Y135" s="43"/>
      <c r="Z135" s="43"/>
      <c r="AA135" s="44"/>
    </row>
    <row r="136" spans="1:27" x14ac:dyDescent="0.25">
      <c r="A136" s="48">
        <v>115</v>
      </c>
      <c r="B136" s="167" t="s">
        <v>282</v>
      </c>
      <c r="C136" s="50" t="s">
        <v>772</v>
      </c>
      <c r="D136" s="51">
        <f t="shared" si="8"/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f t="shared" si="9"/>
        <v>0</v>
      </c>
      <c r="L136" s="51">
        <v>0</v>
      </c>
      <c r="M136" s="51">
        <v>0</v>
      </c>
      <c r="N136" s="51">
        <f t="shared" si="10"/>
        <v>0</v>
      </c>
      <c r="O136" s="51">
        <v>0</v>
      </c>
      <c r="P136" s="51">
        <v>0</v>
      </c>
      <c r="Q136" s="51">
        <v>0</v>
      </c>
      <c r="R136" s="51">
        <v>0</v>
      </c>
      <c r="S136" s="51">
        <f t="shared" si="11"/>
        <v>0</v>
      </c>
      <c r="T136" s="51">
        <v>0</v>
      </c>
      <c r="U136" s="51">
        <v>0</v>
      </c>
      <c r="V136" s="51">
        <f t="shared" si="12"/>
        <v>0</v>
      </c>
      <c r="W136" s="51">
        <v>0</v>
      </c>
      <c r="X136" s="51">
        <v>0</v>
      </c>
      <c r="Y136" s="43"/>
      <c r="Z136" s="43"/>
      <c r="AA136" s="44"/>
    </row>
    <row r="137" spans="1:27" x14ac:dyDescent="0.25">
      <c r="A137" s="48">
        <v>116</v>
      </c>
      <c r="B137" s="49" t="s">
        <v>283</v>
      </c>
      <c r="C137" s="50" t="s">
        <v>284</v>
      </c>
      <c r="D137" s="51">
        <f t="shared" si="8"/>
        <v>55158</v>
      </c>
      <c r="E137" s="51">
        <v>4730</v>
      </c>
      <c r="F137" s="51">
        <v>363</v>
      </c>
      <c r="G137" s="51">
        <v>8386</v>
      </c>
      <c r="H137" s="51">
        <v>69</v>
      </c>
      <c r="I137" s="51">
        <v>2458</v>
      </c>
      <c r="J137" s="51">
        <v>0</v>
      </c>
      <c r="K137" s="51">
        <f t="shared" si="9"/>
        <v>0</v>
      </c>
      <c r="L137" s="51">
        <v>0</v>
      </c>
      <c r="M137" s="51">
        <v>0</v>
      </c>
      <c r="N137" s="51">
        <f t="shared" si="10"/>
        <v>0</v>
      </c>
      <c r="O137" s="51">
        <v>0</v>
      </c>
      <c r="P137" s="51">
        <v>0</v>
      </c>
      <c r="Q137" s="51">
        <v>0</v>
      </c>
      <c r="R137" s="51">
        <v>0</v>
      </c>
      <c r="S137" s="51">
        <f t="shared" si="11"/>
        <v>39152</v>
      </c>
      <c r="T137" s="51">
        <v>0</v>
      </c>
      <c r="U137" s="51">
        <v>2946</v>
      </c>
      <c r="V137" s="51">
        <f t="shared" si="12"/>
        <v>36206</v>
      </c>
      <c r="W137" s="51">
        <v>0</v>
      </c>
      <c r="X137" s="51">
        <v>36206</v>
      </c>
      <c r="Y137" s="43"/>
      <c r="Z137" s="43"/>
      <c r="AA137" s="44"/>
    </row>
    <row r="138" spans="1:27" ht="26.25" customHeight="1" x14ac:dyDescent="0.25">
      <c r="A138" s="48">
        <v>117</v>
      </c>
      <c r="B138" s="52" t="s">
        <v>285</v>
      </c>
      <c r="C138" s="50" t="s">
        <v>728</v>
      </c>
      <c r="D138" s="51">
        <f t="shared" si="8"/>
        <v>118374</v>
      </c>
      <c r="E138" s="51">
        <v>7334</v>
      </c>
      <c r="F138" s="51">
        <v>2314</v>
      </c>
      <c r="G138" s="51">
        <v>10652</v>
      </c>
      <c r="H138" s="51">
        <v>0</v>
      </c>
      <c r="I138" s="51">
        <v>3134</v>
      </c>
      <c r="J138" s="51">
        <v>10093</v>
      </c>
      <c r="K138" s="51">
        <f t="shared" si="9"/>
        <v>988</v>
      </c>
      <c r="L138" s="51">
        <v>0</v>
      </c>
      <c r="M138" s="51">
        <v>988</v>
      </c>
      <c r="N138" s="51">
        <f t="shared" si="10"/>
        <v>0</v>
      </c>
      <c r="O138" s="51">
        <v>0</v>
      </c>
      <c r="P138" s="51">
        <v>0</v>
      </c>
      <c r="Q138" s="51">
        <v>0</v>
      </c>
      <c r="R138" s="51">
        <v>8072</v>
      </c>
      <c r="S138" s="51">
        <f t="shared" si="11"/>
        <v>75787</v>
      </c>
      <c r="T138" s="51">
        <v>0</v>
      </c>
      <c r="U138" s="51">
        <v>2785</v>
      </c>
      <c r="V138" s="51">
        <f t="shared" si="12"/>
        <v>73002</v>
      </c>
      <c r="W138" s="51">
        <v>5374</v>
      </c>
      <c r="X138" s="51">
        <v>67628</v>
      </c>
      <c r="Y138" s="43"/>
      <c r="Z138" s="43"/>
      <c r="AA138" s="44"/>
    </row>
    <row r="139" spans="1:27" x14ac:dyDescent="0.25">
      <c r="A139" s="48">
        <v>118</v>
      </c>
      <c r="B139" s="167" t="s">
        <v>286</v>
      </c>
      <c r="C139" s="50" t="s">
        <v>287</v>
      </c>
      <c r="D139" s="51">
        <f t="shared" ref="D139:D148" si="24">E139+F139+G139+H139+I139+J139+K139+N139+R139+S139</f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f t="shared" ref="K139:K148" si="25">L139+M139</f>
        <v>0</v>
      </c>
      <c r="L139" s="51">
        <v>0</v>
      </c>
      <c r="M139" s="51">
        <v>0</v>
      </c>
      <c r="N139" s="51">
        <f t="shared" ref="N139:N148" si="26">O139+P139+Q139</f>
        <v>0</v>
      </c>
      <c r="O139" s="51">
        <v>0</v>
      </c>
      <c r="P139" s="51">
        <v>0</v>
      </c>
      <c r="Q139" s="51">
        <v>0</v>
      </c>
      <c r="R139" s="51">
        <v>0</v>
      </c>
      <c r="S139" s="51">
        <f t="shared" si="11"/>
        <v>0</v>
      </c>
      <c r="T139" s="51">
        <v>0</v>
      </c>
      <c r="U139" s="51">
        <v>0</v>
      </c>
      <c r="V139" s="51">
        <f t="shared" ref="V139:V148" si="27">W139+X139</f>
        <v>0</v>
      </c>
      <c r="W139" s="51">
        <v>0</v>
      </c>
      <c r="X139" s="51">
        <v>0</v>
      </c>
      <c r="Y139" s="43"/>
      <c r="Z139" s="43"/>
      <c r="AA139" s="44"/>
    </row>
    <row r="140" spans="1:27" x14ac:dyDescent="0.25">
      <c r="A140" s="48">
        <v>119</v>
      </c>
      <c r="B140" s="49" t="s">
        <v>288</v>
      </c>
      <c r="C140" s="50" t="s">
        <v>289</v>
      </c>
      <c r="D140" s="51">
        <f t="shared" si="24"/>
        <v>16458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f t="shared" si="25"/>
        <v>0</v>
      </c>
      <c r="L140" s="51">
        <v>0</v>
      </c>
      <c r="M140" s="51">
        <v>0</v>
      </c>
      <c r="N140" s="51">
        <f t="shared" si="26"/>
        <v>16458</v>
      </c>
      <c r="O140" s="51">
        <v>0</v>
      </c>
      <c r="P140" s="51">
        <v>15805</v>
      </c>
      <c r="Q140" s="51">
        <v>653</v>
      </c>
      <c r="R140" s="51">
        <v>0</v>
      </c>
      <c r="S140" s="51">
        <f t="shared" ref="S140:S148" si="28">T140+U140+V140</f>
        <v>0</v>
      </c>
      <c r="T140" s="51">
        <v>0</v>
      </c>
      <c r="U140" s="51">
        <v>0</v>
      </c>
      <c r="V140" s="51">
        <f t="shared" si="27"/>
        <v>0</v>
      </c>
      <c r="W140" s="51">
        <v>0</v>
      </c>
      <c r="X140" s="51">
        <v>0</v>
      </c>
      <c r="Y140" s="43"/>
      <c r="Z140" s="43"/>
      <c r="AA140" s="44"/>
    </row>
    <row r="141" spans="1:27" x14ac:dyDescent="0.25">
      <c r="A141" s="48">
        <v>120</v>
      </c>
      <c r="B141" s="167" t="s">
        <v>290</v>
      </c>
      <c r="C141" s="50" t="s">
        <v>291</v>
      </c>
      <c r="D141" s="51">
        <f t="shared" si="24"/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f t="shared" si="25"/>
        <v>0</v>
      </c>
      <c r="L141" s="51">
        <v>0</v>
      </c>
      <c r="M141" s="51">
        <v>0</v>
      </c>
      <c r="N141" s="51">
        <f t="shared" si="26"/>
        <v>0</v>
      </c>
      <c r="O141" s="51">
        <v>0</v>
      </c>
      <c r="P141" s="51">
        <v>0</v>
      </c>
      <c r="Q141" s="51">
        <v>0</v>
      </c>
      <c r="R141" s="51">
        <v>0</v>
      </c>
      <c r="S141" s="51">
        <f t="shared" si="28"/>
        <v>0</v>
      </c>
      <c r="T141" s="51">
        <v>0</v>
      </c>
      <c r="U141" s="51">
        <v>0</v>
      </c>
      <c r="V141" s="51">
        <f t="shared" si="27"/>
        <v>0</v>
      </c>
      <c r="W141" s="51">
        <v>0</v>
      </c>
      <c r="X141" s="51">
        <v>0</v>
      </c>
      <c r="Y141" s="43"/>
      <c r="Z141" s="43"/>
      <c r="AA141" s="44"/>
    </row>
    <row r="142" spans="1:27" x14ac:dyDescent="0.25">
      <c r="A142" s="48">
        <v>121</v>
      </c>
      <c r="B142" s="61" t="s">
        <v>292</v>
      </c>
      <c r="C142" s="62" t="s">
        <v>293</v>
      </c>
      <c r="D142" s="51">
        <f t="shared" si="24"/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f t="shared" si="25"/>
        <v>0</v>
      </c>
      <c r="L142" s="51">
        <v>0</v>
      </c>
      <c r="M142" s="51">
        <v>0</v>
      </c>
      <c r="N142" s="51">
        <f t="shared" si="26"/>
        <v>0</v>
      </c>
      <c r="O142" s="51">
        <v>0</v>
      </c>
      <c r="P142" s="51">
        <v>0</v>
      </c>
      <c r="Q142" s="51">
        <v>0</v>
      </c>
      <c r="R142" s="51">
        <v>0</v>
      </c>
      <c r="S142" s="51">
        <f t="shared" si="28"/>
        <v>0</v>
      </c>
      <c r="T142" s="51">
        <v>0</v>
      </c>
      <c r="U142" s="51">
        <v>0</v>
      </c>
      <c r="V142" s="51">
        <f t="shared" si="27"/>
        <v>0</v>
      </c>
      <c r="W142" s="51">
        <v>0</v>
      </c>
      <c r="X142" s="51">
        <v>0</v>
      </c>
      <c r="Y142" s="43"/>
      <c r="Z142" s="43"/>
      <c r="AA142" s="44"/>
    </row>
    <row r="143" spans="1:27" x14ac:dyDescent="0.25">
      <c r="A143" s="48">
        <v>122</v>
      </c>
      <c r="B143" s="63" t="s">
        <v>294</v>
      </c>
      <c r="C143" s="574" t="s">
        <v>295</v>
      </c>
      <c r="D143" s="51">
        <f t="shared" si="24"/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f t="shared" si="25"/>
        <v>0</v>
      </c>
      <c r="L143" s="51">
        <v>0</v>
      </c>
      <c r="M143" s="51">
        <v>0</v>
      </c>
      <c r="N143" s="51">
        <f t="shared" si="26"/>
        <v>0</v>
      </c>
      <c r="O143" s="51">
        <v>0</v>
      </c>
      <c r="P143" s="51">
        <v>0</v>
      </c>
      <c r="Q143" s="51">
        <v>0</v>
      </c>
      <c r="R143" s="51">
        <v>0</v>
      </c>
      <c r="S143" s="51">
        <f t="shared" si="28"/>
        <v>0</v>
      </c>
      <c r="T143" s="51">
        <v>0</v>
      </c>
      <c r="U143" s="51">
        <v>0</v>
      </c>
      <c r="V143" s="51">
        <f t="shared" si="27"/>
        <v>0</v>
      </c>
      <c r="W143" s="51">
        <v>0</v>
      </c>
      <c r="X143" s="51">
        <v>0</v>
      </c>
      <c r="Y143" s="43"/>
      <c r="Z143" s="43"/>
      <c r="AA143" s="44"/>
    </row>
    <row r="144" spans="1:27" x14ac:dyDescent="0.25">
      <c r="A144" s="48">
        <v>123</v>
      </c>
      <c r="B144" s="64" t="s">
        <v>296</v>
      </c>
      <c r="C144" s="65" t="s">
        <v>297</v>
      </c>
      <c r="D144" s="51">
        <f t="shared" si="24"/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f t="shared" si="25"/>
        <v>0</v>
      </c>
      <c r="L144" s="51">
        <v>0</v>
      </c>
      <c r="M144" s="51">
        <v>0</v>
      </c>
      <c r="N144" s="51">
        <f t="shared" si="26"/>
        <v>0</v>
      </c>
      <c r="O144" s="51">
        <v>0</v>
      </c>
      <c r="P144" s="51">
        <v>0</v>
      </c>
      <c r="Q144" s="51">
        <v>0</v>
      </c>
      <c r="R144" s="51">
        <v>0</v>
      </c>
      <c r="S144" s="51">
        <f t="shared" si="28"/>
        <v>0</v>
      </c>
      <c r="T144" s="51">
        <v>0</v>
      </c>
      <c r="U144" s="51">
        <v>0</v>
      </c>
      <c r="V144" s="51">
        <f t="shared" si="27"/>
        <v>0</v>
      </c>
      <c r="W144" s="51">
        <v>0</v>
      </c>
      <c r="X144" s="51">
        <v>0</v>
      </c>
      <c r="Y144" s="43"/>
      <c r="Z144" s="43"/>
      <c r="AA144" s="44"/>
    </row>
    <row r="145" spans="1:27" x14ac:dyDescent="0.25">
      <c r="A145" s="48">
        <v>124</v>
      </c>
      <c r="B145" s="48" t="s">
        <v>298</v>
      </c>
      <c r="C145" s="66" t="s">
        <v>299</v>
      </c>
      <c r="D145" s="51">
        <f t="shared" si="24"/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f t="shared" si="25"/>
        <v>0</v>
      </c>
      <c r="L145" s="51">
        <v>0</v>
      </c>
      <c r="M145" s="51">
        <v>0</v>
      </c>
      <c r="N145" s="51">
        <f t="shared" si="26"/>
        <v>0</v>
      </c>
      <c r="O145" s="51">
        <v>0</v>
      </c>
      <c r="P145" s="51">
        <v>0</v>
      </c>
      <c r="Q145" s="51">
        <v>0</v>
      </c>
      <c r="R145" s="51">
        <v>0</v>
      </c>
      <c r="S145" s="51">
        <f t="shared" si="28"/>
        <v>0</v>
      </c>
      <c r="T145" s="51">
        <v>0</v>
      </c>
      <c r="U145" s="51">
        <v>0</v>
      </c>
      <c r="V145" s="51">
        <f t="shared" si="27"/>
        <v>0</v>
      </c>
      <c r="W145" s="51">
        <v>0</v>
      </c>
      <c r="X145" s="51">
        <v>0</v>
      </c>
      <c r="Y145" s="43"/>
      <c r="Z145" s="43"/>
      <c r="AA145" s="44"/>
    </row>
    <row r="146" spans="1:27" x14ac:dyDescent="0.25">
      <c r="A146" s="48">
        <v>125</v>
      </c>
      <c r="B146" s="67" t="s">
        <v>300</v>
      </c>
      <c r="C146" s="66" t="s">
        <v>301</v>
      </c>
      <c r="D146" s="51">
        <f t="shared" si="24"/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f t="shared" si="25"/>
        <v>0</v>
      </c>
      <c r="L146" s="51">
        <v>0</v>
      </c>
      <c r="M146" s="51">
        <v>0</v>
      </c>
      <c r="N146" s="51">
        <f t="shared" si="26"/>
        <v>0</v>
      </c>
      <c r="O146" s="51">
        <v>0</v>
      </c>
      <c r="P146" s="51">
        <v>0</v>
      </c>
      <c r="Q146" s="51">
        <v>0</v>
      </c>
      <c r="R146" s="51">
        <v>0</v>
      </c>
      <c r="S146" s="51">
        <f t="shared" si="28"/>
        <v>0</v>
      </c>
      <c r="T146" s="51">
        <v>0</v>
      </c>
      <c r="U146" s="51">
        <v>0</v>
      </c>
      <c r="V146" s="51">
        <f t="shared" si="27"/>
        <v>0</v>
      </c>
      <c r="W146" s="51">
        <v>0</v>
      </c>
      <c r="X146" s="51">
        <v>0</v>
      </c>
      <c r="Y146" s="43"/>
      <c r="Z146" s="43"/>
      <c r="AA146" s="44"/>
    </row>
    <row r="147" spans="1:27" x14ac:dyDescent="0.25">
      <c r="A147" s="48">
        <v>126</v>
      </c>
      <c r="B147" s="67" t="s">
        <v>302</v>
      </c>
      <c r="C147" s="66" t="s">
        <v>303</v>
      </c>
      <c r="D147" s="51">
        <f t="shared" si="24"/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f t="shared" si="25"/>
        <v>0</v>
      </c>
      <c r="L147" s="51">
        <v>0</v>
      </c>
      <c r="M147" s="51">
        <v>0</v>
      </c>
      <c r="N147" s="51">
        <f t="shared" si="26"/>
        <v>0</v>
      </c>
      <c r="O147" s="51">
        <v>0</v>
      </c>
      <c r="P147" s="51">
        <v>0</v>
      </c>
      <c r="Q147" s="51">
        <v>0</v>
      </c>
      <c r="R147" s="51">
        <v>0</v>
      </c>
      <c r="S147" s="51">
        <f t="shared" si="28"/>
        <v>0</v>
      </c>
      <c r="T147" s="51">
        <v>0</v>
      </c>
      <c r="U147" s="51">
        <v>0</v>
      </c>
      <c r="V147" s="51">
        <f t="shared" si="27"/>
        <v>0</v>
      </c>
      <c r="W147" s="51">
        <v>0</v>
      </c>
      <c r="X147" s="51">
        <v>0</v>
      </c>
      <c r="Y147" s="43"/>
      <c r="Z147" s="43"/>
      <c r="AA147" s="44"/>
    </row>
    <row r="148" spans="1:27" s="37" customFormat="1" x14ac:dyDescent="0.25">
      <c r="A148" s="48">
        <v>127</v>
      </c>
      <c r="B148" s="67" t="s">
        <v>304</v>
      </c>
      <c r="C148" s="66" t="s">
        <v>305</v>
      </c>
      <c r="D148" s="51">
        <f t="shared" si="24"/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f t="shared" si="25"/>
        <v>0</v>
      </c>
      <c r="L148" s="51">
        <v>0</v>
      </c>
      <c r="M148" s="51">
        <v>0</v>
      </c>
      <c r="N148" s="51">
        <f t="shared" si="26"/>
        <v>0</v>
      </c>
      <c r="O148" s="51">
        <v>0</v>
      </c>
      <c r="P148" s="51">
        <v>0</v>
      </c>
      <c r="Q148" s="51">
        <v>0</v>
      </c>
      <c r="R148" s="51">
        <v>0</v>
      </c>
      <c r="S148" s="51">
        <f t="shared" si="28"/>
        <v>0</v>
      </c>
      <c r="T148" s="51">
        <v>0</v>
      </c>
      <c r="U148" s="51">
        <v>0</v>
      </c>
      <c r="V148" s="51">
        <f t="shared" si="27"/>
        <v>0</v>
      </c>
      <c r="W148" s="51">
        <v>0</v>
      </c>
      <c r="X148" s="51">
        <v>0</v>
      </c>
      <c r="Y148" s="43"/>
      <c r="Z148" s="43"/>
      <c r="AA148" s="44"/>
    </row>
    <row r="149" spans="1:27" x14ac:dyDescent="0.25">
      <c r="Y149" s="43"/>
    </row>
    <row r="151" spans="1:27" x14ac:dyDescent="0.25">
      <c r="D151" s="456"/>
      <c r="E151" s="456"/>
      <c r="F151" s="456"/>
      <c r="G151" s="456"/>
      <c r="H151" s="456"/>
      <c r="I151" s="456"/>
      <c r="J151" s="456"/>
      <c r="K151" s="456"/>
      <c r="L151" s="456"/>
      <c r="M151" s="456"/>
      <c r="N151" s="456"/>
      <c r="O151" s="456"/>
      <c r="P151" s="456"/>
      <c r="Q151" s="456"/>
      <c r="R151" s="456"/>
      <c r="S151" s="456"/>
      <c r="T151" s="456"/>
      <c r="U151" s="456"/>
      <c r="V151" s="456"/>
      <c r="W151" s="456"/>
      <c r="X151" s="456"/>
    </row>
  </sheetData>
  <mergeCells count="32">
    <mergeCell ref="A2:X2"/>
    <mergeCell ref="A4:A7"/>
    <mergeCell ref="B4:B7"/>
    <mergeCell ref="C4:C7"/>
    <mergeCell ref="D4:X4"/>
    <mergeCell ref="D5:D7"/>
    <mergeCell ref="G5:G7"/>
    <mergeCell ref="H5:H7"/>
    <mergeCell ref="I5:I7"/>
    <mergeCell ref="J5:J7"/>
    <mergeCell ref="V6:X6"/>
    <mergeCell ref="F5:F7"/>
    <mergeCell ref="K5:M5"/>
    <mergeCell ref="N5:Q5"/>
    <mergeCell ref="R5:R7"/>
    <mergeCell ref="S5:X5"/>
    <mergeCell ref="A8:C8"/>
    <mergeCell ref="A10:C10"/>
    <mergeCell ref="A91:A94"/>
    <mergeCell ref="B91:B94"/>
    <mergeCell ref="E5:E7"/>
    <mergeCell ref="A9:C9"/>
    <mergeCell ref="A73:A75"/>
    <mergeCell ref="A35:A36"/>
    <mergeCell ref="A86:A87"/>
    <mergeCell ref="A83:A84"/>
    <mergeCell ref="A76:A79"/>
    <mergeCell ref="M6:M7"/>
    <mergeCell ref="N6:N7"/>
    <mergeCell ref="O6:Q6"/>
    <mergeCell ref="S6:S7"/>
    <mergeCell ref="T6:U6"/>
  </mergeCells>
  <pageMargins left="0" right="0" top="0" bottom="0" header="0" footer="0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59"/>
  <sheetViews>
    <sheetView workbookViewId="0">
      <pane xSplit="3" ySplit="7" topLeftCell="D8" activePane="bottomRight" state="frozen"/>
      <selection activeCell="O15" sqref="O15:O17"/>
      <selection pane="topRight" activeCell="O15" sqref="O15:O17"/>
      <selection pane="bottomLeft" activeCell="O15" sqref="O15:O17"/>
      <selection pane="bottomRight" activeCell="X14" sqref="X14"/>
    </sheetView>
  </sheetViews>
  <sheetFormatPr defaultRowHeight="15" x14ac:dyDescent="0.25"/>
  <cols>
    <col min="1" max="1" width="5.140625" style="107" customWidth="1"/>
    <col min="2" max="2" width="9.140625" style="107"/>
    <col min="3" max="3" width="49.28515625" style="107" customWidth="1"/>
    <col min="4" max="4" width="9.140625" style="91"/>
    <col min="5" max="5" width="11" style="91" customWidth="1"/>
    <col min="6" max="16384" width="9.140625" style="91"/>
  </cols>
  <sheetData>
    <row r="1" spans="1:20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0" x14ac:dyDescent="0.25">
      <c r="A2" s="916" t="s">
        <v>439</v>
      </c>
      <c r="B2" s="916"/>
      <c r="C2" s="916"/>
      <c r="D2" s="916"/>
      <c r="E2" s="916"/>
      <c r="F2" s="916"/>
      <c r="G2" s="916"/>
      <c r="H2" s="916"/>
      <c r="I2" s="916"/>
      <c r="J2" s="916"/>
      <c r="K2" s="916"/>
      <c r="L2" s="916"/>
      <c r="M2" s="916"/>
      <c r="N2" s="916"/>
      <c r="O2" s="916"/>
      <c r="P2" s="916"/>
      <c r="Q2" s="916"/>
      <c r="R2" s="916"/>
      <c r="S2" s="916"/>
      <c r="T2" s="916"/>
    </row>
    <row r="3" spans="1:20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 x14ac:dyDescent="0.25">
      <c r="A4" s="917" t="s">
        <v>0</v>
      </c>
      <c r="B4" s="917" t="s">
        <v>1</v>
      </c>
      <c r="C4" s="918" t="s">
        <v>309</v>
      </c>
      <c r="D4" s="919" t="s">
        <v>13</v>
      </c>
      <c r="E4" s="919"/>
      <c r="F4" s="919"/>
      <c r="G4" s="919"/>
      <c r="H4" s="919"/>
      <c r="I4" s="919"/>
      <c r="J4" s="919"/>
      <c r="K4" s="919"/>
      <c r="L4" s="919"/>
      <c r="M4" s="919"/>
      <c r="N4" s="919"/>
      <c r="O4" s="919"/>
      <c r="P4" s="919"/>
      <c r="Q4" s="919"/>
      <c r="R4" s="919"/>
      <c r="S4" s="919"/>
      <c r="T4" s="919"/>
    </row>
    <row r="5" spans="1:20" ht="40.5" customHeight="1" x14ac:dyDescent="0.25">
      <c r="A5" s="917"/>
      <c r="B5" s="917"/>
      <c r="C5" s="918"/>
      <c r="D5" s="919" t="s">
        <v>13</v>
      </c>
      <c r="E5" s="920" t="s">
        <v>414</v>
      </c>
      <c r="F5" s="920"/>
      <c r="G5" s="920" t="s">
        <v>415</v>
      </c>
      <c r="H5" s="920"/>
      <c r="I5" s="920" t="s">
        <v>416</v>
      </c>
      <c r="J5" s="920"/>
      <c r="K5" s="920" t="s">
        <v>417</v>
      </c>
      <c r="L5" s="920"/>
      <c r="M5" s="920" t="s">
        <v>418</v>
      </c>
      <c r="N5" s="920"/>
      <c r="O5" s="920" t="s">
        <v>419</v>
      </c>
      <c r="P5" s="920"/>
      <c r="Q5" s="920" t="s">
        <v>420</v>
      </c>
      <c r="R5" s="920"/>
      <c r="S5" s="920" t="s">
        <v>421</v>
      </c>
      <c r="T5" s="920"/>
    </row>
    <row r="6" spans="1:20" ht="21" x14ac:dyDescent="0.25">
      <c r="A6" s="917"/>
      <c r="B6" s="917"/>
      <c r="C6" s="918"/>
      <c r="D6" s="919"/>
      <c r="E6" s="92" t="s">
        <v>422</v>
      </c>
      <c r="F6" s="92" t="s">
        <v>423</v>
      </c>
      <c r="G6" s="92" t="s">
        <v>424</v>
      </c>
      <c r="H6" s="92" t="s">
        <v>425</v>
      </c>
      <c r="I6" s="92" t="s">
        <v>424</v>
      </c>
      <c r="J6" s="92" t="s">
        <v>423</v>
      </c>
      <c r="K6" s="92" t="s">
        <v>424</v>
      </c>
      <c r="L6" s="92" t="s">
        <v>425</v>
      </c>
      <c r="M6" s="92" t="s">
        <v>424</v>
      </c>
      <c r="N6" s="92" t="s">
        <v>425</v>
      </c>
      <c r="O6" s="92" t="s">
        <v>424</v>
      </c>
      <c r="P6" s="92" t="s">
        <v>425</v>
      </c>
      <c r="Q6" s="92" t="s">
        <v>424</v>
      </c>
      <c r="R6" s="92" t="s">
        <v>425</v>
      </c>
      <c r="S6" s="92" t="s">
        <v>424</v>
      </c>
      <c r="T6" s="92" t="s">
        <v>425</v>
      </c>
    </row>
    <row r="7" spans="1:20" x14ac:dyDescent="0.25">
      <c r="A7" s="723">
        <v>1</v>
      </c>
      <c r="B7" s="723">
        <v>2</v>
      </c>
      <c r="C7" s="724">
        <v>3</v>
      </c>
      <c r="D7" s="726">
        <v>4</v>
      </c>
      <c r="E7" s="725">
        <v>5</v>
      </c>
      <c r="F7" s="726">
        <v>6</v>
      </c>
      <c r="G7" s="725">
        <v>7</v>
      </c>
      <c r="H7" s="726">
        <v>8</v>
      </c>
      <c r="I7" s="725">
        <v>9</v>
      </c>
      <c r="J7" s="726">
        <v>10</v>
      </c>
      <c r="K7" s="725">
        <v>11</v>
      </c>
      <c r="L7" s="726">
        <v>12</v>
      </c>
      <c r="M7" s="725">
        <v>13</v>
      </c>
      <c r="N7" s="726">
        <v>14</v>
      </c>
      <c r="O7" s="725">
        <v>15</v>
      </c>
      <c r="P7" s="726">
        <v>16</v>
      </c>
      <c r="Q7" s="725">
        <v>17</v>
      </c>
      <c r="R7" s="726">
        <v>18</v>
      </c>
      <c r="S7" s="725">
        <v>19</v>
      </c>
      <c r="T7" s="726">
        <v>20</v>
      </c>
    </row>
    <row r="8" spans="1:20" s="97" customFormat="1" x14ac:dyDescent="0.25">
      <c r="A8" s="93">
        <v>1</v>
      </c>
      <c r="B8" s="94" t="s">
        <v>280</v>
      </c>
      <c r="C8" s="95" t="s">
        <v>281</v>
      </c>
      <c r="D8" s="96">
        <f>SUM(E8:T8)</f>
        <v>3949</v>
      </c>
      <c r="E8" s="96">
        <f>E9+E10</f>
        <v>671</v>
      </c>
      <c r="F8" s="96">
        <f t="shared" ref="F8:T8" si="0">F9+F10</f>
        <v>220</v>
      </c>
      <c r="G8" s="96">
        <f t="shared" si="0"/>
        <v>426</v>
      </c>
      <c r="H8" s="96">
        <f t="shared" si="0"/>
        <v>282</v>
      </c>
      <c r="I8" s="96">
        <f t="shared" si="0"/>
        <v>1360</v>
      </c>
      <c r="J8" s="96">
        <f t="shared" si="0"/>
        <v>781</v>
      </c>
      <c r="K8" s="96">
        <f t="shared" si="0"/>
        <v>90</v>
      </c>
      <c r="L8" s="96">
        <f t="shared" si="0"/>
        <v>40</v>
      </c>
      <c r="M8" s="96">
        <f t="shared" si="0"/>
        <v>0</v>
      </c>
      <c r="N8" s="96">
        <f t="shared" si="0"/>
        <v>0</v>
      </c>
      <c r="O8" s="96">
        <f t="shared" si="0"/>
        <v>0</v>
      </c>
      <c r="P8" s="96">
        <f t="shared" si="0"/>
        <v>0</v>
      </c>
      <c r="Q8" s="96">
        <f t="shared" si="0"/>
        <v>0</v>
      </c>
      <c r="R8" s="96">
        <f t="shared" si="0"/>
        <v>0</v>
      </c>
      <c r="S8" s="96">
        <f t="shared" si="0"/>
        <v>58</v>
      </c>
      <c r="T8" s="96">
        <f t="shared" si="0"/>
        <v>21</v>
      </c>
    </row>
    <row r="9" spans="1:20" x14ac:dyDescent="0.25">
      <c r="A9" s="724"/>
      <c r="B9" s="98"/>
      <c r="C9" s="99" t="s">
        <v>426</v>
      </c>
      <c r="D9" s="100">
        <f t="shared" ref="D9:D10" si="1">SUM(E9:T9)</f>
        <v>3649</v>
      </c>
      <c r="E9" s="100">
        <v>671</v>
      </c>
      <c r="F9" s="100">
        <v>220</v>
      </c>
      <c r="G9" s="100">
        <v>426</v>
      </c>
      <c r="H9" s="100">
        <v>282</v>
      </c>
      <c r="I9" s="100">
        <v>1160</v>
      </c>
      <c r="J9" s="100">
        <v>751</v>
      </c>
      <c r="K9" s="100">
        <v>40</v>
      </c>
      <c r="L9" s="100">
        <v>20</v>
      </c>
      <c r="M9" s="100"/>
      <c r="N9" s="100"/>
      <c r="O9" s="100"/>
      <c r="P9" s="100"/>
      <c r="Q9" s="100"/>
      <c r="R9" s="100"/>
      <c r="S9" s="100">
        <v>58</v>
      </c>
      <c r="T9" s="100">
        <v>21</v>
      </c>
    </row>
    <row r="10" spans="1:20" x14ac:dyDescent="0.25">
      <c r="A10" s="724"/>
      <c r="B10" s="98"/>
      <c r="C10" s="99" t="s">
        <v>427</v>
      </c>
      <c r="D10" s="100">
        <f t="shared" si="1"/>
        <v>300</v>
      </c>
      <c r="E10" s="100"/>
      <c r="F10" s="100"/>
      <c r="G10" s="100"/>
      <c r="H10" s="100"/>
      <c r="I10" s="100">
        <v>200</v>
      </c>
      <c r="J10" s="100">
        <v>30</v>
      </c>
      <c r="K10" s="100">
        <v>50</v>
      </c>
      <c r="L10" s="100">
        <v>20</v>
      </c>
      <c r="M10" s="100"/>
      <c r="N10" s="100"/>
      <c r="O10" s="100"/>
      <c r="P10" s="100"/>
      <c r="Q10" s="100"/>
      <c r="R10" s="100"/>
      <c r="S10" s="100"/>
      <c r="T10" s="100"/>
    </row>
    <row r="11" spans="1:20" s="97" customFormat="1" x14ac:dyDescent="0.25">
      <c r="A11" s="93">
        <v>2</v>
      </c>
      <c r="B11" s="94" t="s">
        <v>62</v>
      </c>
      <c r="C11" s="95" t="s">
        <v>63</v>
      </c>
      <c r="D11" s="96">
        <f>SUM(E11:T11)</f>
        <v>507</v>
      </c>
      <c r="E11" s="96">
        <f>E12+E13</f>
        <v>160</v>
      </c>
      <c r="F11" s="96">
        <f t="shared" ref="F11:T11" si="2">F12+F13</f>
        <v>70</v>
      </c>
      <c r="G11" s="96">
        <f t="shared" si="2"/>
        <v>26</v>
      </c>
      <c r="H11" s="96">
        <f t="shared" si="2"/>
        <v>24</v>
      </c>
      <c r="I11" s="96">
        <f t="shared" si="2"/>
        <v>89</v>
      </c>
      <c r="J11" s="96">
        <f t="shared" si="2"/>
        <v>20</v>
      </c>
      <c r="K11" s="96">
        <f t="shared" si="2"/>
        <v>104</v>
      </c>
      <c r="L11" s="96">
        <f t="shared" si="2"/>
        <v>14</v>
      </c>
      <c r="M11" s="96">
        <f t="shared" si="2"/>
        <v>0</v>
      </c>
      <c r="N11" s="96">
        <f t="shared" si="2"/>
        <v>0</v>
      </c>
      <c r="O11" s="96">
        <f t="shared" si="2"/>
        <v>0</v>
      </c>
      <c r="P11" s="96">
        <f t="shared" si="2"/>
        <v>0</v>
      </c>
      <c r="Q11" s="96">
        <f t="shared" si="2"/>
        <v>0</v>
      </c>
      <c r="R11" s="96">
        <f t="shared" si="2"/>
        <v>0</v>
      </c>
      <c r="S11" s="96">
        <f t="shared" si="2"/>
        <v>0</v>
      </c>
      <c r="T11" s="96">
        <f t="shared" si="2"/>
        <v>0</v>
      </c>
    </row>
    <row r="12" spans="1:20" s="97" customFormat="1" x14ac:dyDescent="0.25">
      <c r="A12" s="93"/>
      <c r="B12" s="94"/>
      <c r="C12" s="99" t="s">
        <v>426</v>
      </c>
      <c r="D12" s="100">
        <f t="shared" ref="D12:D16" si="3">SUM(E12:T12)</f>
        <v>207</v>
      </c>
      <c r="E12" s="100">
        <v>40</v>
      </c>
      <c r="F12" s="100">
        <v>20</v>
      </c>
      <c r="G12" s="100">
        <v>21</v>
      </c>
      <c r="H12" s="100">
        <v>24</v>
      </c>
      <c r="I12" s="100">
        <v>44</v>
      </c>
      <c r="J12" s="100">
        <v>20</v>
      </c>
      <c r="K12" s="100">
        <v>24</v>
      </c>
      <c r="L12" s="100">
        <v>14</v>
      </c>
      <c r="M12" s="100"/>
      <c r="N12" s="100"/>
      <c r="O12" s="100"/>
      <c r="P12" s="100"/>
      <c r="Q12" s="100"/>
      <c r="R12" s="100"/>
      <c r="S12" s="100"/>
      <c r="T12" s="100"/>
    </row>
    <row r="13" spans="1:20" x14ac:dyDescent="0.25">
      <c r="A13" s="724"/>
      <c r="B13" s="98"/>
      <c r="C13" s="99" t="s">
        <v>427</v>
      </c>
      <c r="D13" s="100">
        <f t="shared" si="3"/>
        <v>300</v>
      </c>
      <c r="E13" s="100">
        <v>120</v>
      </c>
      <c r="F13" s="100">
        <v>50</v>
      </c>
      <c r="G13" s="100">
        <v>5</v>
      </c>
      <c r="H13" s="100"/>
      <c r="I13" s="100">
        <v>45</v>
      </c>
      <c r="J13" s="100"/>
      <c r="K13" s="100">
        <v>80</v>
      </c>
      <c r="L13" s="100"/>
      <c r="M13" s="100"/>
      <c r="N13" s="100"/>
      <c r="O13" s="100"/>
      <c r="P13" s="100"/>
      <c r="Q13" s="100"/>
      <c r="R13" s="100"/>
      <c r="S13" s="100"/>
      <c r="T13" s="100"/>
    </row>
    <row r="14" spans="1:20" x14ac:dyDescent="0.25">
      <c r="A14" s="724">
        <v>3</v>
      </c>
      <c r="B14" s="98" t="s">
        <v>148</v>
      </c>
      <c r="C14" s="101" t="s">
        <v>149</v>
      </c>
      <c r="D14" s="100">
        <f t="shared" si="3"/>
        <v>310</v>
      </c>
      <c r="E14" s="100">
        <v>250</v>
      </c>
      <c r="F14" s="100"/>
      <c r="G14" s="100"/>
      <c r="H14" s="100"/>
      <c r="I14" s="100">
        <v>10</v>
      </c>
      <c r="J14" s="100"/>
      <c r="K14" s="100">
        <v>50</v>
      </c>
      <c r="L14" s="100"/>
      <c r="M14" s="100"/>
      <c r="N14" s="100"/>
      <c r="O14" s="100"/>
      <c r="P14" s="100"/>
      <c r="Q14" s="100"/>
      <c r="R14" s="100"/>
      <c r="S14" s="100"/>
      <c r="T14" s="100"/>
    </row>
    <row r="15" spans="1:20" x14ac:dyDescent="0.25">
      <c r="A15" s="724">
        <v>4</v>
      </c>
      <c r="B15" s="98" t="s">
        <v>150</v>
      </c>
      <c r="C15" s="101" t="s">
        <v>151</v>
      </c>
      <c r="D15" s="100">
        <f t="shared" si="3"/>
        <v>323</v>
      </c>
      <c r="E15" s="100">
        <v>71</v>
      </c>
      <c r="F15" s="100"/>
      <c r="G15" s="100"/>
      <c r="H15" s="100"/>
      <c r="I15" s="100">
        <v>42</v>
      </c>
      <c r="J15" s="100"/>
      <c r="K15" s="100">
        <v>210</v>
      </c>
      <c r="L15" s="100"/>
      <c r="M15" s="100"/>
      <c r="N15" s="100"/>
      <c r="O15" s="100"/>
      <c r="P15" s="100"/>
      <c r="Q15" s="100"/>
      <c r="R15" s="100"/>
      <c r="S15" s="100"/>
      <c r="T15" s="100"/>
    </row>
    <row r="16" spans="1:20" x14ac:dyDescent="0.25">
      <c r="A16" s="724">
        <v>5</v>
      </c>
      <c r="B16" s="98" t="s">
        <v>154</v>
      </c>
      <c r="C16" s="101" t="s">
        <v>155</v>
      </c>
      <c r="D16" s="100">
        <f t="shared" si="3"/>
        <v>340</v>
      </c>
      <c r="E16" s="100">
        <v>250</v>
      </c>
      <c r="F16" s="100"/>
      <c r="G16" s="100">
        <v>10</v>
      </c>
      <c r="H16" s="100"/>
      <c r="I16" s="100">
        <v>50</v>
      </c>
      <c r="J16" s="100"/>
      <c r="K16" s="100">
        <v>30</v>
      </c>
      <c r="L16" s="100"/>
      <c r="M16" s="100"/>
      <c r="N16" s="100"/>
      <c r="O16" s="100"/>
      <c r="P16" s="100"/>
      <c r="Q16" s="100"/>
      <c r="R16" s="100"/>
      <c r="S16" s="100"/>
      <c r="T16" s="100"/>
    </row>
    <row r="17" spans="1:20" s="97" customFormat="1" x14ac:dyDescent="0.25">
      <c r="A17" s="93">
        <v>6</v>
      </c>
      <c r="B17" s="94" t="s">
        <v>20</v>
      </c>
      <c r="C17" s="95" t="s">
        <v>21</v>
      </c>
      <c r="D17" s="96">
        <f>SUM(E17:T17)</f>
        <v>336</v>
      </c>
      <c r="E17" s="96">
        <f>E18+E19</f>
        <v>85</v>
      </c>
      <c r="F17" s="96">
        <f t="shared" ref="F17:T17" si="4">F18+F19</f>
        <v>42</v>
      </c>
      <c r="G17" s="96">
        <f t="shared" si="4"/>
        <v>21</v>
      </c>
      <c r="H17" s="96">
        <f t="shared" si="4"/>
        <v>12</v>
      </c>
      <c r="I17" s="96">
        <f t="shared" si="4"/>
        <v>63</v>
      </c>
      <c r="J17" s="96">
        <f t="shared" si="4"/>
        <v>10</v>
      </c>
      <c r="K17" s="96">
        <f t="shared" si="4"/>
        <v>88</v>
      </c>
      <c r="L17" s="96">
        <f t="shared" si="4"/>
        <v>15</v>
      </c>
      <c r="M17" s="96">
        <f t="shared" si="4"/>
        <v>0</v>
      </c>
      <c r="N17" s="96">
        <f t="shared" si="4"/>
        <v>0</v>
      </c>
      <c r="O17" s="96">
        <f t="shared" si="4"/>
        <v>0</v>
      </c>
      <c r="P17" s="96">
        <f t="shared" si="4"/>
        <v>0</v>
      </c>
      <c r="Q17" s="96">
        <f t="shared" si="4"/>
        <v>0</v>
      </c>
      <c r="R17" s="96">
        <f t="shared" si="4"/>
        <v>0</v>
      </c>
      <c r="S17" s="96">
        <f t="shared" si="4"/>
        <v>0</v>
      </c>
      <c r="T17" s="96">
        <f t="shared" si="4"/>
        <v>0</v>
      </c>
    </row>
    <row r="18" spans="1:20" s="97" customFormat="1" x14ac:dyDescent="0.25">
      <c r="A18" s="93"/>
      <c r="B18" s="94"/>
      <c r="C18" s="99" t="s">
        <v>426</v>
      </c>
      <c r="D18" s="100">
        <f t="shared" ref="D18:D19" si="5">SUM(E18:T18)</f>
        <v>136</v>
      </c>
      <c r="E18" s="100">
        <v>25</v>
      </c>
      <c r="F18" s="100">
        <v>12</v>
      </c>
      <c r="G18" s="100">
        <v>12</v>
      </c>
      <c r="H18" s="100">
        <v>12</v>
      </c>
      <c r="I18" s="100">
        <v>15</v>
      </c>
      <c r="J18" s="100">
        <v>10</v>
      </c>
      <c r="K18" s="100">
        <v>35</v>
      </c>
      <c r="L18" s="100">
        <v>15</v>
      </c>
      <c r="M18" s="100"/>
      <c r="N18" s="100"/>
      <c r="O18" s="100"/>
      <c r="P18" s="100"/>
      <c r="Q18" s="100"/>
      <c r="R18" s="100"/>
      <c r="S18" s="100"/>
      <c r="T18" s="100"/>
    </row>
    <row r="19" spans="1:20" s="97" customFormat="1" x14ac:dyDescent="0.25">
      <c r="A19" s="93"/>
      <c r="B19" s="94"/>
      <c r="C19" s="99" t="s">
        <v>427</v>
      </c>
      <c r="D19" s="100">
        <f t="shared" si="5"/>
        <v>200</v>
      </c>
      <c r="E19" s="100">
        <v>60</v>
      </c>
      <c r="F19" s="100">
        <v>30</v>
      </c>
      <c r="G19" s="100">
        <v>9</v>
      </c>
      <c r="H19" s="100"/>
      <c r="I19" s="100">
        <v>48</v>
      </c>
      <c r="J19" s="100"/>
      <c r="K19" s="100">
        <v>53</v>
      </c>
      <c r="L19" s="100"/>
      <c r="M19" s="100"/>
      <c r="N19" s="100"/>
      <c r="O19" s="100"/>
      <c r="P19" s="100"/>
      <c r="Q19" s="100"/>
      <c r="R19" s="100"/>
      <c r="S19" s="100"/>
      <c r="T19" s="100"/>
    </row>
    <row r="20" spans="1:20" s="97" customFormat="1" x14ac:dyDescent="0.25">
      <c r="A20" s="93">
        <v>7</v>
      </c>
      <c r="B20" s="94" t="s">
        <v>32</v>
      </c>
      <c r="C20" s="95" t="s">
        <v>33</v>
      </c>
      <c r="D20" s="96">
        <f>SUM(E20:T20)</f>
        <v>236</v>
      </c>
      <c r="E20" s="96">
        <f>E21+E22</f>
        <v>81</v>
      </c>
      <c r="F20" s="96">
        <f t="shared" ref="F20:T20" si="6">F21+F22</f>
        <v>6</v>
      </c>
      <c r="G20" s="96">
        <f t="shared" si="6"/>
        <v>0</v>
      </c>
      <c r="H20" s="96">
        <f t="shared" si="6"/>
        <v>0</v>
      </c>
      <c r="I20" s="96">
        <f t="shared" si="6"/>
        <v>75</v>
      </c>
      <c r="J20" s="96">
        <f t="shared" si="6"/>
        <v>24</v>
      </c>
      <c r="K20" s="96">
        <f t="shared" si="6"/>
        <v>50</v>
      </c>
      <c r="L20" s="96">
        <f t="shared" si="6"/>
        <v>0</v>
      </c>
      <c r="M20" s="96">
        <f t="shared" si="6"/>
        <v>0</v>
      </c>
      <c r="N20" s="96">
        <f t="shared" si="6"/>
        <v>0</v>
      </c>
      <c r="O20" s="96">
        <f t="shared" si="6"/>
        <v>0</v>
      </c>
      <c r="P20" s="96">
        <f t="shared" si="6"/>
        <v>0</v>
      </c>
      <c r="Q20" s="96">
        <f t="shared" si="6"/>
        <v>0</v>
      </c>
      <c r="R20" s="96">
        <f t="shared" si="6"/>
        <v>0</v>
      </c>
      <c r="S20" s="96">
        <f t="shared" si="6"/>
        <v>0</v>
      </c>
      <c r="T20" s="96">
        <f t="shared" si="6"/>
        <v>0</v>
      </c>
    </row>
    <row r="21" spans="1:20" x14ac:dyDescent="0.25">
      <c r="A21" s="724"/>
      <c r="B21" s="98"/>
      <c r="C21" s="99" t="s">
        <v>426</v>
      </c>
      <c r="D21" s="100">
        <f t="shared" ref="D21:D53" si="7">SUM(E21:T21)</f>
        <v>126</v>
      </c>
      <c r="E21" s="100">
        <v>14</v>
      </c>
      <c r="F21" s="100">
        <v>3</v>
      </c>
      <c r="G21" s="100"/>
      <c r="H21" s="100"/>
      <c r="I21" s="100">
        <v>35</v>
      </c>
      <c r="J21" s="100">
        <v>24</v>
      </c>
      <c r="K21" s="100">
        <v>50</v>
      </c>
      <c r="L21" s="100"/>
      <c r="M21" s="100"/>
      <c r="N21" s="100"/>
      <c r="O21" s="100"/>
      <c r="P21" s="100"/>
      <c r="Q21" s="100"/>
      <c r="R21" s="100"/>
      <c r="S21" s="100"/>
      <c r="T21" s="100"/>
    </row>
    <row r="22" spans="1:20" x14ac:dyDescent="0.25">
      <c r="A22" s="724"/>
      <c r="B22" s="98"/>
      <c r="C22" s="99" t="s">
        <v>427</v>
      </c>
      <c r="D22" s="100">
        <f t="shared" si="7"/>
        <v>110</v>
      </c>
      <c r="E22" s="100">
        <v>67</v>
      </c>
      <c r="F22" s="100">
        <v>3</v>
      </c>
      <c r="G22" s="100"/>
      <c r="H22" s="100"/>
      <c r="I22" s="100">
        <v>40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</row>
    <row r="23" spans="1:20" x14ac:dyDescent="0.25">
      <c r="A23" s="724">
        <v>8</v>
      </c>
      <c r="B23" s="98" t="s">
        <v>272</v>
      </c>
      <c r="C23" s="101" t="s">
        <v>273</v>
      </c>
      <c r="D23" s="100">
        <f t="shared" si="7"/>
        <v>500</v>
      </c>
      <c r="E23" s="100">
        <f>180+3</f>
        <v>183</v>
      </c>
      <c r="F23" s="100">
        <v>49</v>
      </c>
      <c r="G23" s="100">
        <f>2-1</f>
        <v>1</v>
      </c>
      <c r="H23" s="100">
        <f>9-2</f>
        <v>7</v>
      </c>
      <c r="I23" s="100">
        <v>106</v>
      </c>
      <c r="J23" s="100">
        <v>40</v>
      </c>
      <c r="K23" s="100">
        <v>40</v>
      </c>
      <c r="L23" s="100">
        <v>28</v>
      </c>
      <c r="M23" s="100"/>
      <c r="N23" s="100"/>
      <c r="O23" s="100"/>
      <c r="P23" s="100"/>
      <c r="Q23" s="100">
        <v>46</v>
      </c>
      <c r="R23" s="100"/>
      <c r="S23" s="100"/>
      <c r="T23" s="100"/>
    </row>
    <row r="24" spans="1:20" x14ac:dyDescent="0.25">
      <c r="A24" s="724">
        <v>9</v>
      </c>
      <c r="B24" s="98" t="s">
        <v>192</v>
      </c>
      <c r="C24" s="101" t="s">
        <v>193</v>
      </c>
      <c r="D24" s="100">
        <f t="shared" si="7"/>
        <v>350</v>
      </c>
      <c r="E24" s="100">
        <v>284</v>
      </c>
      <c r="F24" s="100"/>
      <c r="G24" s="100"/>
      <c r="H24" s="100"/>
      <c r="I24" s="100">
        <v>36</v>
      </c>
      <c r="J24" s="100"/>
      <c r="K24" s="100">
        <v>30</v>
      </c>
      <c r="L24" s="100"/>
      <c r="M24" s="100"/>
      <c r="N24" s="100"/>
      <c r="O24" s="100"/>
      <c r="P24" s="100"/>
      <c r="Q24" s="100"/>
      <c r="R24" s="100"/>
      <c r="S24" s="100"/>
      <c r="T24" s="100"/>
    </row>
    <row r="25" spans="1:20" x14ac:dyDescent="0.25">
      <c r="A25" s="724">
        <v>10</v>
      </c>
      <c r="B25" s="98" t="s">
        <v>212</v>
      </c>
      <c r="C25" s="101" t="s">
        <v>213</v>
      </c>
      <c r="D25" s="100">
        <f t="shared" si="7"/>
        <v>52</v>
      </c>
      <c r="E25" s="100">
        <v>10</v>
      </c>
      <c r="F25" s="100">
        <v>5</v>
      </c>
      <c r="G25" s="100">
        <v>7</v>
      </c>
      <c r="H25" s="100">
        <v>3</v>
      </c>
      <c r="I25" s="100">
        <v>15</v>
      </c>
      <c r="J25" s="100">
        <v>12</v>
      </c>
      <c r="K25" s="100"/>
      <c r="L25" s="100"/>
      <c r="M25" s="100"/>
      <c r="N25" s="100"/>
      <c r="O25" s="100"/>
      <c r="P25" s="100"/>
      <c r="Q25" s="100"/>
      <c r="R25" s="100"/>
      <c r="S25" s="100"/>
      <c r="T25" s="100"/>
    </row>
    <row r="26" spans="1:20" x14ac:dyDescent="0.25">
      <c r="A26" s="724">
        <v>11</v>
      </c>
      <c r="B26" s="98" t="s">
        <v>126</v>
      </c>
      <c r="C26" s="101" t="s">
        <v>127</v>
      </c>
      <c r="D26" s="100">
        <f t="shared" si="7"/>
        <v>107</v>
      </c>
      <c r="E26" s="100">
        <v>22</v>
      </c>
      <c r="F26" s="100">
        <v>10</v>
      </c>
      <c r="G26" s="100">
        <v>15</v>
      </c>
      <c r="H26" s="100">
        <v>7</v>
      </c>
      <c r="I26" s="100">
        <v>22</v>
      </c>
      <c r="J26" s="100">
        <v>6</v>
      </c>
      <c r="K26" s="100">
        <v>20</v>
      </c>
      <c r="L26" s="100">
        <v>5</v>
      </c>
      <c r="M26" s="100"/>
      <c r="N26" s="100"/>
      <c r="O26" s="100"/>
      <c r="P26" s="100"/>
      <c r="Q26" s="100"/>
      <c r="R26" s="100"/>
      <c r="S26" s="100"/>
      <c r="T26" s="100"/>
    </row>
    <row r="27" spans="1:20" x14ac:dyDescent="0.25">
      <c r="A27" s="913">
        <v>12</v>
      </c>
      <c r="B27" s="94" t="s">
        <v>188</v>
      </c>
      <c r="C27" s="95" t="s">
        <v>783</v>
      </c>
      <c r="D27" s="96">
        <f t="shared" si="7"/>
        <v>666</v>
      </c>
      <c r="E27" s="96">
        <f>E28+E29</f>
        <v>282</v>
      </c>
      <c r="F27" s="96">
        <f t="shared" ref="F27:T27" si="8">F28+F29</f>
        <v>36</v>
      </c>
      <c r="G27" s="96">
        <f t="shared" si="8"/>
        <v>48</v>
      </c>
      <c r="H27" s="96">
        <f t="shared" si="8"/>
        <v>17</v>
      </c>
      <c r="I27" s="96">
        <f t="shared" si="8"/>
        <v>113</v>
      </c>
      <c r="J27" s="96">
        <f t="shared" si="8"/>
        <v>20</v>
      </c>
      <c r="K27" s="96">
        <f t="shared" si="8"/>
        <v>130</v>
      </c>
      <c r="L27" s="96">
        <f t="shared" si="8"/>
        <v>20</v>
      </c>
      <c r="M27" s="96">
        <f t="shared" si="8"/>
        <v>0</v>
      </c>
      <c r="N27" s="96">
        <f t="shared" si="8"/>
        <v>0</v>
      </c>
      <c r="O27" s="96">
        <f t="shared" si="8"/>
        <v>0</v>
      </c>
      <c r="P27" s="96">
        <f t="shared" si="8"/>
        <v>0</v>
      </c>
      <c r="Q27" s="96">
        <f t="shared" si="8"/>
        <v>0</v>
      </c>
      <c r="R27" s="96">
        <f t="shared" si="8"/>
        <v>0</v>
      </c>
      <c r="S27" s="96">
        <f t="shared" si="8"/>
        <v>0</v>
      </c>
      <c r="T27" s="96">
        <f t="shared" si="8"/>
        <v>0</v>
      </c>
    </row>
    <row r="28" spans="1:20" x14ac:dyDescent="0.25">
      <c r="A28" s="914"/>
      <c r="B28" s="98"/>
      <c r="C28" s="99" t="s">
        <v>426</v>
      </c>
      <c r="D28" s="100">
        <f t="shared" si="7"/>
        <v>166</v>
      </c>
      <c r="E28" s="100">
        <v>32</v>
      </c>
      <c r="F28" s="100">
        <v>16</v>
      </c>
      <c r="G28" s="100">
        <v>38</v>
      </c>
      <c r="H28" s="100">
        <v>17</v>
      </c>
      <c r="I28" s="100">
        <v>43</v>
      </c>
      <c r="J28" s="100">
        <v>20</v>
      </c>
      <c r="K28" s="100"/>
      <c r="L28" s="100"/>
      <c r="M28" s="100"/>
      <c r="N28" s="100"/>
      <c r="O28" s="100"/>
      <c r="P28" s="100"/>
      <c r="Q28" s="100"/>
      <c r="R28" s="100"/>
      <c r="S28" s="100"/>
      <c r="T28" s="100"/>
    </row>
    <row r="29" spans="1:20" x14ac:dyDescent="0.25">
      <c r="A29" s="914"/>
      <c r="B29" s="98"/>
      <c r="C29" s="99" t="s">
        <v>427</v>
      </c>
      <c r="D29" s="100">
        <f t="shared" si="7"/>
        <v>500</v>
      </c>
      <c r="E29" s="100">
        <v>250</v>
      </c>
      <c r="F29" s="100">
        <v>20</v>
      </c>
      <c r="G29" s="100">
        <v>10</v>
      </c>
      <c r="H29" s="100">
        <v>0</v>
      </c>
      <c r="I29" s="100">
        <v>70</v>
      </c>
      <c r="J29" s="100">
        <v>0</v>
      </c>
      <c r="K29" s="100">
        <v>130</v>
      </c>
      <c r="L29" s="100">
        <v>20</v>
      </c>
      <c r="M29" s="100">
        <v>0</v>
      </c>
      <c r="N29" s="100">
        <v>0</v>
      </c>
      <c r="O29" s="100">
        <v>0</v>
      </c>
      <c r="P29" s="100">
        <v>0</v>
      </c>
      <c r="Q29" s="100">
        <v>0</v>
      </c>
      <c r="R29" s="100">
        <v>0</v>
      </c>
      <c r="S29" s="100">
        <v>0</v>
      </c>
      <c r="T29" s="100">
        <v>0</v>
      </c>
    </row>
    <row r="30" spans="1:20" s="605" customFormat="1" x14ac:dyDescent="0.25">
      <c r="A30" s="915"/>
      <c r="B30" s="98" t="s">
        <v>156</v>
      </c>
      <c r="C30" s="736" t="s">
        <v>784</v>
      </c>
      <c r="D30" s="737">
        <f>SUM(E30:T30)</f>
        <v>174</v>
      </c>
      <c r="E30" s="737">
        <v>87</v>
      </c>
      <c r="F30" s="737">
        <v>10</v>
      </c>
      <c r="G30" s="737">
        <v>1</v>
      </c>
      <c r="H30" s="737">
        <v>0</v>
      </c>
      <c r="I30" s="737">
        <v>24</v>
      </c>
      <c r="J30" s="737">
        <v>0</v>
      </c>
      <c r="K30" s="737">
        <v>44</v>
      </c>
      <c r="L30" s="737">
        <v>8</v>
      </c>
      <c r="M30" s="737">
        <v>0</v>
      </c>
      <c r="N30" s="737">
        <v>0</v>
      </c>
      <c r="O30" s="737">
        <v>0</v>
      </c>
      <c r="P30" s="737">
        <v>0</v>
      </c>
      <c r="Q30" s="737">
        <v>0</v>
      </c>
      <c r="R30" s="737">
        <v>0</v>
      </c>
      <c r="S30" s="737">
        <v>0</v>
      </c>
      <c r="T30" s="737">
        <v>0</v>
      </c>
    </row>
    <row r="31" spans="1:20" x14ac:dyDescent="0.25">
      <c r="A31" s="724">
        <v>13</v>
      </c>
      <c r="B31" s="98" t="s">
        <v>98</v>
      </c>
      <c r="C31" s="101" t="s">
        <v>99</v>
      </c>
      <c r="D31" s="100">
        <f t="shared" si="7"/>
        <v>271</v>
      </c>
      <c r="E31" s="100">
        <v>54</v>
      </c>
      <c r="F31" s="100">
        <v>22</v>
      </c>
      <c r="G31" s="100">
        <v>25</v>
      </c>
      <c r="H31" s="100">
        <v>20</v>
      </c>
      <c r="I31" s="100">
        <v>50</v>
      </c>
      <c r="J31" s="100">
        <v>15</v>
      </c>
      <c r="K31" s="100">
        <v>65</v>
      </c>
      <c r="L31" s="100">
        <v>20</v>
      </c>
      <c r="M31" s="100"/>
      <c r="N31" s="100"/>
      <c r="O31" s="100"/>
      <c r="P31" s="100"/>
      <c r="Q31" s="100"/>
      <c r="R31" s="100"/>
      <c r="S31" s="100"/>
      <c r="T31" s="100"/>
    </row>
    <row r="32" spans="1:20" x14ac:dyDescent="0.25">
      <c r="A32" s="724">
        <v>14</v>
      </c>
      <c r="B32" s="98" t="s">
        <v>194</v>
      </c>
      <c r="C32" s="101" t="s">
        <v>428</v>
      </c>
      <c r="D32" s="100">
        <f t="shared" si="7"/>
        <v>109</v>
      </c>
      <c r="E32" s="100">
        <v>23</v>
      </c>
      <c r="F32" s="100">
        <v>12</v>
      </c>
      <c r="G32" s="100">
        <v>17</v>
      </c>
      <c r="H32" s="100">
        <v>12</v>
      </c>
      <c r="I32" s="100">
        <v>15</v>
      </c>
      <c r="J32" s="100">
        <v>12</v>
      </c>
      <c r="K32" s="100">
        <v>10</v>
      </c>
      <c r="L32" s="100">
        <v>8</v>
      </c>
      <c r="M32" s="100"/>
      <c r="N32" s="100"/>
      <c r="O32" s="100"/>
      <c r="P32" s="100"/>
      <c r="Q32" s="100"/>
      <c r="R32" s="100"/>
      <c r="S32" s="100"/>
      <c r="T32" s="100"/>
    </row>
    <row r="33" spans="1:20" x14ac:dyDescent="0.25">
      <c r="A33" s="724">
        <v>15</v>
      </c>
      <c r="B33" s="98" t="s">
        <v>184</v>
      </c>
      <c r="C33" s="101" t="s">
        <v>429</v>
      </c>
      <c r="D33" s="100">
        <f t="shared" si="7"/>
        <v>121</v>
      </c>
      <c r="E33" s="100">
        <v>20</v>
      </c>
      <c r="F33" s="100">
        <v>14</v>
      </c>
      <c r="G33" s="100">
        <v>24</v>
      </c>
      <c r="H33" s="100">
        <v>14</v>
      </c>
      <c r="I33" s="100">
        <v>18</v>
      </c>
      <c r="J33" s="100">
        <v>12</v>
      </c>
      <c r="K33" s="100">
        <v>11</v>
      </c>
      <c r="L33" s="100">
        <v>8</v>
      </c>
      <c r="M33" s="100"/>
      <c r="N33" s="100"/>
      <c r="O33" s="100"/>
      <c r="P33" s="100"/>
      <c r="Q33" s="100"/>
      <c r="R33" s="100"/>
      <c r="S33" s="100"/>
      <c r="T33" s="100"/>
    </row>
    <row r="34" spans="1:20" x14ac:dyDescent="0.25">
      <c r="A34" s="724">
        <v>16</v>
      </c>
      <c r="B34" s="98" t="s">
        <v>186</v>
      </c>
      <c r="C34" s="101" t="s">
        <v>430</v>
      </c>
      <c r="D34" s="100">
        <f t="shared" si="7"/>
        <v>236</v>
      </c>
      <c r="E34" s="100">
        <v>34</v>
      </c>
      <c r="F34" s="100">
        <v>13</v>
      </c>
      <c r="G34" s="100"/>
      <c r="H34" s="100"/>
      <c r="I34" s="100">
        <v>81</v>
      </c>
      <c r="J34" s="100">
        <v>36</v>
      </c>
      <c r="K34" s="100">
        <v>58</v>
      </c>
      <c r="L34" s="100">
        <v>14</v>
      </c>
      <c r="M34" s="100"/>
      <c r="N34" s="100"/>
      <c r="O34" s="100"/>
      <c r="P34" s="100"/>
      <c r="Q34" s="100"/>
      <c r="R34" s="100"/>
      <c r="S34" s="100"/>
      <c r="T34" s="100"/>
    </row>
    <row r="35" spans="1:20" x14ac:dyDescent="0.25">
      <c r="A35" s="724">
        <v>17</v>
      </c>
      <c r="B35" s="98" t="s">
        <v>190</v>
      </c>
      <c r="C35" s="101" t="s">
        <v>431</v>
      </c>
      <c r="D35" s="100">
        <f t="shared" si="7"/>
        <v>219</v>
      </c>
      <c r="E35" s="100">
        <v>32</v>
      </c>
      <c r="F35" s="100">
        <v>18</v>
      </c>
      <c r="G35" s="100"/>
      <c r="H35" s="100"/>
      <c r="I35" s="100">
        <v>41</v>
      </c>
      <c r="J35" s="100">
        <v>13</v>
      </c>
      <c r="K35" s="100">
        <v>115</v>
      </c>
      <c r="L35" s="100"/>
      <c r="M35" s="100"/>
      <c r="N35" s="100"/>
      <c r="O35" s="100"/>
      <c r="P35" s="100"/>
      <c r="Q35" s="100"/>
      <c r="R35" s="100"/>
      <c r="S35" s="100"/>
      <c r="T35" s="100"/>
    </row>
    <row r="36" spans="1:20" x14ac:dyDescent="0.25">
      <c r="A36" s="724">
        <v>18</v>
      </c>
      <c r="B36" s="98" t="s">
        <v>285</v>
      </c>
      <c r="C36" s="101" t="s">
        <v>728</v>
      </c>
      <c r="D36" s="100">
        <f t="shared" si="7"/>
        <v>189</v>
      </c>
      <c r="E36" s="100">
        <v>43</v>
      </c>
      <c r="F36" s="100">
        <v>22</v>
      </c>
      <c r="G36" s="100">
        <v>32</v>
      </c>
      <c r="H36" s="100">
        <v>20</v>
      </c>
      <c r="I36" s="100">
        <v>27</v>
      </c>
      <c r="J36" s="100">
        <v>14</v>
      </c>
      <c r="K36" s="100">
        <v>13</v>
      </c>
      <c r="L36" s="100"/>
      <c r="M36" s="100"/>
      <c r="N36" s="100"/>
      <c r="O36" s="100">
        <v>9</v>
      </c>
      <c r="P36" s="100">
        <v>9</v>
      </c>
      <c r="Q36" s="100"/>
      <c r="R36" s="100"/>
      <c r="S36" s="100"/>
      <c r="T36" s="100"/>
    </row>
    <row r="37" spans="1:20" x14ac:dyDescent="0.25">
      <c r="A37" s="724">
        <v>19</v>
      </c>
      <c r="B37" s="98" t="s">
        <v>102</v>
      </c>
      <c r="C37" s="101" t="s">
        <v>103</v>
      </c>
      <c r="D37" s="100">
        <f t="shared" si="7"/>
        <v>227</v>
      </c>
      <c r="E37" s="100">
        <v>26</v>
      </c>
      <c r="F37" s="100">
        <v>15</v>
      </c>
      <c r="G37" s="100">
        <v>9</v>
      </c>
      <c r="H37" s="100">
        <v>4</v>
      </c>
      <c r="I37" s="100">
        <v>45</v>
      </c>
      <c r="J37" s="100">
        <v>25</v>
      </c>
      <c r="K37" s="100">
        <v>73</v>
      </c>
      <c r="L37" s="100">
        <v>30</v>
      </c>
      <c r="M37" s="100"/>
      <c r="N37" s="100"/>
      <c r="O37" s="100"/>
      <c r="P37" s="100"/>
      <c r="Q37" s="100"/>
      <c r="R37" s="100"/>
      <c r="S37" s="100"/>
      <c r="T37" s="100"/>
    </row>
    <row r="38" spans="1:20" x14ac:dyDescent="0.25">
      <c r="A38" s="724">
        <v>20</v>
      </c>
      <c r="B38" s="98" t="s">
        <v>283</v>
      </c>
      <c r="C38" s="101" t="s">
        <v>432</v>
      </c>
      <c r="D38" s="100">
        <f t="shared" si="7"/>
        <v>319</v>
      </c>
      <c r="E38" s="100">
        <v>23</v>
      </c>
      <c r="F38" s="100">
        <v>45</v>
      </c>
      <c r="G38" s="100">
        <v>36</v>
      </c>
      <c r="H38" s="100">
        <v>35</v>
      </c>
      <c r="I38" s="100"/>
      <c r="J38" s="100"/>
      <c r="K38" s="100"/>
      <c r="L38" s="100"/>
      <c r="M38" s="100"/>
      <c r="N38" s="100"/>
      <c r="O38" s="100">
        <v>90</v>
      </c>
      <c r="P38" s="100">
        <v>90</v>
      </c>
      <c r="Q38" s="100"/>
      <c r="R38" s="100"/>
      <c r="S38" s="100"/>
      <c r="T38" s="100"/>
    </row>
    <row r="39" spans="1:20" x14ac:dyDescent="0.25">
      <c r="A39" s="724">
        <v>21</v>
      </c>
      <c r="B39" s="98" t="s">
        <v>162</v>
      </c>
      <c r="C39" s="101" t="s">
        <v>433</v>
      </c>
      <c r="D39" s="100">
        <f t="shared" si="7"/>
        <v>148</v>
      </c>
      <c r="E39" s="100">
        <v>30</v>
      </c>
      <c r="F39" s="100">
        <v>12</v>
      </c>
      <c r="G39" s="100">
        <v>31</v>
      </c>
      <c r="H39" s="100">
        <v>9</v>
      </c>
      <c r="I39" s="100">
        <v>50</v>
      </c>
      <c r="J39" s="100">
        <v>10</v>
      </c>
      <c r="K39" s="100">
        <v>5</v>
      </c>
      <c r="L39" s="100">
        <v>1</v>
      </c>
      <c r="M39" s="100"/>
      <c r="N39" s="100"/>
      <c r="O39" s="100"/>
      <c r="P39" s="100"/>
      <c r="Q39" s="100"/>
      <c r="R39" s="100"/>
      <c r="S39" s="100"/>
      <c r="T39" s="100"/>
    </row>
    <row r="40" spans="1:20" x14ac:dyDescent="0.25">
      <c r="A40" s="724">
        <v>22</v>
      </c>
      <c r="B40" s="98" t="s">
        <v>164</v>
      </c>
      <c r="C40" s="101" t="s">
        <v>434</v>
      </c>
      <c r="D40" s="100">
        <f t="shared" si="7"/>
        <v>167</v>
      </c>
      <c r="E40" s="100">
        <v>32</v>
      </c>
      <c r="F40" s="100">
        <v>18</v>
      </c>
      <c r="G40" s="100">
        <v>26</v>
      </c>
      <c r="H40" s="100">
        <v>26</v>
      </c>
      <c r="I40" s="100">
        <v>32</v>
      </c>
      <c r="J40" s="100">
        <v>11</v>
      </c>
      <c r="K40" s="100">
        <v>12</v>
      </c>
      <c r="L40" s="100">
        <v>10</v>
      </c>
      <c r="M40" s="100"/>
      <c r="N40" s="100"/>
      <c r="O40" s="100"/>
      <c r="P40" s="100"/>
      <c r="Q40" s="100"/>
      <c r="R40" s="100"/>
      <c r="S40" s="100"/>
      <c r="T40" s="100"/>
    </row>
    <row r="41" spans="1:20" x14ac:dyDescent="0.25">
      <c r="A41" s="724">
        <v>23</v>
      </c>
      <c r="B41" s="98" t="s">
        <v>166</v>
      </c>
      <c r="C41" s="101" t="s">
        <v>435</v>
      </c>
      <c r="D41" s="100">
        <f t="shared" si="7"/>
        <v>273</v>
      </c>
      <c r="E41" s="100">
        <v>55</v>
      </c>
      <c r="F41" s="100">
        <v>28</v>
      </c>
      <c r="G41" s="100">
        <v>44</v>
      </c>
      <c r="H41" s="100">
        <v>12</v>
      </c>
      <c r="I41" s="100">
        <v>12</v>
      </c>
      <c r="J41" s="100">
        <v>18</v>
      </c>
      <c r="K41" s="100">
        <v>70</v>
      </c>
      <c r="L41" s="100">
        <v>34</v>
      </c>
      <c r="M41" s="100"/>
      <c r="N41" s="100"/>
      <c r="O41" s="100"/>
      <c r="P41" s="100"/>
      <c r="Q41" s="100"/>
      <c r="R41" s="100"/>
      <c r="S41" s="100"/>
      <c r="T41" s="100"/>
    </row>
    <row r="42" spans="1:20" x14ac:dyDescent="0.25">
      <c r="A42" s="724">
        <v>24</v>
      </c>
      <c r="B42" s="98" t="s">
        <v>282</v>
      </c>
      <c r="C42" s="101" t="s">
        <v>772</v>
      </c>
      <c r="D42" s="100">
        <f t="shared" si="7"/>
        <v>992</v>
      </c>
      <c r="E42" s="100">
        <v>202</v>
      </c>
      <c r="F42" s="100">
        <v>86</v>
      </c>
      <c r="G42" s="100">
        <v>64</v>
      </c>
      <c r="H42" s="100">
        <v>75</v>
      </c>
      <c r="I42" s="100">
        <v>293</v>
      </c>
      <c r="J42" s="100">
        <v>272</v>
      </c>
      <c r="K42" s="100"/>
      <c r="L42" s="100"/>
      <c r="M42" s="100"/>
      <c r="N42" s="100"/>
      <c r="O42" s="100"/>
      <c r="P42" s="100"/>
      <c r="Q42" s="100"/>
      <c r="R42" s="100"/>
      <c r="S42" s="100"/>
      <c r="T42" s="100"/>
    </row>
    <row r="43" spans="1:20" x14ac:dyDescent="0.25">
      <c r="A43" s="724">
        <v>25</v>
      </c>
      <c r="B43" s="98" t="s">
        <v>268</v>
      </c>
      <c r="C43" s="101" t="s">
        <v>436</v>
      </c>
      <c r="D43" s="100">
        <f t="shared" si="7"/>
        <v>516</v>
      </c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>
        <v>258</v>
      </c>
      <c r="R43" s="100">
        <v>258</v>
      </c>
      <c r="S43" s="100"/>
      <c r="T43" s="100"/>
    </row>
    <row r="44" spans="1:20" x14ac:dyDescent="0.25">
      <c r="A44" s="724">
        <v>26</v>
      </c>
      <c r="B44" s="98" t="s">
        <v>270</v>
      </c>
      <c r="C44" s="101" t="s">
        <v>271</v>
      </c>
      <c r="D44" s="100">
        <f>SUM(E44:T44)</f>
        <v>198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>
        <v>198</v>
      </c>
      <c r="Q44" s="100"/>
      <c r="R44" s="100"/>
      <c r="S44" s="100"/>
      <c r="T44" s="100"/>
    </row>
    <row r="45" spans="1:20" x14ac:dyDescent="0.25">
      <c r="A45" s="724">
        <v>27</v>
      </c>
      <c r="B45" s="98" t="s">
        <v>208</v>
      </c>
      <c r="C45" s="101" t="s">
        <v>437</v>
      </c>
      <c r="D45" s="100">
        <f t="shared" si="7"/>
        <v>218</v>
      </c>
      <c r="E45" s="100">
        <v>71</v>
      </c>
      <c r="F45" s="100">
        <v>32</v>
      </c>
      <c r="G45" s="100">
        <v>20</v>
      </c>
      <c r="H45" s="100">
        <v>19</v>
      </c>
      <c r="I45" s="100">
        <v>41</v>
      </c>
      <c r="J45" s="100">
        <v>35</v>
      </c>
      <c r="K45" s="100"/>
      <c r="L45" s="100"/>
      <c r="M45" s="100"/>
      <c r="N45" s="100"/>
      <c r="O45" s="100"/>
      <c r="P45" s="100"/>
      <c r="Q45" s="100"/>
      <c r="R45" s="100"/>
      <c r="S45" s="100"/>
      <c r="T45" s="100"/>
    </row>
    <row r="46" spans="1:20" x14ac:dyDescent="0.25">
      <c r="A46" s="724">
        <v>28</v>
      </c>
      <c r="B46" s="98" t="s">
        <v>142</v>
      </c>
      <c r="C46" s="101" t="s">
        <v>143</v>
      </c>
      <c r="D46" s="100">
        <f t="shared" si="7"/>
        <v>166</v>
      </c>
      <c r="E46" s="100">
        <v>30</v>
      </c>
      <c r="F46" s="100">
        <v>15</v>
      </c>
      <c r="G46" s="100">
        <v>12</v>
      </c>
      <c r="H46" s="100">
        <v>12</v>
      </c>
      <c r="I46" s="100">
        <v>12</v>
      </c>
      <c r="J46" s="100">
        <v>4</v>
      </c>
      <c r="K46" s="100">
        <v>60</v>
      </c>
      <c r="L46" s="100">
        <v>21</v>
      </c>
      <c r="M46" s="100"/>
      <c r="N46" s="100"/>
      <c r="O46" s="100"/>
      <c r="P46" s="100"/>
      <c r="Q46" s="100"/>
      <c r="R46" s="100"/>
      <c r="S46" s="100"/>
      <c r="T46" s="100"/>
    </row>
    <row r="47" spans="1:20" x14ac:dyDescent="0.25">
      <c r="A47" s="724">
        <v>29</v>
      </c>
      <c r="B47" s="98" t="s">
        <v>118</v>
      </c>
      <c r="C47" s="101" t="s">
        <v>119</v>
      </c>
      <c r="D47" s="100">
        <f t="shared" si="7"/>
        <v>60</v>
      </c>
      <c r="E47" s="100">
        <v>12</v>
      </c>
      <c r="F47" s="100">
        <v>6</v>
      </c>
      <c r="G47" s="100">
        <v>9</v>
      </c>
      <c r="H47" s="100">
        <v>3</v>
      </c>
      <c r="I47" s="100">
        <v>8</v>
      </c>
      <c r="J47" s="100">
        <v>2</v>
      </c>
      <c r="K47" s="100">
        <v>10</v>
      </c>
      <c r="L47" s="100">
        <v>10</v>
      </c>
      <c r="M47" s="100"/>
      <c r="N47" s="100"/>
      <c r="O47" s="100"/>
      <c r="P47" s="100"/>
      <c r="Q47" s="100"/>
      <c r="R47" s="100"/>
      <c r="S47" s="100"/>
      <c r="T47" s="100"/>
    </row>
    <row r="48" spans="1:20" x14ac:dyDescent="0.25">
      <c r="A48" s="724">
        <v>30</v>
      </c>
      <c r="B48" s="98" t="s">
        <v>16</v>
      </c>
      <c r="C48" s="101" t="s">
        <v>17</v>
      </c>
      <c r="D48" s="100">
        <f t="shared" si="7"/>
        <v>307</v>
      </c>
      <c r="E48" s="100">
        <v>40</v>
      </c>
      <c r="F48" s="100">
        <v>60</v>
      </c>
      <c r="G48" s="100">
        <v>27</v>
      </c>
      <c r="H48" s="100">
        <v>12</v>
      </c>
      <c r="I48" s="100">
        <v>50</v>
      </c>
      <c r="J48" s="100">
        <v>40</v>
      </c>
      <c r="K48" s="100">
        <v>66</v>
      </c>
      <c r="L48" s="100">
        <v>12</v>
      </c>
      <c r="M48" s="100"/>
      <c r="N48" s="100"/>
      <c r="O48" s="100"/>
      <c r="P48" s="100"/>
      <c r="Q48" s="100"/>
      <c r="R48" s="100"/>
      <c r="S48" s="100"/>
      <c r="T48" s="100"/>
    </row>
    <row r="49" spans="1:20" x14ac:dyDescent="0.25">
      <c r="A49" s="724">
        <v>31</v>
      </c>
      <c r="B49" s="102" t="s">
        <v>106</v>
      </c>
      <c r="C49" s="103" t="s">
        <v>107</v>
      </c>
      <c r="D49" s="100">
        <f t="shared" si="7"/>
        <v>162</v>
      </c>
      <c r="E49" s="100">
        <v>25</v>
      </c>
      <c r="F49" s="100">
        <v>13</v>
      </c>
      <c r="G49" s="100">
        <v>20</v>
      </c>
      <c r="H49" s="100">
        <v>11</v>
      </c>
      <c r="I49" s="100">
        <v>21</v>
      </c>
      <c r="J49" s="100">
        <v>12</v>
      </c>
      <c r="K49" s="100">
        <v>35</v>
      </c>
      <c r="L49" s="100">
        <v>25</v>
      </c>
      <c r="M49" s="100"/>
      <c r="N49" s="100"/>
      <c r="O49" s="100"/>
      <c r="P49" s="100"/>
      <c r="Q49" s="100"/>
      <c r="R49" s="100"/>
      <c r="S49" s="100"/>
      <c r="T49" s="100"/>
    </row>
    <row r="50" spans="1:20" x14ac:dyDescent="0.25">
      <c r="A50" s="724">
        <v>32</v>
      </c>
      <c r="B50" s="102" t="s">
        <v>86</v>
      </c>
      <c r="C50" s="103" t="s">
        <v>87</v>
      </c>
      <c r="D50" s="100">
        <f t="shared" si="7"/>
        <v>101</v>
      </c>
      <c r="E50" s="100">
        <v>20</v>
      </c>
      <c r="F50" s="100">
        <v>10</v>
      </c>
      <c r="G50" s="100">
        <v>9</v>
      </c>
      <c r="H50" s="100">
        <v>4</v>
      </c>
      <c r="I50" s="100">
        <v>11</v>
      </c>
      <c r="J50" s="100">
        <v>5</v>
      </c>
      <c r="K50" s="100">
        <v>33</v>
      </c>
      <c r="L50" s="100">
        <v>9</v>
      </c>
      <c r="M50" s="100"/>
      <c r="N50" s="100"/>
      <c r="O50" s="100"/>
      <c r="P50" s="100"/>
      <c r="Q50" s="100"/>
      <c r="R50" s="100"/>
      <c r="S50" s="100"/>
      <c r="T50" s="100"/>
    </row>
    <row r="51" spans="1:20" x14ac:dyDescent="0.25">
      <c r="A51" s="724">
        <v>33</v>
      </c>
      <c r="B51" s="102" t="s">
        <v>112</v>
      </c>
      <c r="C51" s="103" t="s">
        <v>113</v>
      </c>
      <c r="D51" s="100">
        <f t="shared" si="7"/>
        <v>62</v>
      </c>
      <c r="E51" s="100">
        <v>15</v>
      </c>
      <c r="F51" s="100">
        <v>6</v>
      </c>
      <c r="G51" s="100">
        <v>3</v>
      </c>
      <c r="H51" s="100">
        <v>3</v>
      </c>
      <c r="I51" s="100">
        <v>14</v>
      </c>
      <c r="J51" s="100">
        <v>8</v>
      </c>
      <c r="K51" s="100">
        <v>10</v>
      </c>
      <c r="L51" s="100">
        <v>3</v>
      </c>
      <c r="M51" s="100"/>
      <c r="N51" s="100"/>
      <c r="O51" s="100"/>
      <c r="P51" s="100"/>
      <c r="Q51" s="100"/>
      <c r="R51" s="100"/>
      <c r="S51" s="100"/>
      <c r="T51" s="100"/>
    </row>
    <row r="52" spans="1:20" x14ac:dyDescent="0.25">
      <c r="A52" s="724">
        <v>34</v>
      </c>
      <c r="B52" s="104" t="s">
        <v>124</v>
      </c>
      <c r="C52" s="103" t="s">
        <v>125</v>
      </c>
      <c r="D52" s="100">
        <f t="shared" si="7"/>
        <v>64</v>
      </c>
      <c r="E52" s="100">
        <v>10</v>
      </c>
      <c r="F52" s="100">
        <v>7</v>
      </c>
      <c r="G52" s="100">
        <v>6</v>
      </c>
      <c r="H52" s="100">
        <v>6</v>
      </c>
      <c r="I52" s="100">
        <v>7</v>
      </c>
      <c r="J52" s="100">
        <v>6</v>
      </c>
      <c r="K52" s="100">
        <v>15</v>
      </c>
      <c r="L52" s="100">
        <v>7</v>
      </c>
      <c r="M52" s="100"/>
      <c r="N52" s="100"/>
      <c r="O52" s="100"/>
      <c r="P52" s="100"/>
      <c r="Q52" s="100"/>
      <c r="R52" s="100"/>
      <c r="S52" s="100"/>
      <c r="T52" s="100"/>
    </row>
    <row r="53" spans="1:20" x14ac:dyDescent="0.25">
      <c r="A53" s="724">
        <v>35</v>
      </c>
      <c r="B53" s="104" t="s">
        <v>24</v>
      </c>
      <c r="C53" s="103" t="s">
        <v>25</v>
      </c>
      <c r="D53" s="100">
        <f t="shared" si="7"/>
        <v>30</v>
      </c>
      <c r="E53" s="100">
        <v>3</v>
      </c>
      <c r="F53" s="100">
        <v>3</v>
      </c>
      <c r="G53" s="100">
        <v>3</v>
      </c>
      <c r="H53" s="100">
        <v>3</v>
      </c>
      <c r="I53" s="100">
        <v>9</v>
      </c>
      <c r="J53" s="100">
        <v>9</v>
      </c>
      <c r="K53" s="100"/>
      <c r="L53" s="100"/>
      <c r="M53" s="100"/>
      <c r="N53" s="100"/>
      <c r="O53" s="100"/>
      <c r="P53" s="100"/>
      <c r="Q53" s="100"/>
      <c r="R53" s="100"/>
      <c r="S53" s="100"/>
      <c r="T53" s="100"/>
    </row>
    <row r="54" spans="1:20" x14ac:dyDescent="0.25">
      <c r="A54" s="724">
        <v>36</v>
      </c>
      <c r="B54" s="554" t="s">
        <v>128</v>
      </c>
      <c r="C54" s="103" t="s">
        <v>129</v>
      </c>
      <c r="D54" s="100">
        <f t="shared" ref="D54" si="9">SUM(E54:T54)</f>
        <v>100</v>
      </c>
      <c r="E54" s="100">
        <v>22</v>
      </c>
      <c r="F54" s="100">
        <v>10</v>
      </c>
      <c r="G54" s="100">
        <v>15</v>
      </c>
      <c r="H54" s="100">
        <v>7</v>
      </c>
      <c r="I54" s="100">
        <v>22</v>
      </c>
      <c r="J54" s="100">
        <v>6</v>
      </c>
      <c r="K54" s="100">
        <v>13</v>
      </c>
      <c r="L54" s="100">
        <v>5</v>
      </c>
      <c r="M54" s="100"/>
      <c r="N54" s="100"/>
      <c r="O54" s="100"/>
      <c r="P54" s="100"/>
      <c r="Q54" s="100"/>
      <c r="R54" s="100"/>
      <c r="S54" s="100"/>
      <c r="T54" s="100"/>
    </row>
    <row r="55" spans="1:20" s="97" customFormat="1" x14ac:dyDescent="0.25">
      <c r="A55" s="93"/>
      <c r="B55" s="95"/>
      <c r="C55" s="95" t="s">
        <v>438</v>
      </c>
      <c r="D55" s="96">
        <f>SUM(D8:D54)-D8-D11-D17-D20-D27-D30</f>
        <v>12931</v>
      </c>
      <c r="E55" s="96">
        <f t="shared" ref="E55:T55" si="10">SUM(E8:E54)-E8-E11-E17-E20-E27-E30</f>
        <v>3171</v>
      </c>
      <c r="F55" s="96">
        <f t="shared" si="10"/>
        <v>905</v>
      </c>
      <c r="G55" s="96">
        <f t="shared" si="10"/>
        <v>986</v>
      </c>
      <c r="H55" s="96">
        <f t="shared" si="10"/>
        <v>659</v>
      </c>
      <c r="I55" s="96">
        <f t="shared" si="10"/>
        <v>2840</v>
      </c>
      <c r="J55" s="96">
        <f t="shared" si="10"/>
        <v>1478</v>
      </c>
      <c r="K55" s="96">
        <f t="shared" si="10"/>
        <v>1516</v>
      </c>
      <c r="L55" s="96">
        <f t="shared" si="10"/>
        <v>339</v>
      </c>
      <c r="M55" s="96">
        <f t="shared" si="10"/>
        <v>0</v>
      </c>
      <c r="N55" s="96">
        <f t="shared" si="10"/>
        <v>0</v>
      </c>
      <c r="O55" s="96">
        <f t="shared" si="10"/>
        <v>99</v>
      </c>
      <c r="P55" s="96">
        <f t="shared" si="10"/>
        <v>297</v>
      </c>
      <c r="Q55" s="96">
        <f t="shared" si="10"/>
        <v>304</v>
      </c>
      <c r="R55" s="96">
        <f t="shared" si="10"/>
        <v>258</v>
      </c>
      <c r="S55" s="96">
        <f t="shared" si="10"/>
        <v>58</v>
      </c>
      <c r="T55" s="96">
        <f t="shared" si="10"/>
        <v>21</v>
      </c>
    </row>
    <row r="56" spans="1:20" x14ac:dyDescent="0.25">
      <c r="A56" s="105"/>
      <c r="B56" s="105"/>
      <c r="C56" s="106" t="s">
        <v>426</v>
      </c>
      <c r="D56" s="100">
        <f t="shared" ref="D56:T56" si="11">D9+D12+D18+D21+D25+D26+D28+D31+D32+D33+D34+D35+D36+D37+D38+D39+D40+D41+D42+D43+D44+D45+D46+D47+D48+D49+D50+D51+D52+D53+D54</f>
        <v>9698</v>
      </c>
      <c r="E56" s="100">
        <f t="shared" si="11"/>
        <v>1636</v>
      </c>
      <c r="F56" s="100">
        <f t="shared" si="11"/>
        <v>753</v>
      </c>
      <c r="G56" s="100">
        <f t="shared" si="11"/>
        <v>951</v>
      </c>
      <c r="H56" s="100">
        <f t="shared" si="11"/>
        <v>652</v>
      </c>
      <c r="I56" s="100">
        <f t="shared" si="11"/>
        <v>2193</v>
      </c>
      <c r="J56" s="100">
        <f t="shared" si="11"/>
        <v>1408</v>
      </c>
      <c r="K56" s="100">
        <f t="shared" si="11"/>
        <v>843</v>
      </c>
      <c r="L56" s="100">
        <f t="shared" si="11"/>
        <v>271</v>
      </c>
      <c r="M56" s="100">
        <f t="shared" si="11"/>
        <v>0</v>
      </c>
      <c r="N56" s="100">
        <f t="shared" si="11"/>
        <v>0</v>
      </c>
      <c r="O56" s="100">
        <f t="shared" si="11"/>
        <v>99</v>
      </c>
      <c r="P56" s="100">
        <f t="shared" si="11"/>
        <v>297</v>
      </c>
      <c r="Q56" s="100">
        <f t="shared" si="11"/>
        <v>258</v>
      </c>
      <c r="R56" s="100">
        <f t="shared" si="11"/>
        <v>258</v>
      </c>
      <c r="S56" s="100">
        <f t="shared" si="11"/>
        <v>58</v>
      </c>
      <c r="T56" s="100">
        <f t="shared" si="11"/>
        <v>21</v>
      </c>
    </row>
    <row r="57" spans="1:20" x14ac:dyDescent="0.25">
      <c r="A57" s="105"/>
      <c r="B57" s="105"/>
      <c r="C57" s="106" t="s">
        <v>427</v>
      </c>
      <c r="D57" s="100">
        <f>D10+D13+D14+D15+D16+D19+D22+D24+D23+D29</f>
        <v>3233</v>
      </c>
      <c r="E57" s="100">
        <f>E10+E13+E14+E15+E16+E19+E22+E24+E23+E29</f>
        <v>1535</v>
      </c>
      <c r="F57" s="100">
        <f t="shared" ref="F57:T57" si="12">F10+F13+F14+F15+F16+F19+F22+F24+F23+F29</f>
        <v>152</v>
      </c>
      <c r="G57" s="100">
        <f t="shared" si="12"/>
        <v>35</v>
      </c>
      <c r="H57" s="100">
        <f t="shared" si="12"/>
        <v>7</v>
      </c>
      <c r="I57" s="100">
        <f t="shared" si="12"/>
        <v>647</v>
      </c>
      <c r="J57" s="100">
        <f t="shared" si="12"/>
        <v>70</v>
      </c>
      <c r="K57" s="100">
        <f t="shared" si="12"/>
        <v>673</v>
      </c>
      <c r="L57" s="100">
        <f t="shared" si="12"/>
        <v>68</v>
      </c>
      <c r="M57" s="100">
        <f t="shared" si="12"/>
        <v>0</v>
      </c>
      <c r="N57" s="100">
        <f t="shared" si="12"/>
        <v>0</v>
      </c>
      <c r="O57" s="100">
        <f t="shared" si="12"/>
        <v>0</v>
      </c>
      <c r="P57" s="100">
        <f t="shared" si="12"/>
        <v>0</v>
      </c>
      <c r="Q57" s="100">
        <f t="shared" si="12"/>
        <v>46</v>
      </c>
      <c r="R57" s="100">
        <f t="shared" si="12"/>
        <v>0</v>
      </c>
      <c r="S57" s="100">
        <f t="shared" si="12"/>
        <v>0</v>
      </c>
      <c r="T57" s="100">
        <f t="shared" si="12"/>
        <v>0</v>
      </c>
    </row>
    <row r="58" spans="1:20" x14ac:dyDescent="0.25">
      <c r="A58" s="738"/>
      <c r="B58" s="738"/>
      <c r="C58" s="739"/>
      <c r="D58" s="603"/>
      <c r="E58" s="603"/>
      <c r="F58" s="603"/>
      <c r="G58" s="603"/>
      <c r="H58" s="603"/>
      <c r="I58" s="603"/>
      <c r="J58" s="603"/>
      <c r="K58" s="603"/>
      <c r="L58" s="603"/>
      <c r="M58" s="603"/>
      <c r="N58" s="603"/>
      <c r="O58" s="603"/>
      <c r="P58" s="603"/>
      <c r="Q58" s="603"/>
      <c r="R58" s="603"/>
      <c r="S58" s="603"/>
      <c r="T58" s="603"/>
    </row>
    <row r="59" spans="1:20" x14ac:dyDescent="0.25">
      <c r="A59" s="738"/>
      <c r="B59" s="738"/>
      <c r="C59" s="739"/>
      <c r="D59" s="603"/>
      <c r="E59" s="603"/>
      <c r="F59" s="603"/>
      <c r="G59" s="603"/>
      <c r="H59" s="603"/>
      <c r="I59" s="603"/>
      <c r="J59" s="603"/>
      <c r="K59" s="603"/>
      <c r="L59" s="603"/>
      <c r="M59" s="603"/>
      <c r="N59" s="603"/>
      <c r="O59" s="603"/>
      <c r="P59" s="603"/>
      <c r="Q59" s="603"/>
      <c r="R59" s="603"/>
      <c r="S59" s="603"/>
      <c r="T59" s="603"/>
    </row>
  </sheetData>
  <mergeCells count="15">
    <mergeCell ref="A27:A30"/>
    <mergeCell ref="A2:T2"/>
    <mergeCell ref="A4:A6"/>
    <mergeCell ref="B4:B6"/>
    <mergeCell ref="C4:C6"/>
    <mergeCell ref="D4:T4"/>
    <mergeCell ref="D5:D6"/>
    <mergeCell ref="E5:F5"/>
    <mergeCell ref="G5:H5"/>
    <mergeCell ref="I5:J5"/>
    <mergeCell ref="K5:L5"/>
    <mergeCell ref="M5:N5"/>
    <mergeCell ref="O5:P5"/>
    <mergeCell ref="Q5:R5"/>
    <mergeCell ref="S5:T5"/>
  </mergeCells>
  <dataValidations count="2">
    <dataValidation allowBlank="1" showInputMessage="1" showErrorMessage="1" errorTitle="Введены неверные данные" error="Недопустимо превышение объемов_x000a_максимального значения из 2016, 2017 г.г. на 20 %" sqref="E24 I24 K24 M30:T30 E15:T16" xr:uid="{00000000-0002-0000-0600-000000000000}"/>
    <dataValidation type="custom" allowBlank="1" showInputMessage="1" showErrorMessage="1" errorTitle="Введены неверные данные" error="Недопустимо превышение объемов_x000a_максимального значения из 2016, 2017 г.г. на 20 %" sqref="F24:H24 J24 L24:N24 R23:T23 L14:S14 M41:N41" xr:uid="{00000000-0002-0000-0600-000001000000}">
      <formula1>MAX(#REF!)*1.2&gt;=#REF!</formula1>
      <formula2>0</formula2>
    </dataValidation>
  </dataValidations>
  <pageMargins left="0.23622047244094491" right="0.23622047244094491" top="0.55118110236220474" bottom="0.15748031496062992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51"/>
  <sheetViews>
    <sheetView zoomScale="90" zoomScaleNormal="90" workbookViewId="0">
      <pane xSplit="3" ySplit="11" topLeftCell="D132" activePane="bottomRight" state="frozen"/>
      <selection activeCell="U160" activeCellId="1" sqref="AC12:AC149 U160"/>
      <selection pane="topRight" activeCell="U160" activeCellId="1" sqref="AC12:AC149 U160"/>
      <selection pane="bottomLeft" activeCell="U160" activeCellId="1" sqref="AC12:AC149 U160"/>
      <selection pane="bottomRight" activeCell="V22" sqref="V22"/>
    </sheetView>
  </sheetViews>
  <sheetFormatPr defaultColWidth="9.140625" defaultRowHeight="12" x14ac:dyDescent="0.2"/>
  <cols>
    <col min="1" max="1" width="5.85546875" style="109" customWidth="1"/>
    <col min="2" max="2" width="9.140625" style="109"/>
    <col min="3" max="3" width="32.5703125" style="109" customWidth="1"/>
    <col min="4" max="4" width="13.140625" style="109" customWidth="1"/>
    <col min="5" max="5" width="9.85546875" style="109" customWidth="1"/>
    <col min="6" max="6" width="15.42578125" style="109" customWidth="1"/>
    <col min="7" max="7" width="9.5703125" style="109" customWidth="1"/>
    <col min="8" max="8" width="12.42578125" style="109" customWidth="1"/>
    <col min="9" max="9" width="10.7109375" style="109" customWidth="1"/>
    <col min="10" max="10" width="12.85546875" style="109" customWidth="1"/>
    <col min="11" max="11" width="9.42578125" style="109" customWidth="1"/>
    <col min="12" max="12" width="10.140625" style="109" customWidth="1"/>
    <col min="13" max="13" width="7.5703125" style="109" customWidth="1"/>
    <col min="14" max="14" width="15.5703125" style="109" customWidth="1"/>
    <col min="15" max="15" width="16.85546875" style="109" customWidth="1"/>
    <col min="16" max="16" width="9" style="109" customWidth="1"/>
    <col min="17" max="18" width="8.5703125" style="109" customWidth="1"/>
    <col min="19" max="19" width="10.85546875" style="109" customWidth="1"/>
    <col min="20" max="20" width="26" style="109" customWidth="1"/>
    <col min="21" max="21" width="9.5703125" style="109" customWidth="1"/>
    <col min="22" max="23" width="12" style="109" customWidth="1"/>
    <col min="24" max="24" width="3.85546875" style="109" customWidth="1"/>
    <col min="25" max="16384" width="9.140625" style="109"/>
  </cols>
  <sheetData>
    <row r="1" spans="1:23" ht="22.5" customHeight="1" x14ac:dyDescent="0.2">
      <c r="A1" s="945" t="s">
        <v>440</v>
      </c>
      <c r="B1" s="945"/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  <c r="O1" s="945"/>
      <c r="P1" s="945"/>
      <c r="Q1" s="945"/>
      <c r="R1" s="945"/>
      <c r="S1" s="945"/>
      <c r="T1" s="945"/>
      <c r="U1" s="945"/>
      <c r="V1" s="945"/>
      <c r="W1" s="945"/>
    </row>
    <row r="2" spans="1:23" ht="20.25" customHeight="1" x14ac:dyDescent="0.2">
      <c r="A2" s="937" t="s">
        <v>0</v>
      </c>
      <c r="B2" s="946" t="s">
        <v>326</v>
      </c>
      <c r="C2" s="937" t="s">
        <v>309</v>
      </c>
      <c r="D2" s="937" t="s">
        <v>441</v>
      </c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937"/>
      <c r="S2" s="937"/>
      <c r="T2" s="937"/>
      <c r="U2" s="937"/>
      <c r="V2" s="937"/>
      <c r="W2" s="937"/>
    </row>
    <row r="3" spans="1:23" ht="12" customHeight="1" x14ac:dyDescent="0.2">
      <c r="A3" s="937"/>
      <c r="B3" s="947"/>
      <c r="C3" s="937"/>
      <c r="D3" s="944" t="s">
        <v>442</v>
      </c>
      <c r="E3" s="937" t="s">
        <v>443</v>
      </c>
      <c r="F3" s="937"/>
      <c r="G3" s="937"/>
      <c r="H3" s="937"/>
      <c r="I3" s="937"/>
      <c r="J3" s="937"/>
      <c r="K3" s="937"/>
      <c r="L3" s="937"/>
      <c r="M3" s="937"/>
      <c r="N3" s="937"/>
      <c r="O3" s="937"/>
      <c r="P3" s="937"/>
      <c r="Q3" s="937"/>
      <c r="R3" s="937"/>
      <c r="S3" s="937"/>
      <c r="T3" s="937"/>
      <c r="U3" s="937"/>
      <c r="V3" s="937"/>
      <c r="W3" s="937"/>
    </row>
    <row r="4" spans="1:23" ht="24.75" customHeight="1" x14ac:dyDescent="0.2">
      <c r="A4" s="937"/>
      <c r="B4" s="947"/>
      <c r="C4" s="937"/>
      <c r="D4" s="944"/>
      <c r="E4" s="937" t="s">
        <v>444</v>
      </c>
      <c r="F4" s="937"/>
      <c r="G4" s="937"/>
      <c r="H4" s="937"/>
      <c r="I4" s="940" t="s">
        <v>445</v>
      </c>
      <c r="J4" s="949"/>
      <c r="K4" s="949"/>
      <c r="L4" s="949"/>
      <c r="M4" s="949"/>
      <c r="N4" s="949"/>
      <c r="O4" s="949"/>
      <c r="P4" s="950" t="s">
        <v>446</v>
      </c>
      <c r="Q4" s="951"/>
      <c r="R4" s="952"/>
      <c r="S4" s="940" t="s">
        <v>447</v>
      </c>
      <c r="T4" s="949"/>
      <c r="U4" s="949"/>
      <c r="V4" s="949"/>
      <c r="W4" s="941"/>
    </row>
    <row r="5" spans="1:23" ht="27.75" customHeight="1" x14ac:dyDescent="0.2">
      <c r="A5" s="937"/>
      <c r="B5" s="947"/>
      <c r="C5" s="937"/>
      <c r="D5" s="944"/>
      <c r="E5" s="937" t="s">
        <v>44</v>
      </c>
      <c r="F5" s="937" t="s">
        <v>448</v>
      </c>
      <c r="G5" s="937"/>
      <c r="H5" s="937"/>
      <c r="I5" s="938" t="s">
        <v>44</v>
      </c>
      <c r="J5" s="937" t="s">
        <v>462</v>
      </c>
      <c r="K5" s="938" t="s">
        <v>449</v>
      </c>
      <c r="L5" s="937" t="s">
        <v>450</v>
      </c>
      <c r="M5" s="937" t="s">
        <v>451</v>
      </c>
      <c r="N5" s="937"/>
      <c r="O5" s="937"/>
      <c r="P5" s="953"/>
      <c r="Q5" s="954"/>
      <c r="R5" s="955"/>
      <c r="S5" s="939" t="s">
        <v>44</v>
      </c>
      <c r="T5" s="931" t="s">
        <v>448</v>
      </c>
      <c r="U5" s="932"/>
      <c r="V5" s="932"/>
      <c r="W5" s="933"/>
    </row>
    <row r="6" spans="1:23" ht="13.5" customHeight="1" x14ac:dyDescent="0.2">
      <c r="A6" s="937"/>
      <c r="B6" s="947"/>
      <c r="C6" s="937"/>
      <c r="D6" s="944"/>
      <c r="E6" s="937"/>
      <c r="F6" s="935" t="s">
        <v>452</v>
      </c>
      <c r="G6" s="935" t="s">
        <v>449</v>
      </c>
      <c r="H6" s="937" t="s">
        <v>453</v>
      </c>
      <c r="I6" s="944"/>
      <c r="J6" s="937"/>
      <c r="K6" s="944"/>
      <c r="L6" s="937"/>
      <c r="M6" s="938" t="s">
        <v>46</v>
      </c>
      <c r="N6" s="940" t="s">
        <v>448</v>
      </c>
      <c r="O6" s="941"/>
      <c r="P6" s="950" t="s">
        <v>46</v>
      </c>
      <c r="Q6" s="940" t="s">
        <v>448</v>
      </c>
      <c r="R6" s="941"/>
      <c r="S6" s="939"/>
      <c r="T6" s="942" t="s">
        <v>454</v>
      </c>
      <c r="U6" s="943" t="s">
        <v>455</v>
      </c>
      <c r="V6" s="943" t="s">
        <v>456</v>
      </c>
      <c r="W6" s="942" t="s">
        <v>457</v>
      </c>
    </row>
    <row r="7" spans="1:23" ht="138" customHeight="1" x14ac:dyDescent="0.2">
      <c r="A7" s="937"/>
      <c r="B7" s="948"/>
      <c r="C7" s="937"/>
      <c r="D7" s="939"/>
      <c r="E7" s="937"/>
      <c r="F7" s="936"/>
      <c r="G7" s="936"/>
      <c r="H7" s="937"/>
      <c r="I7" s="939"/>
      <c r="J7" s="937"/>
      <c r="K7" s="939"/>
      <c r="L7" s="937"/>
      <c r="M7" s="939"/>
      <c r="N7" s="617" t="s">
        <v>458</v>
      </c>
      <c r="O7" s="617" t="s">
        <v>459</v>
      </c>
      <c r="P7" s="953"/>
      <c r="Q7" s="134" t="s">
        <v>329</v>
      </c>
      <c r="R7" s="134" t="s">
        <v>330</v>
      </c>
      <c r="S7" s="937"/>
      <c r="T7" s="942"/>
      <c r="U7" s="943"/>
      <c r="V7" s="943"/>
      <c r="W7" s="942"/>
    </row>
    <row r="8" spans="1:23" s="113" customFormat="1" ht="11.25" x14ac:dyDescent="0.2">
      <c r="A8" s="110">
        <v>1</v>
      </c>
      <c r="B8" s="110">
        <v>2</v>
      </c>
      <c r="C8" s="110">
        <v>3</v>
      </c>
      <c r="D8" s="111" t="s">
        <v>771</v>
      </c>
      <c r="E8" s="111">
        <v>5</v>
      </c>
      <c r="F8" s="111">
        <v>6</v>
      </c>
      <c r="G8" s="111">
        <v>7</v>
      </c>
      <c r="H8" s="111">
        <v>8</v>
      </c>
      <c r="I8" s="111">
        <v>9</v>
      </c>
      <c r="J8" s="111">
        <v>10</v>
      </c>
      <c r="K8" s="111"/>
      <c r="L8" s="111">
        <v>10</v>
      </c>
      <c r="M8" s="111">
        <v>11</v>
      </c>
      <c r="N8" s="111">
        <v>12</v>
      </c>
      <c r="O8" s="111">
        <v>13</v>
      </c>
      <c r="P8" s="111">
        <v>14</v>
      </c>
      <c r="Q8" s="111">
        <v>15</v>
      </c>
      <c r="R8" s="111">
        <v>16</v>
      </c>
      <c r="S8" s="110">
        <v>17</v>
      </c>
      <c r="T8" s="112">
        <v>18</v>
      </c>
      <c r="U8" s="112">
        <v>19</v>
      </c>
      <c r="V8" s="112">
        <v>20</v>
      </c>
      <c r="W8" s="112">
        <v>21</v>
      </c>
    </row>
    <row r="9" spans="1:23" s="113" customFormat="1" ht="14.25" customHeight="1" x14ac:dyDescent="0.2">
      <c r="A9" s="934" t="s">
        <v>44</v>
      </c>
      <c r="B9" s="934"/>
      <c r="C9" s="934"/>
      <c r="D9" s="135">
        <f>D10+D11</f>
        <v>13288243</v>
      </c>
      <c r="E9" s="135">
        <f t="shared" ref="E9:E72" si="0">F9+H9</f>
        <v>998012</v>
      </c>
      <c r="F9" s="135">
        <f t="shared" ref="F9:R9" si="1">F10+F11</f>
        <v>177932</v>
      </c>
      <c r="G9" s="135">
        <f t="shared" si="1"/>
        <v>42257</v>
      </c>
      <c r="H9" s="135">
        <f t="shared" si="1"/>
        <v>820080</v>
      </c>
      <c r="I9" s="135">
        <f>I10+I11</f>
        <v>1687653</v>
      </c>
      <c r="J9" s="135">
        <f t="shared" si="1"/>
        <v>1678910</v>
      </c>
      <c r="K9" s="135">
        <f t="shared" si="1"/>
        <v>119545</v>
      </c>
      <c r="L9" s="135">
        <f t="shared" si="1"/>
        <v>194709</v>
      </c>
      <c r="M9" s="135">
        <f t="shared" si="1"/>
        <v>8743</v>
      </c>
      <c r="N9" s="135">
        <f t="shared" si="1"/>
        <v>3344</v>
      </c>
      <c r="O9" s="135">
        <f t="shared" si="1"/>
        <v>5399</v>
      </c>
      <c r="P9" s="135">
        <f t="shared" si="1"/>
        <v>558944</v>
      </c>
      <c r="Q9" s="135">
        <f t="shared" si="1"/>
        <v>286118</v>
      </c>
      <c r="R9" s="135">
        <f t="shared" si="1"/>
        <v>272826</v>
      </c>
      <c r="S9" s="136">
        <f>SUM(T9:W9)</f>
        <v>10043634</v>
      </c>
      <c r="T9" s="137">
        <f>T10+T11</f>
        <v>1717790</v>
      </c>
      <c r="U9" s="137">
        <f>U10+U11</f>
        <v>5185533</v>
      </c>
      <c r="V9" s="137">
        <f>V10+V11</f>
        <v>961132</v>
      </c>
      <c r="W9" s="137">
        <f>W10+W11</f>
        <v>2179179</v>
      </c>
    </row>
    <row r="10" spans="1:23" s="113" customFormat="1" ht="18" customHeight="1" x14ac:dyDescent="0.2">
      <c r="A10" s="925" t="s">
        <v>14</v>
      </c>
      <c r="B10" s="926"/>
      <c r="C10" s="927"/>
      <c r="D10" s="138">
        <f t="shared" ref="D10:D73" si="2">E10+I10+P10+S10</f>
        <v>149867</v>
      </c>
      <c r="E10" s="138">
        <f t="shared" si="0"/>
        <v>0</v>
      </c>
      <c r="F10" s="114">
        <v>0</v>
      </c>
      <c r="G10" s="114">
        <v>0</v>
      </c>
      <c r="H10" s="114">
        <v>0</v>
      </c>
      <c r="I10" s="114">
        <f>J10+M10</f>
        <v>0</v>
      </c>
      <c r="J10" s="114">
        <v>0</v>
      </c>
      <c r="K10" s="114">
        <v>0</v>
      </c>
      <c r="L10" s="114">
        <v>0</v>
      </c>
      <c r="M10" s="114">
        <v>0</v>
      </c>
      <c r="N10" s="114">
        <v>0</v>
      </c>
      <c r="O10" s="114">
        <v>0</v>
      </c>
      <c r="P10" s="114"/>
      <c r="Q10" s="114"/>
      <c r="R10" s="114"/>
      <c r="S10" s="136">
        <f>T10+U10</f>
        <v>149867</v>
      </c>
      <c r="T10" s="115">
        <v>0</v>
      </c>
      <c r="U10" s="115">
        <v>149867</v>
      </c>
      <c r="V10" s="115"/>
      <c r="W10" s="115"/>
    </row>
    <row r="11" spans="1:23" s="113" customFormat="1" ht="15.75" customHeight="1" x14ac:dyDescent="0.2">
      <c r="A11" s="928" t="s">
        <v>15</v>
      </c>
      <c r="B11" s="929"/>
      <c r="C11" s="930"/>
      <c r="D11" s="135">
        <f t="shared" si="2"/>
        <v>13138376</v>
      </c>
      <c r="E11" s="135">
        <f t="shared" si="0"/>
        <v>998012</v>
      </c>
      <c r="F11" s="135">
        <f>SUM(F12:F147)-F92-F37-F75-F76-F78-F79-F80-F85-F88</f>
        <v>177932</v>
      </c>
      <c r="G11" s="135">
        <f t="shared" ref="G11:H11" si="3">SUM(G12:G147)-G92-G37-G75-G76-G78-G79-G80-G85-G88</f>
        <v>42257</v>
      </c>
      <c r="H11" s="135">
        <f t="shared" si="3"/>
        <v>820080</v>
      </c>
      <c r="I11" s="135">
        <f t="shared" ref="I11" si="4">SUM(I12:I147)-I92-I37-I75-I76-I78-I79-I80-I85-I88</f>
        <v>1687653</v>
      </c>
      <c r="J11" s="135">
        <f t="shared" ref="J11:W11" si="5">SUM(J12:J147)-J92-J37-J75-J76-J78-J79-J80-J85-J88</f>
        <v>1678910</v>
      </c>
      <c r="K11" s="135">
        <f t="shared" si="5"/>
        <v>119545</v>
      </c>
      <c r="L11" s="135">
        <f t="shared" si="5"/>
        <v>194709</v>
      </c>
      <c r="M11" s="135">
        <f t="shared" si="5"/>
        <v>8743</v>
      </c>
      <c r="N11" s="135">
        <f t="shared" si="5"/>
        <v>3344</v>
      </c>
      <c r="O11" s="135">
        <f t="shared" si="5"/>
        <v>5399</v>
      </c>
      <c r="P11" s="135">
        <f t="shared" si="5"/>
        <v>558944</v>
      </c>
      <c r="Q11" s="135">
        <f t="shared" si="5"/>
        <v>286118</v>
      </c>
      <c r="R11" s="135">
        <f t="shared" si="5"/>
        <v>272826</v>
      </c>
      <c r="S11" s="135">
        <f t="shared" si="5"/>
        <v>9893767</v>
      </c>
      <c r="T11" s="135">
        <f t="shared" si="5"/>
        <v>1717790</v>
      </c>
      <c r="U11" s="135">
        <f t="shared" si="5"/>
        <v>5035666</v>
      </c>
      <c r="V11" s="135">
        <f t="shared" si="5"/>
        <v>961132</v>
      </c>
      <c r="W11" s="135">
        <f t="shared" si="5"/>
        <v>2179179</v>
      </c>
    </row>
    <row r="12" spans="1:23" x14ac:dyDescent="0.2">
      <c r="A12" s="116">
        <v>1</v>
      </c>
      <c r="B12" s="71" t="s">
        <v>54</v>
      </c>
      <c r="C12" s="31" t="s">
        <v>55</v>
      </c>
      <c r="D12" s="135">
        <f t="shared" si="2"/>
        <v>52500</v>
      </c>
      <c r="E12" s="135">
        <f t="shared" si="0"/>
        <v>4221</v>
      </c>
      <c r="F12" s="114">
        <v>791</v>
      </c>
      <c r="G12" s="114">
        <v>250</v>
      </c>
      <c r="H12" s="114">
        <v>3430</v>
      </c>
      <c r="I12" s="135">
        <f>J12+M12</f>
        <v>7508</v>
      </c>
      <c r="J12" s="114">
        <v>7463</v>
      </c>
      <c r="K12" s="114">
        <v>565</v>
      </c>
      <c r="L12" s="114">
        <v>867</v>
      </c>
      <c r="M12" s="114">
        <f t="shared" ref="M12:M74" si="6">N12+O12</f>
        <v>45</v>
      </c>
      <c r="N12" s="114">
        <v>0</v>
      </c>
      <c r="O12" s="114">
        <v>45</v>
      </c>
      <c r="P12" s="135">
        <f t="shared" ref="P12:P75" si="7">Q12+R12</f>
        <v>2144</v>
      </c>
      <c r="Q12" s="114">
        <v>970</v>
      </c>
      <c r="R12" s="114">
        <v>1174</v>
      </c>
      <c r="S12" s="135">
        <f t="shared" ref="S12:S73" si="8">SUM(T12:X12)</f>
        <v>38627</v>
      </c>
      <c r="T12" s="115">
        <v>15789</v>
      </c>
      <c r="U12" s="115">
        <v>17842</v>
      </c>
      <c r="V12" s="115">
        <v>534</v>
      </c>
      <c r="W12" s="115">
        <v>4462</v>
      </c>
    </row>
    <row r="13" spans="1:23" x14ac:dyDescent="0.2">
      <c r="A13" s="116">
        <v>2</v>
      </c>
      <c r="B13" s="72" t="s">
        <v>56</v>
      </c>
      <c r="C13" s="31" t="s">
        <v>57</v>
      </c>
      <c r="D13" s="135">
        <f t="shared" si="2"/>
        <v>53469</v>
      </c>
      <c r="E13" s="135">
        <f t="shared" si="0"/>
        <v>3915</v>
      </c>
      <c r="F13" s="114">
        <v>819</v>
      </c>
      <c r="G13" s="114">
        <v>160</v>
      </c>
      <c r="H13" s="114">
        <v>3096</v>
      </c>
      <c r="I13" s="135">
        <f t="shared" ref="I13:I76" si="9">J13+M13</f>
        <v>7840</v>
      </c>
      <c r="J13" s="114">
        <v>7730</v>
      </c>
      <c r="K13" s="114">
        <v>380</v>
      </c>
      <c r="L13" s="114">
        <v>896</v>
      </c>
      <c r="M13" s="114">
        <f t="shared" si="6"/>
        <v>110</v>
      </c>
      <c r="N13" s="114">
        <v>10</v>
      </c>
      <c r="O13" s="114">
        <v>100</v>
      </c>
      <c r="P13" s="135">
        <f t="shared" si="7"/>
        <v>1990</v>
      </c>
      <c r="Q13" s="114">
        <v>894</v>
      </c>
      <c r="R13" s="114">
        <v>1096</v>
      </c>
      <c r="S13" s="135">
        <f t="shared" si="8"/>
        <v>39724</v>
      </c>
      <c r="T13" s="115">
        <v>9996</v>
      </c>
      <c r="U13" s="115">
        <v>18693</v>
      </c>
      <c r="V13" s="115">
        <v>6450</v>
      </c>
      <c r="W13" s="115">
        <v>4585</v>
      </c>
    </row>
    <row r="14" spans="1:23" x14ac:dyDescent="0.2">
      <c r="A14" s="116">
        <v>3</v>
      </c>
      <c r="B14" s="618" t="s">
        <v>16</v>
      </c>
      <c r="C14" s="31" t="s">
        <v>17</v>
      </c>
      <c r="D14" s="135">
        <f t="shared" si="2"/>
        <v>174690</v>
      </c>
      <c r="E14" s="135">
        <f t="shared" si="0"/>
        <v>14809</v>
      </c>
      <c r="F14" s="114">
        <v>2485</v>
      </c>
      <c r="G14" s="114">
        <v>1441</v>
      </c>
      <c r="H14" s="114">
        <v>12324</v>
      </c>
      <c r="I14" s="135">
        <f t="shared" si="9"/>
        <v>23902</v>
      </c>
      <c r="J14" s="114">
        <v>23447</v>
      </c>
      <c r="K14" s="114">
        <v>1145</v>
      </c>
      <c r="L14" s="114">
        <v>2719</v>
      </c>
      <c r="M14" s="114">
        <f t="shared" si="6"/>
        <v>455</v>
      </c>
      <c r="N14" s="114">
        <v>345</v>
      </c>
      <c r="O14" s="114">
        <v>110</v>
      </c>
      <c r="P14" s="135">
        <f t="shared" si="7"/>
        <v>7828</v>
      </c>
      <c r="Q14" s="114">
        <v>4173</v>
      </c>
      <c r="R14" s="114">
        <v>3655</v>
      </c>
      <c r="S14" s="135">
        <f t="shared" si="8"/>
        <v>128151</v>
      </c>
      <c r="T14" s="115">
        <v>34284</v>
      </c>
      <c r="U14" s="115">
        <v>44514</v>
      </c>
      <c r="V14" s="115">
        <v>22307</v>
      </c>
      <c r="W14" s="115">
        <v>27046</v>
      </c>
    </row>
    <row r="15" spans="1:23" x14ac:dyDescent="0.2">
      <c r="A15" s="116">
        <v>4</v>
      </c>
      <c r="B15" s="71" t="s">
        <v>58</v>
      </c>
      <c r="C15" s="31" t="s">
        <v>59</v>
      </c>
      <c r="D15" s="135">
        <f t="shared" si="2"/>
        <v>54061</v>
      </c>
      <c r="E15" s="135">
        <f t="shared" si="0"/>
        <v>3739</v>
      </c>
      <c r="F15" s="114">
        <v>880</v>
      </c>
      <c r="G15" s="114">
        <v>176</v>
      </c>
      <c r="H15" s="114">
        <v>2859</v>
      </c>
      <c r="I15" s="135">
        <f t="shared" si="9"/>
        <v>8363</v>
      </c>
      <c r="J15" s="114">
        <v>8307</v>
      </c>
      <c r="K15" s="114">
        <v>589</v>
      </c>
      <c r="L15" s="114">
        <v>963</v>
      </c>
      <c r="M15" s="114">
        <f t="shared" si="6"/>
        <v>56</v>
      </c>
      <c r="N15" s="114">
        <v>16</v>
      </c>
      <c r="O15" s="114">
        <v>40</v>
      </c>
      <c r="P15" s="135">
        <f t="shared" si="7"/>
        <v>1886</v>
      </c>
      <c r="Q15" s="114">
        <v>864</v>
      </c>
      <c r="R15" s="114">
        <v>1022</v>
      </c>
      <c r="S15" s="135">
        <f t="shared" si="8"/>
        <v>40073</v>
      </c>
      <c r="T15" s="115">
        <v>10811</v>
      </c>
      <c r="U15" s="115">
        <v>12539</v>
      </c>
      <c r="V15" s="115">
        <v>6053</v>
      </c>
      <c r="W15" s="115">
        <v>10670</v>
      </c>
    </row>
    <row r="16" spans="1:23" x14ac:dyDescent="0.2">
      <c r="A16" s="116">
        <v>5</v>
      </c>
      <c r="B16" s="71" t="s">
        <v>60</v>
      </c>
      <c r="C16" s="31" t="s">
        <v>61</v>
      </c>
      <c r="D16" s="135">
        <f t="shared" si="2"/>
        <v>62855</v>
      </c>
      <c r="E16" s="135">
        <f t="shared" si="0"/>
        <v>4948</v>
      </c>
      <c r="F16" s="114">
        <v>956</v>
      </c>
      <c r="G16" s="114">
        <v>68</v>
      </c>
      <c r="H16" s="114">
        <v>3992</v>
      </c>
      <c r="I16" s="135">
        <f t="shared" si="9"/>
        <v>9091</v>
      </c>
      <c r="J16" s="114">
        <v>9021</v>
      </c>
      <c r="K16" s="114">
        <v>1003</v>
      </c>
      <c r="L16" s="114">
        <v>1046</v>
      </c>
      <c r="M16" s="114">
        <f t="shared" si="6"/>
        <v>70</v>
      </c>
      <c r="N16" s="114">
        <v>8</v>
      </c>
      <c r="O16" s="114">
        <v>62</v>
      </c>
      <c r="P16" s="135">
        <f t="shared" si="7"/>
        <v>2552</v>
      </c>
      <c r="Q16" s="114">
        <v>1181</v>
      </c>
      <c r="R16" s="114">
        <v>1371</v>
      </c>
      <c r="S16" s="135">
        <f t="shared" si="8"/>
        <v>46264</v>
      </c>
      <c r="T16" s="115">
        <v>16125</v>
      </c>
      <c r="U16" s="115">
        <v>14747</v>
      </c>
      <c r="V16" s="115">
        <v>6208</v>
      </c>
      <c r="W16" s="115">
        <v>9184</v>
      </c>
    </row>
    <row r="17" spans="1:23" x14ac:dyDescent="0.2">
      <c r="A17" s="116">
        <v>6</v>
      </c>
      <c r="B17" s="618" t="s">
        <v>18</v>
      </c>
      <c r="C17" s="31" t="s">
        <v>19</v>
      </c>
      <c r="D17" s="135">
        <f t="shared" si="2"/>
        <v>484268</v>
      </c>
      <c r="E17" s="135">
        <f t="shared" si="0"/>
        <v>43290</v>
      </c>
      <c r="F17" s="114">
        <v>6847</v>
      </c>
      <c r="G17" s="114">
        <v>2233</v>
      </c>
      <c r="H17" s="114">
        <v>36443</v>
      </c>
      <c r="I17" s="135">
        <f t="shared" si="9"/>
        <v>64783</v>
      </c>
      <c r="J17" s="114">
        <v>64602</v>
      </c>
      <c r="K17" s="114">
        <v>4836</v>
      </c>
      <c r="L17" s="114">
        <v>7492</v>
      </c>
      <c r="M17" s="114">
        <f t="shared" si="6"/>
        <v>181</v>
      </c>
      <c r="N17" s="114">
        <v>60</v>
      </c>
      <c r="O17" s="114">
        <v>121</v>
      </c>
      <c r="P17" s="135">
        <f t="shared" si="7"/>
        <v>22024</v>
      </c>
      <c r="Q17" s="114">
        <v>11524</v>
      </c>
      <c r="R17" s="114">
        <v>10500</v>
      </c>
      <c r="S17" s="135">
        <f t="shared" si="8"/>
        <v>354171</v>
      </c>
      <c r="T17" s="115">
        <v>49963</v>
      </c>
      <c r="U17" s="115">
        <v>120641</v>
      </c>
      <c r="V17" s="115">
        <v>13729</v>
      </c>
      <c r="W17" s="115">
        <v>169838</v>
      </c>
    </row>
    <row r="18" spans="1:23" x14ac:dyDescent="0.2">
      <c r="A18" s="116">
        <v>7</v>
      </c>
      <c r="B18" s="71" t="s">
        <v>62</v>
      </c>
      <c r="C18" s="31" t="s">
        <v>63</v>
      </c>
      <c r="D18" s="135">
        <f t="shared" si="2"/>
        <v>168338</v>
      </c>
      <c r="E18" s="135">
        <f t="shared" si="0"/>
        <v>13217</v>
      </c>
      <c r="F18" s="114">
        <v>2510</v>
      </c>
      <c r="G18" s="114">
        <v>457</v>
      </c>
      <c r="H18" s="114">
        <v>10707</v>
      </c>
      <c r="I18" s="135">
        <f t="shared" si="9"/>
        <v>23760</v>
      </c>
      <c r="J18" s="114">
        <v>23681</v>
      </c>
      <c r="K18" s="114">
        <v>1719</v>
      </c>
      <c r="L18" s="114">
        <v>2746</v>
      </c>
      <c r="M18" s="114">
        <f t="shared" si="6"/>
        <v>79</v>
      </c>
      <c r="N18" s="114">
        <v>6</v>
      </c>
      <c r="O18" s="114">
        <v>73</v>
      </c>
      <c r="P18" s="135">
        <f t="shared" si="7"/>
        <v>6695</v>
      </c>
      <c r="Q18" s="114">
        <v>3204</v>
      </c>
      <c r="R18" s="114">
        <v>3491</v>
      </c>
      <c r="S18" s="135">
        <f t="shared" si="8"/>
        <v>124666</v>
      </c>
      <c r="T18" s="115">
        <v>29983</v>
      </c>
      <c r="U18" s="115">
        <v>55682</v>
      </c>
      <c r="V18" s="115">
        <v>16111</v>
      </c>
      <c r="W18" s="115">
        <v>22890</v>
      </c>
    </row>
    <row r="19" spans="1:23" x14ac:dyDescent="0.2">
      <c r="A19" s="116">
        <v>8</v>
      </c>
      <c r="B19" s="618" t="s">
        <v>64</v>
      </c>
      <c r="C19" s="31" t="s">
        <v>65</v>
      </c>
      <c r="D19" s="135">
        <f t="shared" si="2"/>
        <v>66131</v>
      </c>
      <c r="E19" s="135">
        <f t="shared" si="0"/>
        <v>5104</v>
      </c>
      <c r="F19" s="114">
        <v>1013</v>
      </c>
      <c r="G19" s="114">
        <v>100</v>
      </c>
      <c r="H19" s="114">
        <v>4091</v>
      </c>
      <c r="I19" s="135">
        <f t="shared" si="9"/>
        <v>9659</v>
      </c>
      <c r="J19" s="114">
        <v>9558</v>
      </c>
      <c r="K19" s="114">
        <v>1200</v>
      </c>
      <c r="L19" s="114">
        <v>1109</v>
      </c>
      <c r="M19" s="114">
        <f t="shared" si="6"/>
        <v>101</v>
      </c>
      <c r="N19" s="114">
        <v>30</v>
      </c>
      <c r="O19" s="114">
        <v>71</v>
      </c>
      <c r="P19" s="135">
        <f t="shared" si="7"/>
        <v>2758</v>
      </c>
      <c r="Q19" s="114">
        <v>1230</v>
      </c>
      <c r="R19" s="114">
        <v>1528</v>
      </c>
      <c r="S19" s="135">
        <f t="shared" si="8"/>
        <v>48610</v>
      </c>
      <c r="T19" s="115">
        <v>9877</v>
      </c>
      <c r="U19" s="115">
        <v>15025</v>
      </c>
      <c r="V19" s="115">
        <v>9937</v>
      </c>
      <c r="W19" s="115">
        <v>13771</v>
      </c>
    </row>
    <row r="20" spans="1:23" x14ac:dyDescent="0.2">
      <c r="A20" s="116">
        <v>9</v>
      </c>
      <c r="B20" s="618" t="s">
        <v>66</v>
      </c>
      <c r="C20" s="31" t="s">
        <v>67</v>
      </c>
      <c r="D20" s="135">
        <f t="shared" si="2"/>
        <v>58527</v>
      </c>
      <c r="E20" s="135">
        <f t="shared" si="0"/>
        <v>4388</v>
      </c>
      <c r="F20" s="114">
        <v>907</v>
      </c>
      <c r="G20" s="114">
        <v>147</v>
      </c>
      <c r="H20" s="114">
        <v>3481</v>
      </c>
      <c r="I20" s="135">
        <f t="shared" si="9"/>
        <v>8596</v>
      </c>
      <c r="J20" s="114">
        <v>8559</v>
      </c>
      <c r="K20" s="114">
        <v>434</v>
      </c>
      <c r="L20" s="114">
        <v>993</v>
      </c>
      <c r="M20" s="114">
        <f t="shared" si="6"/>
        <v>37</v>
      </c>
      <c r="N20" s="114">
        <v>0</v>
      </c>
      <c r="O20" s="114">
        <v>37</v>
      </c>
      <c r="P20" s="135">
        <f t="shared" si="7"/>
        <v>2303</v>
      </c>
      <c r="Q20" s="114">
        <v>1035</v>
      </c>
      <c r="R20" s="114">
        <v>1268</v>
      </c>
      <c r="S20" s="135">
        <f t="shared" si="8"/>
        <v>43240</v>
      </c>
      <c r="T20" s="115">
        <v>12474</v>
      </c>
      <c r="U20" s="115">
        <v>20139</v>
      </c>
      <c r="V20" s="115">
        <v>6150</v>
      </c>
      <c r="W20" s="115">
        <v>4477</v>
      </c>
    </row>
    <row r="21" spans="1:23" x14ac:dyDescent="0.2">
      <c r="A21" s="116">
        <v>10</v>
      </c>
      <c r="B21" s="618" t="s">
        <v>68</v>
      </c>
      <c r="C21" s="31" t="s">
        <v>69</v>
      </c>
      <c r="D21" s="135">
        <f t="shared" si="2"/>
        <v>79775</v>
      </c>
      <c r="E21" s="135">
        <f t="shared" si="0"/>
        <v>5536</v>
      </c>
      <c r="F21" s="114">
        <v>1268</v>
      </c>
      <c r="G21" s="114">
        <v>135</v>
      </c>
      <c r="H21" s="114">
        <v>4268</v>
      </c>
      <c r="I21" s="135">
        <f t="shared" si="9"/>
        <v>11988</v>
      </c>
      <c r="J21" s="114">
        <v>11968</v>
      </c>
      <c r="K21" s="114">
        <v>775</v>
      </c>
      <c r="L21" s="114">
        <v>1388</v>
      </c>
      <c r="M21" s="114">
        <f t="shared" si="6"/>
        <v>20</v>
      </c>
      <c r="N21" s="114">
        <v>0</v>
      </c>
      <c r="O21" s="114">
        <v>20</v>
      </c>
      <c r="P21" s="135">
        <f t="shared" si="7"/>
        <v>3533</v>
      </c>
      <c r="Q21" s="114">
        <v>1625</v>
      </c>
      <c r="R21" s="114">
        <v>1908</v>
      </c>
      <c r="S21" s="135">
        <f t="shared" si="8"/>
        <v>58718</v>
      </c>
      <c r="T21" s="115">
        <v>18290</v>
      </c>
      <c r="U21" s="115">
        <v>18963</v>
      </c>
      <c r="V21" s="115">
        <v>13373</v>
      </c>
      <c r="W21" s="115">
        <v>8092</v>
      </c>
    </row>
    <row r="22" spans="1:23" x14ac:dyDescent="0.2">
      <c r="A22" s="116">
        <v>11</v>
      </c>
      <c r="B22" s="618" t="s">
        <v>70</v>
      </c>
      <c r="C22" s="31" t="s">
        <v>71</v>
      </c>
      <c r="D22" s="135">
        <f t="shared" si="2"/>
        <v>59583</v>
      </c>
      <c r="E22" s="135">
        <f t="shared" si="0"/>
        <v>4776</v>
      </c>
      <c r="F22" s="114">
        <v>902</v>
      </c>
      <c r="G22" s="114">
        <v>453</v>
      </c>
      <c r="H22" s="114">
        <v>3874</v>
      </c>
      <c r="I22" s="135">
        <f t="shared" si="9"/>
        <v>8558</v>
      </c>
      <c r="J22" s="114">
        <v>8514</v>
      </c>
      <c r="K22" s="114">
        <v>1283</v>
      </c>
      <c r="L22" s="114">
        <v>987</v>
      </c>
      <c r="M22" s="114">
        <f t="shared" si="6"/>
        <v>44</v>
      </c>
      <c r="N22" s="114">
        <v>0</v>
      </c>
      <c r="O22" s="114">
        <v>44</v>
      </c>
      <c r="P22" s="135">
        <f t="shared" si="7"/>
        <v>2461</v>
      </c>
      <c r="Q22" s="114">
        <v>1070</v>
      </c>
      <c r="R22" s="114">
        <v>1391</v>
      </c>
      <c r="S22" s="135">
        <f t="shared" si="8"/>
        <v>43788</v>
      </c>
      <c r="T22" s="115">
        <v>14791</v>
      </c>
      <c r="U22" s="115">
        <v>12965</v>
      </c>
      <c r="V22" s="115">
        <v>7987</v>
      </c>
      <c r="W22" s="115">
        <v>8045</v>
      </c>
    </row>
    <row r="23" spans="1:23" x14ac:dyDescent="0.2">
      <c r="A23" s="116">
        <v>12</v>
      </c>
      <c r="B23" s="618" t="s">
        <v>72</v>
      </c>
      <c r="C23" s="31" t="s">
        <v>73</v>
      </c>
      <c r="D23" s="135">
        <f t="shared" si="2"/>
        <v>124526</v>
      </c>
      <c r="E23" s="135">
        <f t="shared" si="0"/>
        <v>9758</v>
      </c>
      <c r="F23" s="114">
        <v>1869</v>
      </c>
      <c r="G23" s="114">
        <v>505</v>
      </c>
      <c r="H23" s="114">
        <v>7889</v>
      </c>
      <c r="I23" s="135">
        <f t="shared" si="9"/>
        <v>17786</v>
      </c>
      <c r="J23" s="114">
        <v>17631</v>
      </c>
      <c r="K23" s="114">
        <v>1557</v>
      </c>
      <c r="L23" s="114">
        <v>2045</v>
      </c>
      <c r="M23" s="114">
        <f t="shared" si="6"/>
        <v>155</v>
      </c>
      <c r="N23" s="114">
        <v>90</v>
      </c>
      <c r="O23" s="114">
        <v>65</v>
      </c>
      <c r="P23" s="135">
        <f t="shared" si="7"/>
        <v>5082</v>
      </c>
      <c r="Q23" s="114">
        <v>2444</v>
      </c>
      <c r="R23" s="114">
        <v>2638</v>
      </c>
      <c r="S23" s="135">
        <f t="shared" si="8"/>
        <v>91900</v>
      </c>
      <c r="T23" s="115">
        <v>14802</v>
      </c>
      <c r="U23" s="115">
        <v>51025</v>
      </c>
      <c r="V23" s="115">
        <v>2971</v>
      </c>
      <c r="W23" s="115">
        <v>23102</v>
      </c>
    </row>
    <row r="24" spans="1:23" x14ac:dyDescent="0.2">
      <c r="A24" s="116">
        <v>13</v>
      </c>
      <c r="B24" s="618" t="s">
        <v>74</v>
      </c>
      <c r="C24" s="31" t="s">
        <v>75</v>
      </c>
      <c r="D24" s="135">
        <f t="shared" si="2"/>
        <v>0</v>
      </c>
      <c r="E24" s="135">
        <f t="shared" si="0"/>
        <v>0</v>
      </c>
      <c r="F24" s="114">
        <v>0</v>
      </c>
      <c r="G24" s="114">
        <v>0</v>
      </c>
      <c r="H24" s="114">
        <v>0</v>
      </c>
      <c r="I24" s="135">
        <f t="shared" si="9"/>
        <v>0</v>
      </c>
      <c r="J24" s="114">
        <v>0</v>
      </c>
      <c r="K24" s="114">
        <v>0</v>
      </c>
      <c r="L24" s="114">
        <v>0</v>
      </c>
      <c r="M24" s="114">
        <f t="shared" si="6"/>
        <v>0</v>
      </c>
      <c r="N24" s="114">
        <v>0</v>
      </c>
      <c r="O24" s="114">
        <v>0</v>
      </c>
      <c r="P24" s="135">
        <f t="shared" si="7"/>
        <v>0</v>
      </c>
      <c r="Q24" s="114">
        <v>0</v>
      </c>
      <c r="R24" s="114">
        <v>0</v>
      </c>
      <c r="S24" s="135">
        <f t="shared" si="8"/>
        <v>0</v>
      </c>
      <c r="T24" s="115">
        <v>0</v>
      </c>
      <c r="U24" s="115">
        <v>0</v>
      </c>
      <c r="V24" s="115">
        <v>0</v>
      </c>
      <c r="W24" s="115">
        <v>0</v>
      </c>
    </row>
    <row r="25" spans="1:23" x14ac:dyDescent="0.2">
      <c r="A25" s="116">
        <v>14</v>
      </c>
      <c r="B25" s="618" t="s">
        <v>76</v>
      </c>
      <c r="C25" s="31" t="s">
        <v>77</v>
      </c>
      <c r="D25" s="135">
        <f t="shared" si="2"/>
        <v>79421</v>
      </c>
      <c r="E25" s="135">
        <f t="shared" si="0"/>
        <v>6849</v>
      </c>
      <c r="F25" s="114">
        <v>1160</v>
      </c>
      <c r="G25" s="114">
        <v>892</v>
      </c>
      <c r="H25" s="114">
        <v>5689</v>
      </c>
      <c r="I25" s="135">
        <f t="shared" si="9"/>
        <v>11032</v>
      </c>
      <c r="J25" s="114">
        <v>10942</v>
      </c>
      <c r="K25" s="114">
        <v>1562</v>
      </c>
      <c r="L25" s="114">
        <v>1269</v>
      </c>
      <c r="M25" s="114">
        <f t="shared" si="6"/>
        <v>90</v>
      </c>
      <c r="N25" s="114">
        <v>0</v>
      </c>
      <c r="O25" s="114">
        <v>90</v>
      </c>
      <c r="P25" s="135">
        <f t="shared" si="7"/>
        <v>3542</v>
      </c>
      <c r="Q25" s="114">
        <v>1632</v>
      </c>
      <c r="R25" s="114">
        <v>1910</v>
      </c>
      <c r="S25" s="135">
        <f t="shared" si="8"/>
        <v>57998</v>
      </c>
      <c r="T25" s="115">
        <v>14425</v>
      </c>
      <c r="U25" s="115">
        <v>17819</v>
      </c>
      <c r="V25" s="115">
        <v>13420</v>
      </c>
      <c r="W25" s="115">
        <v>12334</v>
      </c>
    </row>
    <row r="26" spans="1:23" x14ac:dyDescent="0.2">
      <c r="A26" s="116">
        <v>15</v>
      </c>
      <c r="B26" s="618" t="s">
        <v>78</v>
      </c>
      <c r="C26" s="31" t="s">
        <v>79</v>
      </c>
      <c r="D26" s="135">
        <f t="shared" si="2"/>
        <v>123115</v>
      </c>
      <c r="E26" s="135">
        <f t="shared" si="0"/>
        <v>11869</v>
      </c>
      <c r="F26" s="114">
        <v>1674</v>
      </c>
      <c r="G26" s="114">
        <v>462</v>
      </c>
      <c r="H26" s="114">
        <v>10195</v>
      </c>
      <c r="I26" s="135">
        <f t="shared" si="9"/>
        <v>15950</v>
      </c>
      <c r="J26" s="114">
        <v>15795</v>
      </c>
      <c r="K26" s="114">
        <v>1292</v>
      </c>
      <c r="L26" s="114">
        <v>1832</v>
      </c>
      <c r="M26" s="114">
        <f t="shared" si="6"/>
        <v>155</v>
      </c>
      <c r="N26" s="114">
        <v>5</v>
      </c>
      <c r="O26" s="114">
        <v>150</v>
      </c>
      <c r="P26" s="135">
        <f t="shared" si="7"/>
        <v>5229</v>
      </c>
      <c r="Q26" s="114">
        <v>2334</v>
      </c>
      <c r="R26" s="114">
        <v>2895</v>
      </c>
      <c r="S26" s="135">
        <f t="shared" si="8"/>
        <v>90067</v>
      </c>
      <c r="T26" s="115">
        <v>10014</v>
      </c>
      <c r="U26" s="115">
        <v>37188</v>
      </c>
      <c r="V26" s="115">
        <v>13137</v>
      </c>
      <c r="W26" s="115">
        <v>29728</v>
      </c>
    </row>
    <row r="27" spans="1:23" x14ac:dyDescent="0.2">
      <c r="A27" s="116">
        <v>16</v>
      </c>
      <c r="B27" s="618" t="s">
        <v>80</v>
      </c>
      <c r="C27" s="31" t="s">
        <v>81</v>
      </c>
      <c r="D27" s="135">
        <f t="shared" si="2"/>
        <v>153700</v>
      </c>
      <c r="E27" s="135">
        <f t="shared" si="0"/>
        <v>14138</v>
      </c>
      <c r="F27" s="114">
        <v>2189</v>
      </c>
      <c r="G27" s="114">
        <v>534</v>
      </c>
      <c r="H27" s="114">
        <v>11949</v>
      </c>
      <c r="I27" s="135">
        <f t="shared" si="9"/>
        <v>20714</v>
      </c>
      <c r="J27" s="114">
        <v>20653</v>
      </c>
      <c r="K27" s="114">
        <v>1012</v>
      </c>
      <c r="L27" s="114">
        <v>2395</v>
      </c>
      <c r="M27" s="114">
        <f t="shared" si="6"/>
        <v>61</v>
      </c>
      <c r="N27" s="114">
        <v>6</v>
      </c>
      <c r="O27" s="114">
        <v>55</v>
      </c>
      <c r="P27" s="135">
        <f t="shared" si="7"/>
        <v>6609</v>
      </c>
      <c r="Q27" s="114">
        <v>3034</v>
      </c>
      <c r="R27" s="114">
        <v>3575</v>
      </c>
      <c r="S27" s="135">
        <f t="shared" si="8"/>
        <v>112239</v>
      </c>
      <c r="T27" s="115">
        <v>21991</v>
      </c>
      <c r="U27" s="115">
        <v>51194</v>
      </c>
      <c r="V27" s="115">
        <v>12443</v>
      </c>
      <c r="W27" s="115">
        <v>26611</v>
      </c>
    </row>
    <row r="28" spans="1:23" x14ac:dyDescent="0.2">
      <c r="A28" s="116">
        <v>17</v>
      </c>
      <c r="B28" s="618" t="s">
        <v>20</v>
      </c>
      <c r="C28" s="31" t="s">
        <v>21</v>
      </c>
      <c r="D28" s="135">
        <f t="shared" si="2"/>
        <v>292572</v>
      </c>
      <c r="E28" s="135">
        <f t="shared" si="0"/>
        <v>24815</v>
      </c>
      <c r="F28" s="114">
        <v>4184</v>
      </c>
      <c r="G28" s="114">
        <v>593</v>
      </c>
      <c r="H28" s="114">
        <v>20631</v>
      </c>
      <c r="I28" s="135">
        <f t="shared" si="9"/>
        <v>40015</v>
      </c>
      <c r="J28" s="114">
        <v>39475</v>
      </c>
      <c r="K28" s="114">
        <v>1353</v>
      </c>
      <c r="L28" s="114">
        <v>4578</v>
      </c>
      <c r="M28" s="114">
        <f t="shared" si="6"/>
        <v>540</v>
      </c>
      <c r="N28" s="114">
        <v>360</v>
      </c>
      <c r="O28" s="114">
        <v>180</v>
      </c>
      <c r="P28" s="135">
        <f t="shared" si="7"/>
        <v>12494</v>
      </c>
      <c r="Q28" s="114">
        <v>6402</v>
      </c>
      <c r="R28" s="114">
        <v>6092</v>
      </c>
      <c r="S28" s="135">
        <f t="shared" si="8"/>
        <v>215248</v>
      </c>
      <c r="T28" s="115">
        <v>35355</v>
      </c>
      <c r="U28" s="115">
        <v>71220</v>
      </c>
      <c r="V28" s="115">
        <v>62948</v>
      </c>
      <c r="W28" s="115">
        <v>45725</v>
      </c>
    </row>
    <row r="29" spans="1:23" x14ac:dyDescent="0.2">
      <c r="A29" s="116">
        <v>18</v>
      </c>
      <c r="B29" s="71" t="s">
        <v>82</v>
      </c>
      <c r="C29" s="31" t="s">
        <v>83</v>
      </c>
      <c r="D29" s="135">
        <f t="shared" si="2"/>
        <v>50459</v>
      </c>
      <c r="E29" s="135">
        <f t="shared" si="0"/>
        <v>5118</v>
      </c>
      <c r="F29" s="114">
        <v>681</v>
      </c>
      <c r="G29" s="114">
        <v>600</v>
      </c>
      <c r="H29" s="114">
        <v>4437</v>
      </c>
      <c r="I29" s="135">
        <f t="shared" si="9"/>
        <v>6447</v>
      </c>
      <c r="J29" s="114">
        <v>6427</v>
      </c>
      <c r="K29" s="114">
        <v>4421</v>
      </c>
      <c r="L29" s="114">
        <v>745</v>
      </c>
      <c r="M29" s="114">
        <f t="shared" si="6"/>
        <v>20</v>
      </c>
      <c r="N29" s="114">
        <v>0</v>
      </c>
      <c r="O29" s="114">
        <v>20</v>
      </c>
      <c r="P29" s="135">
        <f t="shared" si="7"/>
        <v>2190</v>
      </c>
      <c r="Q29" s="114">
        <v>971</v>
      </c>
      <c r="R29" s="114">
        <v>1219</v>
      </c>
      <c r="S29" s="135">
        <f t="shared" si="8"/>
        <v>36704</v>
      </c>
      <c r="T29" s="115">
        <v>6744</v>
      </c>
      <c r="U29" s="115">
        <v>18099</v>
      </c>
      <c r="V29" s="115">
        <v>6430</v>
      </c>
      <c r="W29" s="115">
        <v>5431</v>
      </c>
    </row>
    <row r="30" spans="1:23" x14ac:dyDescent="0.2">
      <c r="A30" s="116">
        <v>19</v>
      </c>
      <c r="B30" s="71" t="s">
        <v>84</v>
      </c>
      <c r="C30" s="31" t="s">
        <v>85</v>
      </c>
      <c r="D30" s="135">
        <f t="shared" si="2"/>
        <v>38374</v>
      </c>
      <c r="E30" s="135">
        <f t="shared" si="0"/>
        <v>3087</v>
      </c>
      <c r="F30" s="114">
        <v>577</v>
      </c>
      <c r="G30" s="114">
        <v>236</v>
      </c>
      <c r="H30" s="114">
        <v>2510</v>
      </c>
      <c r="I30" s="135">
        <f t="shared" si="9"/>
        <v>5569</v>
      </c>
      <c r="J30" s="114">
        <v>5444</v>
      </c>
      <c r="K30" s="114">
        <v>1256</v>
      </c>
      <c r="L30" s="114">
        <v>631</v>
      </c>
      <c r="M30" s="114">
        <f t="shared" si="6"/>
        <v>125</v>
      </c>
      <c r="N30" s="114">
        <v>95</v>
      </c>
      <c r="O30" s="114">
        <v>30</v>
      </c>
      <c r="P30" s="135">
        <f t="shared" si="7"/>
        <v>1615</v>
      </c>
      <c r="Q30" s="114">
        <v>731</v>
      </c>
      <c r="R30" s="114">
        <v>884</v>
      </c>
      <c r="S30" s="135">
        <f t="shared" si="8"/>
        <v>28103</v>
      </c>
      <c r="T30" s="115">
        <v>10427</v>
      </c>
      <c r="U30" s="115">
        <v>9724</v>
      </c>
      <c r="V30" s="115">
        <v>455</v>
      </c>
      <c r="W30" s="115">
        <v>7497</v>
      </c>
    </row>
    <row r="31" spans="1:23" x14ac:dyDescent="0.2">
      <c r="A31" s="116">
        <v>20</v>
      </c>
      <c r="B31" s="71" t="s">
        <v>86</v>
      </c>
      <c r="C31" s="31" t="s">
        <v>87</v>
      </c>
      <c r="D31" s="135">
        <f t="shared" si="2"/>
        <v>204344</v>
      </c>
      <c r="E31" s="135">
        <f t="shared" si="0"/>
        <v>17474</v>
      </c>
      <c r="F31" s="114">
        <v>2979</v>
      </c>
      <c r="G31" s="114">
        <v>803</v>
      </c>
      <c r="H31" s="114">
        <v>14495</v>
      </c>
      <c r="I31" s="135">
        <f t="shared" si="9"/>
        <v>28295</v>
      </c>
      <c r="J31" s="114">
        <v>28106</v>
      </c>
      <c r="K31" s="114">
        <v>3183</v>
      </c>
      <c r="L31" s="114">
        <v>3260</v>
      </c>
      <c r="M31" s="114">
        <f t="shared" si="6"/>
        <v>189</v>
      </c>
      <c r="N31" s="114">
        <v>38</v>
      </c>
      <c r="O31" s="114">
        <v>151</v>
      </c>
      <c r="P31" s="135">
        <f t="shared" si="7"/>
        <v>8681</v>
      </c>
      <c r="Q31" s="114">
        <v>4229</v>
      </c>
      <c r="R31" s="114">
        <v>4452</v>
      </c>
      <c r="S31" s="135">
        <f t="shared" si="8"/>
        <v>149894</v>
      </c>
      <c r="T31" s="115">
        <v>25351</v>
      </c>
      <c r="U31" s="115">
        <v>60446</v>
      </c>
      <c r="V31" s="115">
        <v>25523</v>
      </c>
      <c r="W31" s="115">
        <v>38574</v>
      </c>
    </row>
    <row r="32" spans="1:23" x14ac:dyDescent="0.2">
      <c r="A32" s="116">
        <v>21</v>
      </c>
      <c r="B32" s="71" t="s">
        <v>22</v>
      </c>
      <c r="C32" s="31" t="s">
        <v>23</v>
      </c>
      <c r="D32" s="135">
        <f t="shared" si="2"/>
        <v>181206</v>
      </c>
      <c r="E32" s="135">
        <f t="shared" si="0"/>
        <v>16337</v>
      </c>
      <c r="F32" s="114">
        <v>2500</v>
      </c>
      <c r="G32" s="114">
        <v>513</v>
      </c>
      <c r="H32" s="114">
        <v>13837</v>
      </c>
      <c r="I32" s="135">
        <f t="shared" si="9"/>
        <v>23703</v>
      </c>
      <c r="J32" s="114">
        <v>23586</v>
      </c>
      <c r="K32" s="114">
        <v>2928</v>
      </c>
      <c r="L32" s="114">
        <v>2735</v>
      </c>
      <c r="M32" s="114">
        <f t="shared" si="6"/>
        <v>117</v>
      </c>
      <c r="N32" s="114">
        <v>33</v>
      </c>
      <c r="O32" s="114">
        <v>84</v>
      </c>
      <c r="P32" s="135">
        <f t="shared" si="7"/>
        <v>8120</v>
      </c>
      <c r="Q32" s="114">
        <v>4326</v>
      </c>
      <c r="R32" s="114">
        <v>3794</v>
      </c>
      <c r="S32" s="135">
        <f t="shared" si="8"/>
        <v>133046</v>
      </c>
      <c r="T32" s="115">
        <v>17746</v>
      </c>
      <c r="U32" s="115">
        <v>72190</v>
      </c>
      <c r="V32" s="115">
        <v>6071</v>
      </c>
      <c r="W32" s="115">
        <v>37039</v>
      </c>
    </row>
    <row r="33" spans="1:23" x14ac:dyDescent="0.2">
      <c r="A33" s="116">
        <v>22</v>
      </c>
      <c r="B33" s="618" t="s">
        <v>24</v>
      </c>
      <c r="C33" s="31" t="s">
        <v>25</v>
      </c>
      <c r="D33" s="135">
        <f t="shared" si="2"/>
        <v>44373</v>
      </c>
      <c r="E33" s="135">
        <f t="shared" si="0"/>
        <v>3100</v>
      </c>
      <c r="F33" s="114">
        <v>618</v>
      </c>
      <c r="G33" s="114">
        <v>20</v>
      </c>
      <c r="H33" s="114">
        <v>2482</v>
      </c>
      <c r="I33" s="135">
        <f t="shared" si="9"/>
        <v>5850</v>
      </c>
      <c r="J33" s="114">
        <v>5830</v>
      </c>
      <c r="K33" s="114">
        <v>403</v>
      </c>
      <c r="L33" s="114">
        <v>676</v>
      </c>
      <c r="M33" s="114">
        <f t="shared" si="6"/>
        <v>20</v>
      </c>
      <c r="N33" s="114">
        <v>0</v>
      </c>
      <c r="O33" s="114">
        <v>20</v>
      </c>
      <c r="P33" s="135">
        <f t="shared" si="7"/>
        <v>1830</v>
      </c>
      <c r="Q33" s="114">
        <v>907</v>
      </c>
      <c r="R33" s="114">
        <v>923</v>
      </c>
      <c r="S33" s="135">
        <f t="shared" si="8"/>
        <v>33593</v>
      </c>
      <c r="T33" s="115">
        <v>4530</v>
      </c>
      <c r="U33" s="115">
        <v>17892</v>
      </c>
      <c r="V33" s="115">
        <v>2149</v>
      </c>
      <c r="W33" s="115">
        <v>9022</v>
      </c>
    </row>
    <row r="34" spans="1:23" x14ac:dyDescent="0.2">
      <c r="A34" s="116">
        <v>23</v>
      </c>
      <c r="B34" s="618" t="s">
        <v>88</v>
      </c>
      <c r="C34" s="31" t="s">
        <v>89</v>
      </c>
      <c r="D34" s="135">
        <f t="shared" si="2"/>
        <v>0</v>
      </c>
      <c r="E34" s="135">
        <f t="shared" si="0"/>
        <v>0</v>
      </c>
      <c r="F34" s="114">
        <v>0</v>
      </c>
      <c r="G34" s="114">
        <v>0</v>
      </c>
      <c r="H34" s="114">
        <v>0</v>
      </c>
      <c r="I34" s="135">
        <f t="shared" si="9"/>
        <v>0</v>
      </c>
      <c r="J34" s="114">
        <v>0</v>
      </c>
      <c r="K34" s="114">
        <v>0</v>
      </c>
      <c r="L34" s="114">
        <v>0</v>
      </c>
      <c r="M34" s="114">
        <f t="shared" si="6"/>
        <v>0</v>
      </c>
      <c r="N34" s="114">
        <v>0</v>
      </c>
      <c r="O34" s="114">
        <v>0</v>
      </c>
      <c r="P34" s="135">
        <f t="shared" si="7"/>
        <v>0</v>
      </c>
      <c r="Q34" s="114">
        <v>0</v>
      </c>
      <c r="R34" s="114">
        <v>0</v>
      </c>
      <c r="S34" s="135">
        <f t="shared" si="8"/>
        <v>0</v>
      </c>
      <c r="T34" s="115">
        <v>0</v>
      </c>
      <c r="U34" s="115">
        <v>0</v>
      </c>
      <c r="V34" s="115">
        <v>0</v>
      </c>
      <c r="W34" s="115">
        <v>0</v>
      </c>
    </row>
    <row r="35" spans="1:23" ht="24" x14ac:dyDescent="0.2">
      <c r="A35" s="116">
        <v>24</v>
      </c>
      <c r="B35" s="618" t="s">
        <v>90</v>
      </c>
      <c r="C35" s="31" t="s">
        <v>91</v>
      </c>
      <c r="D35" s="135">
        <f t="shared" si="2"/>
        <v>0</v>
      </c>
      <c r="E35" s="135">
        <f t="shared" si="0"/>
        <v>0</v>
      </c>
      <c r="F35" s="114">
        <v>0</v>
      </c>
      <c r="G35" s="114">
        <v>0</v>
      </c>
      <c r="H35" s="114">
        <v>0</v>
      </c>
      <c r="I35" s="135">
        <f t="shared" si="9"/>
        <v>0</v>
      </c>
      <c r="J35" s="114">
        <v>0</v>
      </c>
      <c r="K35" s="114">
        <v>0</v>
      </c>
      <c r="L35" s="114">
        <v>0</v>
      </c>
      <c r="M35" s="114">
        <f t="shared" si="6"/>
        <v>0</v>
      </c>
      <c r="N35" s="114">
        <v>0</v>
      </c>
      <c r="O35" s="114">
        <v>0</v>
      </c>
      <c r="P35" s="135">
        <f t="shared" si="7"/>
        <v>0</v>
      </c>
      <c r="Q35" s="114">
        <v>0</v>
      </c>
      <c r="R35" s="114">
        <v>0</v>
      </c>
      <c r="S35" s="135">
        <f t="shared" si="8"/>
        <v>0</v>
      </c>
      <c r="T35" s="115">
        <v>0</v>
      </c>
      <c r="U35" s="115">
        <v>0</v>
      </c>
      <c r="V35" s="115">
        <v>0</v>
      </c>
      <c r="W35" s="115">
        <v>0</v>
      </c>
    </row>
    <row r="36" spans="1:23" ht="24" x14ac:dyDescent="0.2">
      <c r="A36" s="921">
        <v>25</v>
      </c>
      <c r="B36" s="624" t="s">
        <v>92</v>
      </c>
      <c r="C36" s="57" t="s">
        <v>775</v>
      </c>
      <c r="D36" s="135">
        <f t="shared" si="2"/>
        <v>895359</v>
      </c>
      <c r="E36" s="135">
        <f t="shared" si="0"/>
        <v>80548</v>
      </c>
      <c r="F36" s="622">
        <v>13504</v>
      </c>
      <c r="G36" s="622">
        <v>4923</v>
      </c>
      <c r="H36" s="622">
        <v>67044</v>
      </c>
      <c r="I36" s="135">
        <f t="shared" si="9"/>
        <v>127769</v>
      </c>
      <c r="J36" s="622">
        <v>127428</v>
      </c>
      <c r="K36" s="622">
        <v>10734</v>
      </c>
      <c r="L36" s="622">
        <v>14779</v>
      </c>
      <c r="M36" s="622">
        <f t="shared" si="6"/>
        <v>341</v>
      </c>
      <c r="N36" s="622">
        <v>266</v>
      </c>
      <c r="O36" s="622">
        <v>75</v>
      </c>
      <c r="P36" s="621">
        <f t="shared" si="7"/>
        <v>44346</v>
      </c>
      <c r="Q36" s="622">
        <v>23282</v>
      </c>
      <c r="R36" s="622">
        <v>21064</v>
      </c>
      <c r="S36" s="135">
        <f t="shared" si="8"/>
        <v>642696</v>
      </c>
      <c r="T36" s="623">
        <v>99631</v>
      </c>
      <c r="U36" s="623">
        <v>251587</v>
      </c>
      <c r="V36" s="623">
        <v>151473</v>
      </c>
      <c r="W36" s="623">
        <v>140005</v>
      </c>
    </row>
    <row r="37" spans="1:23" x14ac:dyDescent="0.2">
      <c r="A37" s="923"/>
      <c r="B37" s="167" t="s">
        <v>94</v>
      </c>
      <c r="C37" s="50" t="s">
        <v>95</v>
      </c>
      <c r="D37" s="135">
        <f t="shared" si="2"/>
        <v>77218</v>
      </c>
      <c r="E37" s="135">
        <f t="shared" si="0"/>
        <v>14225</v>
      </c>
      <c r="F37" s="622">
        <v>0</v>
      </c>
      <c r="G37" s="622">
        <v>0</v>
      </c>
      <c r="H37" s="622">
        <v>14225</v>
      </c>
      <c r="I37" s="135">
        <f t="shared" si="9"/>
        <v>126</v>
      </c>
      <c r="J37" s="622">
        <v>0</v>
      </c>
      <c r="K37" s="622">
        <v>0</v>
      </c>
      <c r="L37" s="622">
        <v>0</v>
      </c>
      <c r="M37" s="622">
        <f t="shared" si="6"/>
        <v>126</v>
      </c>
      <c r="N37" s="622">
        <v>97</v>
      </c>
      <c r="O37" s="622">
        <v>29</v>
      </c>
      <c r="P37" s="621">
        <f t="shared" si="7"/>
        <v>0</v>
      </c>
      <c r="Q37" s="622">
        <v>0</v>
      </c>
      <c r="R37" s="622">
        <v>0</v>
      </c>
      <c r="S37" s="135">
        <f t="shared" si="8"/>
        <v>62867</v>
      </c>
      <c r="T37" s="623">
        <v>0</v>
      </c>
      <c r="U37" s="623">
        <v>16257</v>
      </c>
      <c r="V37" s="623">
        <v>20148</v>
      </c>
      <c r="W37" s="623">
        <v>26462</v>
      </c>
    </row>
    <row r="38" spans="1:23" x14ac:dyDescent="0.2">
      <c r="A38" s="116">
        <v>26</v>
      </c>
      <c r="B38" s="72" t="s">
        <v>96</v>
      </c>
      <c r="C38" s="31" t="s">
        <v>97</v>
      </c>
      <c r="D38" s="135">
        <f t="shared" si="2"/>
        <v>47464</v>
      </c>
      <c r="E38" s="135">
        <f t="shared" si="0"/>
        <v>0</v>
      </c>
      <c r="F38" s="114">
        <v>0</v>
      </c>
      <c r="G38" s="114">
        <v>0</v>
      </c>
      <c r="H38" s="114">
        <v>0</v>
      </c>
      <c r="I38" s="135">
        <f t="shared" si="9"/>
        <v>0</v>
      </c>
      <c r="J38" s="114">
        <v>0</v>
      </c>
      <c r="K38" s="114">
        <v>0</v>
      </c>
      <c r="L38" s="114">
        <v>0</v>
      </c>
      <c r="M38" s="114">
        <f t="shared" si="6"/>
        <v>0</v>
      </c>
      <c r="N38" s="114">
        <v>0</v>
      </c>
      <c r="O38" s="114">
        <v>0</v>
      </c>
      <c r="P38" s="135">
        <f t="shared" si="7"/>
        <v>0</v>
      </c>
      <c r="Q38" s="114">
        <v>0</v>
      </c>
      <c r="R38" s="114">
        <v>0</v>
      </c>
      <c r="S38" s="135">
        <f t="shared" si="8"/>
        <v>47464</v>
      </c>
      <c r="T38" s="115">
        <v>0</v>
      </c>
      <c r="U38" s="115">
        <v>36967</v>
      </c>
      <c r="V38" s="115">
        <v>10497</v>
      </c>
      <c r="W38" s="115">
        <v>0</v>
      </c>
    </row>
    <row r="39" spans="1:23" x14ac:dyDescent="0.2">
      <c r="A39" s="116">
        <v>27</v>
      </c>
      <c r="B39" s="72" t="s">
        <v>26</v>
      </c>
      <c r="C39" s="31" t="s">
        <v>27</v>
      </c>
      <c r="D39" s="135">
        <f t="shared" si="2"/>
        <v>240073</v>
      </c>
      <c r="E39" s="135">
        <f t="shared" si="0"/>
        <v>18402</v>
      </c>
      <c r="F39" s="114">
        <v>3604</v>
      </c>
      <c r="G39" s="114">
        <v>948</v>
      </c>
      <c r="H39" s="114">
        <v>14798</v>
      </c>
      <c r="I39" s="135">
        <f t="shared" si="9"/>
        <v>34306</v>
      </c>
      <c r="J39" s="114">
        <v>34006</v>
      </c>
      <c r="K39" s="114">
        <v>3266</v>
      </c>
      <c r="L39" s="114">
        <v>3944</v>
      </c>
      <c r="M39" s="114">
        <f t="shared" si="6"/>
        <v>300</v>
      </c>
      <c r="N39" s="114">
        <v>126</v>
      </c>
      <c r="O39" s="114">
        <v>174</v>
      </c>
      <c r="P39" s="135">
        <f t="shared" si="7"/>
        <v>10304</v>
      </c>
      <c r="Q39" s="114">
        <v>5182</v>
      </c>
      <c r="R39" s="114">
        <v>5122</v>
      </c>
      <c r="S39" s="135">
        <f t="shared" si="8"/>
        <v>177061</v>
      </c>
      <c r="T39" s="115">
        <v>17940</v>
      </c>
      <c r="U39" s="115">
        <v>80413</v>
      </c>
      <c r="V39" s="115">
        <v>38345</v>
      </c>
      <c r="W39" s="115">
        <v>40363</v>
      </c>
    </row>
    <row r="40" spans="1:23" x14ac:dyDescent="0.2">
      <c r="A40" s="116">
        <v>28</v>
      </c>
      <c r="B40" s="71" t="s">
        <v>98</v>
      </c>
      <c r="C40" s="31" t="s">
        <v>99</v>
      </c>
      <c r="D40" s="135">
        <f t="shared" si="2"/>
        <v>366604</v>
      </c>
      <c r="E40" s="135">
        <f t="shared" si="0"/>
        <v>29921</v>
      </c>
      <c r="F40" s="114">
        <v>5306</v>
      </c>
      <c r="G40" s="114">
        <v>2151</v>
      </c>
      <c r="H40" s="114">
        <v>24615</v>
      </c>
      <c r="I40" s="135">
        <f t="shared" si="9"/>
        <v>50281</v>
      </c>
      <c r="J40" s="114">
        <v>50063</v>
      </c>
      <c r="K40" s="114">
        <v>4331</v>
      </c>
      <c r="L40" s="114">
        <v>5806</v>
      </c>
      <c r="M40" s="114">
        <f t="shared" si="6"/>
        <v>218</v>
      </c>
      <c r="N40" s="114">
        <v>16</v>
      </c>
      <c r="O40" s="114">
        <v>202</v>
      </c>
      <c r="P40" s="135">
        <f t="shared" si="7"/>
        <v>16719</v>
      </c>
      <c r="Q40" s="114">
        <v>8848</v>
      </c>
      <c r="R40" s="114">
        <v>7871</v>
      </c>
      <c r="S40" s="135">
        <f t="shared" si="8"/>
        <v>269683</v>
      </c>
      <c r="T40" s="115">
        <v>60616</v>
      </c>
      <c r="U40" s="115">
        <v>109587</v>
      </c>
      <c r="V40" s="115">
        <v>50028</v>
      </c>
      <c r="W40" s="115">
        <v>49452</v>
      </c>
    </row>
    <row r="41" spans="1:23" x14ac:dyDescent="0.2">
      <c r="A41" s="116">
        <v>29</v>
      </c>
      <c r="B41" s="72" t="s">
        <v>100</v>
      </c>
      <c r="C41" s="31" t="s">
        <v>101</v>
      </c>
      <c r="D41" s="135">
        <f t="shared" si="2"/>
        <v>68300</v>
      </c>
      <c r="E41" s="135">
        <f t="shared" si="0"/>
        <v>5650</v>
      </c>
      <c r="F41" s="114">
        <v>1017</v>
      </c>
      <c r="G41" s="114">
        <v>326</v>
      </c>
      <c r="H41" s="114">
        <v>4633</v>
      </c>
      <c r="I41" s="135">
        <f t="shared" si="9"/>
        <v>9689</v>
      </c>
      <c r="J41" s="114">
        <v>9599</v>
      </c>
      <c r="K41" s="114">
        <v>1136</v>
      </c>
      <c r="L41" s="114">
        <v>1113</v>
      </c>
      <c r="M41" s="114">
        <f t="shared" si="6"/>
        <v>90</v>
      </c>
      <c r="N41" s="114">
        <v>5</v>
      </c>
      <c r="O41" s="114">
        <v>85</v>
      </c>
      <c r="P41" s="135">
        <f t="shared" si="7"/>
        <v>2793</v>
      </c>
      <c r="Q41" s="114">
        <v>1254</v>
      </c>
      <c r="R41" s="114">
        <v>1539</v>
      </c>
      <c r="S41" s="135">
        <f t="shared" si="8"/>
        <v>50168</v>
      </c>
      <c r="T41" s="115">
        <v>8947</v>
      </c>
      <c r="U41" s="115">
        <v>20382</v>
      </c>
      <c r="V41" s="115">
        <v>2946</v>
      </c>
      <c r="W41" s="115">
        <v>17893</v>
      </c>
    </row>
    <row r="42" spans="1:23" x14ac:dyDescent="0.2">
      <c r="A42" s="116">
        <v>30</v>
      </c>
      <c r="B42" s="618" t="s">
        <v>102</v>
      </c>
      <c r="C42" s="31" t="s">
        <v>103</v>
      </c>
      <c r="D42" s="135">
        <f t="shared" si="2"/>
        <v>247700</v>
      </c>
      <c r="E42" s="135">
        <f t="shared" si="0"/>
        <v>20119</v>
      </c>
      <c r="F42" s="114">
        <v>3667</v>
      </c>
      <c r="G42" s="114">
        <v>162</v>
      </c>
      <c r="H42" s="114">
        <v>16452</v>
      </c>
      <c r="I42" s="135">
        <f t="shared" si="9"/>
        <v>34867</v>
      </c>
      <c r="J42" s="114">
        <v>34600</v>
      </c>
      <c r="K42" s="114">
        <v>1138</v>
      </c>
      <c r="L42" s="114">
        <v>4013</v>
      </c>
      <c r="M42" s="114">
        <f t="shared" si="6"/>
        <v>267</v>
      </c>
      <c r="N42" s="114">
        <v>75</v>
      </c>
      <c r="O42" s="114">
        <v>192</v>
      </c>
      <c r="P42" s="135">
        <f t="shared" si="7"/>
        <v>10819</v>
      </c>
      <c r="Q42" s="114">
        <v>5216</v>
      </c>
      <c r="R42" s="114">
        <v>5603</v>
      </c>
      <c r="S42" s="135">
        <f t="shared" si="8"/>
        <v>181895</v>
      </c>
      <c r="T42" s="115">
        <v>43090</v>
      </c>
      <c r="U42" s="115">
        <v>63163</v>
      </c>
      <c r="V42" s="115">
        <v>40018</v>
      </c>
      <c r="W42" s="115">
        <v>35624</v>
      </c>
    </row>
    <row r="43" spans="1:23" x14ac:dyDescent="0.2">
      <c r="A43" s="116">
        <v>31</v>
      </c>
      <c r="B43" s="72" t="s">
        <v>104</v>
      </c>
      <c r="C43" s="31" t="s">
        <v>105</v>
      </c>
      <c r="D43" s="135">
        <f t="shared" si="2"/>
        <v>89382</v>
      </c>
      <c r="E43" s="135">
        <f t="shared" si="0"/>
        <v>7552</v>
      </c>
      <c r="F43" s="114">
        <v>1348</v>
      </c>
      <c r="G43" s="114">
        <v>239</v>
      </c>
      <c r="H43" s="114">
        <v>6204</v>
      </c>
      <c r="I43" s="135">
        <f t="shared" si="9"/>
        <v>12811</v>
      </c>
      <c r="J43" s="114">
        <v>12716</v>
      </c>
      <c r="K43" s="114">
        <v>4972</v>
      </c>
      <c r="L43" s="114">
        <v>1475</v>
      </c>
      <c r="M43" s="114">
        <f t="shared" si="6"/>
        <v>95</v>
      </c>
      <c r="N43" s="114">
        <v>55</v>
      </c>
      <c r="O43" s="114">
        <v>40</v>
      </c>
      <c r="P43" s="135">
        <f t="shared" si="7"/>
        <v>3731</v>
      </c>
      <c r="Q43" s="114">
        <v>1658</v>
      </c>
      <c r="R43" s="114">
        <v>2073</v>
      </c>
      <c r="S43" s="135">
        <f t="shared" si="8"/>
        <v>65288</v>
      </c>
      <c r="T43" s="115">
        <v>10571</v>
      </c>
      <c r="U43" s="115">
        <v>21746</v>
      </c>
      <c r="V43" s="115">
        <v>14832</v>
      </c>
      <c r="W43" s="115">
        <v>18139</v>
      </c>
    </row>
    <row r="44" spans="1:23" x14ac:dyDescent="0.2">
      <c r="A44" s="116">
        <v>32</v>
      </c>
      <c r="B44" s="71" t="s">
        <v>106</v>
      </c>
      <c r="C44" s="31" t="s">
        <v>107</v>
      </c>
      <c r="D44" s="135">
        <f t="shared" si="2"/>
        <v>239666</v>
      </c>
      <c r="E44" s="135">
        <f t="shared" si="0"/>
        <v>19997</v>
      </c>
      <c r="F44" s="114">
        <v>3529</v>
      </c>
      <c r="G44" s="114">
        <v>794</v>
      </c>
      <c r="H44" s="114">
        <v>16468</v>
      </c>
      <c r="I44" s="135">
        <f t="shared" si="9"/>
        <v>33522</v>
      </c>
      <c r="J44" s="114">
        <v>33298</v>
      </c>
      <c r="K44" s="114">
        <v>1532</v>
      </c>
      <c r="L44" s="114">
        <v>3862</v>
      </c>
      <c r="M44" s="114">
        <f t="shared" si="6"/>
        <v>224</v>
      </c>
      <c r="N44" s="114">
        <v>74</v>
      </c>
      <c r="O44" s="114">
        <v>150</v>
      </c>
      <c r="P44" s="135">
        <f t="shared" si="7"/>
        <v>10597</v>
      </c>
      <c r="Q44" s="114">
        <v>5239</v>
      </c>
      <c r="R44" s="114">
        <v>5358</v>
      </c>
      <c r="S44" s="135">
        <f t="shared" si="8"/>
        <v>175550</v>
      </c>
      <c r="T44" s="115">
        <v>24367</v>
      </c>
      <c r="U44" s="115">
        <v>87163</v>
      </c>
      <c r="V44" s="115">
        <v>33381</v>
      </c>
      <c r="W44" s="115">
        <v>30639</v>
      </c>
    </row>
    <row r="45" spans="1:23" x14ac:dyDescent="0.2">
      <c r="A45" s="116">
        <v>33</v>
      </c>
      <c r="B45" s="117" t="s">
        <v>108</v>
      </c>
      <c r="C45" s="118" t="s">
        <v>109</v>
      </c>
      <c r="D45" s="135">
        <f t="shared" si="2"/>
        <v>80054</v>
      </c>
      <c r="E45" s="135">
        <f t="shared" si="0"/>
        <v>6489</v>
      </c>
      <c r="F45" s="114">
        <v>1207</v>
      </c>
      <c r="G45" s="114">
        <v>300</v>
      </c>
      <c r="H45" s="114">
        <v>5282</v>
      </c>
      <c r="I45" s="135">
        <f t="shared" si="9"/>
        <v>11424</v>
      </c>
      <c r="J45" s="114">
        <v>11389</v>
      </c>
      <c r="K45" s="114">
        <v>900</v>
      </c>
      <c r="L45" s="114">
        <v>1321</v>
      </c>
      <c r="M45" s="114">
        <f t="shared" si="6"/>
        <v>35</v>
      </c>
      <c r="N45" s="114">
        <v>20</v>
      </c>
      <c r="O45" s="114">
        <v>15</v>
      </c>
      <c r="P45" s="135">
        <f t="shared" si="7"/>
        <v>3249</v>
      </c>
      <c r="Q45" s="114">
        <v>1459</v>
      </c>
      <c r="R45" s="114">
        <v>1790</v>
      </c>
      <c r="S45" s="135">
        <f t="shared" si="8"/>
        <v>58892</v>
      </c>
      <c r="T45" s="115">
        <v>13232</v>
      </c>
      <c r="U45" s="115">
        <v>18702</v>
      </c>
      <c r="V45" s="115">
        <v>12006</v>
      </c>
      <c r="W45" s="115">
        <v>14952</v>
      </c>
    </row>
    <row r="46" spans="1:23" x14ac:dyDescent="0.2">
      <c r="A46" s="116">
        <v>34</v>
      </c>
      <c r="B46" s="71" t="s">
        <v>110</v>
      </c>
      <c r="C46" s="31" t="s">
        <v>111</v>
      </c>
      <c r="D46" s="135">
        <f t="shared" si="2"/>
        <v>48709</v>
      </c>
      <c r="E46" s="135">
        <f t="shared" si="0"/>
        <v>3490</v>
      </c>
      <c r="F46" s="114">
        <v>776</v>
      </c>
      <c r="G46" s="114">
        <v>113</v>
      </c>
      <c r="H46" s="114">
        <v>2714</v>
      </c>
      <c r="I46" s="135">
        <f t="shared" si="9"/>
        <v>7445</v>
      </c>
      <c r="J46" s="114">
        <v>7320</v>
      </c>
      <c r="K46" s="114">
        <v>405</v>
      </c>
      <c r="L46" s="114">
        <v>849</v>
      </c>
      <c r="M46" s="114">
        <f t="shared" si="6"/>
        <v>125</v>
      </c>
      <c r="N46" s="114">
        <v>65</v>
      </c>
      <c r="O46" s="114">
        <v>60</v>
      </c>
      <c r="P46" s="135">
        <f t="shared" si="7"/>
        <v>1772</v>
      </c>
      <c r="Q46" s="114">
        <v>803</v>
      </c>
      <c r="R46" s="114">
        <v>969</v>
      </c>
      <c r="S46" s="135">
        <f t="shared" si="8"/>
        <v>36002</v>
      </c>
      <c r="T46" s="115">
        <v>9143</v>
      </c>
      <c r="U46" s="115">
        <v>15361</v>
      </c>
      <c r="V46" s="115">
        <v>3677</v>
      </c>
      <c r="W46" s="115">
        <v>7821</v>
      </c>
    </row>
    <row r="47" spans="1:23" x14ac:dyDescent="0.2">
      <c r="A47" s="116">
        <v>35</v>
      </c>
      <c r="B47" s="71" t="s">
        <v>112</v>
      </c>
      <c r="C47" s="31" t="s">
        <v>113</v>
      </c>
      <c r="D47" s="135">
        <f t="shared" si="2"/>
        <v>87390</v>
      </c>
      <c r="E47" s="135">
        <f t="shared" si="0"/>
        <v>6252</v>
      </c>
      <c r="F47" s="114">
        <v>1377</v>
      </c>
      <c r="G47" s="114">
        <v>235</v>
      </c>
      <c r="H47" s="114">
        <v>4875</v>
      </c>
      <c r="I47" s="135">
        <f t="shared" si="9"/>
        <v>13075</v>
      </c>
      <c r="J47" s="114">
        <v>12994</v>
      </c>
      <c r="K47" s="114">
        <v>1550</v>
      </c>
      <c r="L47" s="114">
        <v>1507</v>
      </c>
      <c r="M47" s="114">
        <f t="shared" si="6"/>
        <v>81</v>
      </c>
      <c r="N47" s="114">
        <v>0</v>
      </c>
      <c r="O47" s="114">
        <v>81</v>
      </c>
      <c r="P47" s="135">
        <f t="shared" si="7"/>
        <v>3322</v>
      </c>
      <c r="Q47" s="114">
        <v>1481</v>
      </c>
      <c r="R47" s="114">
        <v>1841</v>
      </c>
      <c r="S47" s="135">
        <f t="shared" si="8"/>
        <v>64741</v>
      </c>
      <c r="T47" s="115">
        <v>25241</v>
      </c>
      <c r="U47" s="115">
        <v>21135</v>
      </c>
      <c r="V47" s="115">
        <v>7499</v>
      </c>
      <c r="W47" s="115">
        <v>10866</v>
      </c>
    </row>
    <row r="48" spans="1:23" x14ac:dyDescent="0.2">
      <c r="A48" s="116">
        <v>36</v>
      </c>
      <c r="B48" s="618" t="s">
        <v>114</v>
      </c>
      <c r="C48" s="31" t="s">
        <v>115</v>
      </c>
      <c r="D48" s="135">
        <f t="shared" si="2"/>
        <v>37994</v>
      </c>
      <c r="E48" s="135">
        <f t="shared" si="0"/>
        <v>2377</v>
      </c>
      <c r="F48" s="114">
        <v>629</v>
      </c>
      <c r="G48" s="114">
        <v>42</v>
      </c>
      <c r="H48" s="114">
        <v>1748</v>
      </c>
      <c r="I48" s="135">
        <f t="shared" si="9"/>
        <v>5965</v>
      </c>
      <c r="J48" s="114">
        <v>5934</v>
      </c>
      <c r="K48" s="114">
        <v>86</v>
      </c>
      <c r="L48" s="114">
        <v>688</v>
      </c>
      <c r="M48" s="114">
        <f t="shared" si="6"/>
        <v>31</v>
      </c>
      <c r="N48" s="114">
        <v>0</v>
      </c>
      <c r="O48" s="114">
        <v>31</v>
      </c>
      <c r="P48" s="135">
        <f t="shared" si="7"/>
        <v>1434</v>
      </c>
      <c r="Q48" s="114">
        <v>637</v>
      </c>
      <c r="R48" s="114">
        <v>797</v>
      </c>
      <c r="S48" s="135">
        <f t="shared" si="8"/>
        <v>28218</v>
      </c>
      <c r="T48" s="115">
        <v>7531</v>
      </c>
      <c r="U48" s="115">
        <v>8705</v>
      </c>
      <c r="V48" s="115">
        <v>8031</v>
      </c>
      <c r="W48" s="115">
        <v>3951</v>
      </c>
    </row>
    <row r="49" spans="1:23" x14ac:dyDescent="0.2">
      <c r="A49" s="116">
        <v>37</v>
      </c>
      <c r="B49" s="72" t="s">
        <v>116</v>
      </c>
      <c r="C49" s="31" t="s">
        <v>117</v>
      </c>
      <c r="D49" s="135">
        <f t="shared" si="2"/>
        <v>28610</v>
      </c>
      <c r="E49" s="135">
        <f t="shared" si="0"/>
        <v>906</v>
      </c>
      <c r="F49" s="114">
        <v>906</v>
      </c>
      <c r="G49" s="114">
        <v>73</v>
      </c>
      <c r="H49" s="114">
        <v>0</v>
      </c>
      <c r="I49" s="135">
        <f t="shared" si="9"/>
        <v>8552</v>
      </c>
      <c r="J49" s="114">
        <v>8552</v>
      </c>
      <c r="K49" s="114">
        <v>452</v>
      </c>
      <c r="L49" s="114">
        <v>992</v>
      </c>
      <c r="M49" s="114">
        <f t="shared" si="6"/>
        <v>0</v>
      </c>
      <c r="N49" s="114">
        <v>0</v>
      </c>
      <c r="O49" s="114">
        <v>0</v>
      </c>
      <c r="P49" s="135">
        <f t="shared" si="7"/>
        <v>2126</v>
      </c>
      <c r="Q49" s="114">
        <v>836</v>
      </c>
      <c r="R49" s="114">
        <v>1290</v>
      </c>
      <c r="S49" s="135">
        <f t="shared" si="8"/>
        <v>17026</v>
      </c>
      <c r="T49" s="115">
        <v>1800</v>
      </c>
      <c r="U49" s="115">
        <v>15116</v>
      </c>
      <c r="V49" s="115">
        <v>0</v>
      </c>
      <c r="W49" s="115">
        <v>110</v>
      </c>
    </row>
    <row r="50" spans="1:23" x14ac:dyDescent="0.2">
      <c r="A50" s="116">
        <v>38</v>
      </c>
      <c r="B50" s="618" t="s">
        <v>28</v>
      </c>
      <c r="C50" s="31" t="s">
        <v>29</v>
      </c>
      <c r="D50" s="135">
        <f t="shared" si="2"/>
        <v>333501</v>
      </c>
      <c r="E50" s="135">
        <f t="shared" si="0"/>
        <v>29108</v>
      </c>
      <c r="F50" s="114">
        <v>4711</v>
      </c>
      <c r="G50" s="114">
        <v>705</v>
      </c>
      <c r="H50" s="114">
        <v>24397</v>
      </c>
      <c r="I50" s="135">
        <f t="shared" si="9"/>
        <v>44768</v>
      </c>
      <c r="J50" s="114">
        <v>44453</v>
      </c>
      <c r="K50" s="114">
        <v>1427</v>
      </c>
      <c r="L50" s="114">
        <v>5155</v>
      </c>
      <c r="M50" s="114">
        <f t="shared" si="6"/>
        <v>315</v>
      </c>
      <c r="N50" s="114">
        <v>164</v>
      </c>
      <c r="O50" s="114">
        <v>151</v>
      </c>
      <c r="P50" s="135">
        <f t="shared" si="7"/>
        <v>14959</v>
      </c>
      <c r="Q50" s="114">
        <v>7709</v>
      </c>
      <c r="R50" s="114">
        <v>7250</v>
      </c>
      <c r="S50" s="135">
        <f t="shared" si="8"/>
        <v>244666</v>
      </c>
      <c r="T50" s="115">
        <v>33849</v>
      </c>
      <c r="U50" s="115">
        <v>119728</v>
      </c>
      <c r="V50" s="115">
        <v>18535</v>
      </c>
      <c r="W50" s="115">
        <v>72554</v>
      </c>
    </row>
    <row r="51" spans="1:23" x14ac:dyDescent="0.2">
      <c r="A51" s="116">
        <v>39</v>
      </c>
      <c r="B51" s="71" t="s">
        <v>118</v>
      </c>
      <c r="C51" s="31" t="s">
        <v>119</v>
      </c>
      <c r="D51" s="135">
        <f t="shared" si="2"/>
        <v>70178</v>
      </c>
      <c r="E51" s="135">
        <f t="shared" si="0"/>
        <v>5411</v>
      </c>
      <c r="F51" s="114">
        <v>1093</v>
      </c>
      <c r="G51" s="114">
        <v>183</v>
      </c>
      <c r="H51" s="114">
        <v>4318</v>
      </c>
      <c r="I51" s="135">
        <f t="shared" si="9"/>
        <v>10417</v>
      </c>
      <c r="J51" s="114">
        <v>10310</v>
      </c>
      <c r="K51" s="114">
        <v>407</v>
      </c>
      <c r="L51" s="114">
        <v>1196</v>
      </c>
      <c r="M51" s="114">
        <f t="shared" si="6"/>
        <v>107</v>
      </c>
      <c r="N51" s="114">
        <v>75</v>
      </c>
      <c r="O51" s="114">
        <v>32</v>
      </c>
      <c r="P51" s="135">
        <f t="shared" si="7"/>
        <v>2644</v>
      </c>
      <c r="Q51" s="114">
        <v>1210</v>
      </c>
      <c r="R51" s="114">
        <v>1434</v>
      </c>
      <c r="S51" s="135">
        <f t="shared" si="8"/>
        <v>51706</v>
      </c>
      <c r="T51" s="115">
        <v>16587</v>
      </c>
      <c r="U51" s="115">
        <v>18495</v>
      </c>
      <c r="V51" s="115">
        <v>7603</v>
      </c>
      <c r="W51" s="115">
        <v>9021</v>
      </c>
    </row>
    <row r="52" spans="1:23" x14ac:dyDescent="0.2">
      <c r="A52" s="116">
        <v>40</v>
      </c>
      <c r="B52" s="71" t="s">
        <v>120</v>
      </c>
      <c r="C52" s="31" t="s">
        <v>121</v>
      </c>
      <c r="D52" s="135">
        <f t="shared" si="2"/>
        <v>255403</v>
      </c>
      <c r="E52" s="135">
        <f t="shared" si="0"/>
        <v>20428</v>
      </c>
      <c r="F52" s="114">
        <v>3824</v>
      </c>
      <c r="G52" s="114">
        <v>2103</v>
      </c>
      <c r="H52" s="114">
        <v>16604</v>
      </c>
      <c r="I52" s="135">
        <f t="shared" si="9"/>
        <v>36218</v>
      </c>
      <c r="J52" s="114">
        <v>36079</v>
      </c>
      <c r="K52" s="114">
        <v>2243</v>
      </c>
      <c r="L52" s="114">
        <v>4184</v>
      </c>
      <c r="M52" s="114">
        <f t="shared" si="6"/>
        <v>139</v>
      </c>
      <c r="N52" s="114">
        <v>67</v>
      </c>
      <c r="O52" s="114">
        <v>72</v>
      </c>
      <c r="P52" s="135">
        <f t="shared" si="7"/>
        <v>10968</v>
      </c>
      <c r="Q52" s="114">
        <v>5551</v>
      </c>
      <c r="R52" s="114">
        <v>5417</v>
      </c>
      <c r="S52" s="135">
        <f t="shared" si="8"/>
        <v>187789</v>
      </c>
      <c r="T52" s="115">
        <v>24128</v>
      </c>
      <c r="U52" s="115">
        <v>110914</v>
      </c>
      <c r="V52" s="115">
        <v>10152</v>
      </c>
      <c r="W52" s="115">
        <v>42595</v>
      </c>
    </row>
    <row r="53" spans="1:23" x14ac:dyDescent="0.2">
      <c r="A53" s="116">
        <v>41</v>
      </c>
      <c r="B53" s="618" t="s">
        <v>122</v>
      </c>
      <c r="C53" s="31" t="s">
        <v>123</v>
      </c>
      <c r="D53" s="135">
        <f t="shared" si="2"/>
        <v>53580</v>
      </c>
      <c r="E53" s="135">
        <f t="shared" si="0"/>
        <v>4018</v>
      </c>
      <c r="F53" s="114">
        <v>836</v>
      </c>
      <c r="G53" s="114">
        <v>10</v>
      </c>
      <c r="H53" s="114">
        <v>3182</v>
      </c>
      <c r="I53" s="135">
        <f t="shared" si="9"/>
        <v>7990</v>
      </c>
      <c r="J53" s="114">
        <v>7888</v>
      </c>
      <c r="K53" s="114">
        <v>135</v>
      </c>
      <c r="L53" s="114">
        <v>915</v>
      </c>
      <c r="M53" s="114">
        <f t="shared" si="6"/>
        <v>102</v>
      </c>
      <c r="N53" s="114">
        <v>60</v>
      </c>
      <c r="O53" s="114">
        <v>42</v>
      </c>
      <c r="P53" s="135">
        <f t="shared" si="7"/>
        <v>1895</v>
      </c>
      <c r="Q53" s="114">
        <v>861</v>
      </c>
      <c r="R53" s="114">
        <v>1034</v>
      </c>
      <c r="S53" s="135">
        <f t="shared" si="8"/>
        <v>39677</v>
      </c>
      <c r="T53" s="115">
        <v>12494</v>
      </c>
      <c r="U53" s="115">
        <v>13460</v>
      </c>
      <c r="V53" s="115">
        <v>4379</v>
      </c>
      <c r="W53" s="115">
        <v>9344</v>
      </c>
    </row>
    <row r="54" spans="1:23" x14ac:dyDescent="0.2">
      <c r="A54" s="116">
        <v>42</v>
      </c>
      <c r="B54" s="72" t="s">
        <v>124</v>
      </c>
      <c r="C54" s="31" t="s">
        <v>125</v>
      </c>
      <c r="D54" s="135">
        <f t="shared" si="2"/>
        <v>73239</v>
      </c>
      <c r="E54" s="135">
        <f t="shared" si="0"/>
        <v>5202</v>
      </c>
      <c r="F54" s="114">
        <v>1142</v>
      </c>
      <c r="G54" s="114">
        <v>90</v>
      </c>
      <c r="H54" s="114">
        <v>4060</v>
      </c>
      <c r="I54" s="135">
        <f t="shared" si="9"/>
        <v>10825</v>
      </c>
      <c r="J54" s="114">
        <v>10774</v>
      </c>
      <c r="K54" s="114">
        <v>864</v>
      </c>
      <c r="L54" s="114">
        <v>1250</v>
      </c>
      <c r="M54" s="114">
        <f t="shared" si="6"/>
        <v>51</v>
      </c>
      <c r="N54" s="114">
        <v>0</v>
      </c>
      <c r="O54" s="114">
        <v>51</v>
      </c>
      <c r="P54" s="135">
        <f t="shared" si="7"/>
        <v>2798</v>
      </c>
      <c r="Q54" s="114">
        <v>1282</v>
      </c>
      <c r="R54" s="114">
        <v>1516</v>
      </c>
      <c r="S54" s="135">
        <f t="shared" si="8"/>
        <v>54414</v>
      </c>
      <c r="T54" s="115">
        <v>9379</v>
      </c>
      <c r="U54" s="115">
        <v>28404</v>
      </c>
      <c r="V54" s="115">
        <v>6849</v>
      </c>
      <c r="W54" s="115">
        <v>9782</v>
      </c>
    </row>
    <row r="55" spans="1:23" x14ac:dyDescent="0.2">
      <c r="A55" s="116">
        <v>43</v>
      </c>
      <c r="B55" s="618" t="s">
        <v>126</v>
      </c>
      <c r="C55" s="31" t="s">
        <v>127</v>
      </c>
      <c r="D55" s="135">
        <f t="shared" si="2"/>
        <v>87163</v>
      </c>
      <c r="E55" s="135">
        <f t="shared" si="0"/>
        <v>6710</v>
      </c>
      <c r="F55" s="114">
        <v>1338</v>
      </c>
      <c r="G55" s="114">
        <v>210</v>
      </c>
      <c r="H55" s="114">
        <v>5372</v>
      </c>
      <c r="I55" s="135">
        <f t="shared" si="9"/>
        <v>12735</v>
      </c>
      <c r="J55" s="114">
        <v>12627</v>
      </c>
      <c r="K55" s="114">
        <v>1260</v>
      </c>
      <c r="L55" s="114">
        <v>1464</v>
      </c>
      <c r="M55" s="114">
        <f t="shared" si="6"/>
        <v>108</v>
      </c>
      <c r="N55" s="114">
        <v>65</v>
      </c>
      <c r="O55" s="114">
        <v>43</v>
      </c>
      <c r="P55" s="135">
        <f t="shared" si="7"/>
        <v>3369</v>
      </c>
      <c r="Q55" s="114">
        <v>1579</v>
      </c>
      <c r="R55" s="114">
        <v>1790</v>
      </c>
      <c r="S55" s="135">
        <f t="shared" si="8"/>
        <v>64349</v>
      </c>
      <c r="T55" s="115">
        <v>10786</v>
      </c>
      <c r="U55" s="115">
        <v>27434</v>
      </c>
      <c r="V55" s="115">
        <v>13904</v>
      </c>
      <c r="W55" s="115">
        <v>12225</v>
      </c>
    </row>
    <row r="56" spans="1:23" x14ac:dyDescent="0.2">
      <c r="A56" s="116">
        <v>44</v>
      </c>
      <c r="B56" s="72" t="s">
        <v>128</v>
      </c>
      <c r="C56" s="31" t="s">
        <v>129</v>
      </c>
      <c r="D56" s="135">
        <f t="shared" si="2"/>
        <v>105035</v>
      </c>
      <c r="E56" s="135">
        <f t="shared" si="0"/>
        <v>8389</v>
      </c>
      <c r="F56" s="114">
        <v>1581</v>
      </c>
      <c r="G56" s="114">
        <v>71</v>
      </c>
      <c r="H56" s="114">
        <v>6808</v>
      </c>
      <c r="I56" s="135">
        <f t="shared" si="9"/>
        <v>14997</v>
      </c>
      <c r="J56" s="114">
        <v>14920</v>
      </c>
      <c r="K56" s="114">
        <v>507</v>
      </c>
      <c r="L56" s="114">
        <v>1730</v>
      </c>
      <c r="M56" s="114">
        <f t="shared" si="6"/>
        <v>77</v>
      </c>
      <c r="N56" s="114">
        <v>20</v>
      </c>
      <c r="O56" s="114">
        <v>57</v>
      </c>
      <c r="P56" s="135">
        <f t="shared" si="7"/>
        <v>4348</v>
      </c>
      <c r="Q56" s="114">
        <v>2117</v>
      </c>
      <c r="R56" s="114">
        <v>2231</v>
      </c>
      <c r="S56" s="135">
        <f t="shared" si="8"/>
        <v>77301</v>
      </c>
      <c r="T56" s="115">
        <v>14645</v>
      </c>
      <c r="U56" s="115">
        <v>36351</v>
      </c>
      <c r="V56" s="115">
        <v>784</v>
      </c>
      <c r="W56" s="115">
        <v>25521</v>
      </c>
    </row>
    <row r="57" spans="1:23" x14ac:dyDescent="0.2">
      <c r="A57" s="116">
        <v>45</v>
      </c>
      <c r="B57" s="618" t="s">
        <v>130</v>
      </c>
      <c r="C57" s="31" t="s">
        <v>131</v>
      </c>
      <c r="D57" s="135">
        <f t="shared" si="2"/>
        <v>34492</v>
      </c>
      <c r="E57" s="135">
        <f t="shared" si="0"/>
        <v>2243</v>
      </c>
      <c r="F57" s="114">
        <v>563</v>
      </c>
      <c r="G57" s="114">
        <v>96</v>
      </c>
      <c r="H57" s="114">
        <v>1680</v>
      </c>
      <c r="I57" s="135">
        <f t="shared" si="9"/>
        <v>5367</v>
      </c>
      <c r="J57" s="114">
        <v>5311</v>
      </c>
      <c r="K57" s="114">
        <v>416</v>
      </c>
      <c r="L57" s="114">
        <v>616</v>
      </c>
      <c r="M57" s="114">
        <f t="shared" si="6"/>
        <v>56</v>
      </c>
      <c r="N57" s="114">
        <v>6</v>
      </c>
      <c r="O57" s="114">
        <v>50</v>
      </c>
      <c r="P57" s="135">
        <f t="shared" si="7"/>
        <v>1317</v>
      </c>
      <c r="Q57" s="114">
        <v>568</v>
      </c>
      <c r="R57" s="114">
        <v>749</v>
      </c>
      <c r="S57" s="135">
        <f t="shared" si="8"/>
        <v>25565</v>
      </c>
      <c r="T57" s="115">
        <v>13130</v>
      </c>
      <c r="U57" s="115">
        <v>6763</v>
      </c>
      <c r="V57" s="115">
        <v>1884</v>
      </c>
      <c r="W57" s="115">
        <v>3788</v>
      </c>
    </row>
    <row r="58" spans="1:23" x14ac:dyDescent="0.2">
      <c r="A58" s="116">
        <v>46</v>
      </c>
      <c r="B58" s="72" t="s">
        <v>132</v>
      </c>
      <c r="C58" s="31" t="s">
        <v>133</v>
      </c>
      <c r="D58" s="135">
        <f t="shared" si="2"/>
        <v>67959</v>
      </c>
      <c r="E58" s="135">
        <f t="shared" si="0"/>
        <v>5221</v>
      </c>
      <c r="F58" s="114">
        <v>1030</v>
      </c>
      <c r="G58" s="114">
        <v>117</v>
      </c>
      <c r="H58" s="114">
        <v>4191</v>
      </c>
      <c r="I58" s="135">
        <f t="shared" si="9"/>
        <v>9734</v>
      </c>
      <c r="J58" s="114">
        <v>9714</v>
      </c>
      <c r="K58" s="114">
        <v>318</v>
      </c>
      <c r="L58" s="114">
        <v>1127</v>
      </c>
      <c r="M58" s="114">
        <f t="shared" si="6"/>
        <v>20</v>
      </c>
      <c r="N58" s="114">
        <v>0</v>
      </c>
      <c r="O58" s="114">
        <v>20</v>
      </c>
      <c r="P58" s="135">
        <f t="shared" si="7"/>
        <v>2321</v>
      </c>
      <c r="Q58" s="114">
        <v>1071</v>
      </c>
      <c r="R58" s="114">
        <v>1250</v>
      </c>
      <c r="S58" s="135">
        <f t="shared" si="8"/>
        <v>50683</v>
      </c>
      <c r="T58" s="115">
        <v>13202</v>
      </c>
      <c r="U58" s="115">
        <v>13761</v>
      </c>
      <c r="V58" s="115">
        <v>11490</v>
      </c>
      <c r="W58" s="115">
        <v>12230</v>
      </c>
    </row>
    <row r="59" spans="1:23" x14ac:dyDescent="0.2">
      <c r="A59" s="116">
        <v>47</v>
      </c>
      <c r="B59" s="618" t="s">
        <v>134</v>
      </c>
      <c r="C59" s="31" t="s">
        <v>135</v>
      </c>
      <c r="D59" s="135">
        <f t="shared" si="2"/>
        <v>104969</v>
      </c>
      <c r="E59" s="135">
        <f t="shared" si="0"/>
        <v>7975</v>
      </c>
      <c r="F59" s="114">
        <v>1627</v>
      </c>
      <c r="G59" s="114">
        <v>595</v>
      </c>
      <c r="H59" s="114">
        <v>6348</v>
      </c>
      <c r="I59" s="135">
        <f t="shared" si="9"/>
        <v>15438</v>
      </c>
      <c r="J59" s="114">
        <v>15356</v>
      </c>
      <c r="K59" s="114">
        <v>1268</v>
      </c>
      <c r="L59" s="114">
        <v>1781</v>
      </c>
      <c r="M59" s="114">
        <f t="shared" si="6"/>
        <v>82</v>
      </c>
      <c r="N59" s="114">
        <v>18</v>
      </c>
      <c r="O59" s="114">
        <v>64</v>
      </c>
      <c r="P59" s="135">
        <f t="shared" si="7"/>
        <v>4191</v>
      </c>
      <c r="Q59" s="114">
        <v>1944</v>
      </c>
      <c r="R59" s="114">
        <v>2247</v>
      </c>
      <c r="S59" s="135">
        <f t="shared" si="8"/>
        <v>77365</v>
      </c>
      <c r="T59" s="115">
        <v>29636</v>
      </c>
      <c r="U59" s="115">
        <v>21701</v>
      </c>
      <c r="V59" s="115">
        <v>11301</v>
      </c>
      <c r="W59" s="115">
        <v>14727</v>
      </c>
    </row>
    <row r="60" spans="1:23" x14ac:dyDescent="0.2">
      <c r="A60" s="116">
        <v>48</v>
      </c>
      <c r="B60" s="618" t="s">
        <v>136</v>
      </c>
      <c r="C60" s="31" t="s">
        <v>137</v>
      </c>
      <c r="D60" s="135">
        <f t="shared" si="2"/>
        <v>384639</v>
      </c>
      <c r="E60" s="135">
        <f t="shared" si="0"/>
        <v>32411</v>
      </c>
      <c r="F60" s="114">
        <v>5565</v>
      </c>
      <c r="G60" s="114">
        <v>1430</v>
      </c>
      <c r="H60" s="114">
        <v>26846</v>
      </c>
      <c r="I60" s="135">
        <f t="shared" si="9"/>
        <v>52933</v>
      </c>
      <c r="J60" s="114">
        <v>52506</v>
      </c>
      <c r="K60" s="114">
        <v>3870</v>
      </c>
      <c r="L60" s="114">
        <v>6089</v>
      </c>
      <c r="M60" s="114">
        <f t="shared" si="6"/>
        <v>427</v>
      </c>
      <c r="N60" s="114">
        <v>287</v>
      </c>
      <c r="O60" s="114">
        <v>140</v>
      </c>
      <c r="P60" s="135">
        <f t="shared" si="7"/>
        <v>16919</v>
      </c>
      <c r="Q60" s="114">
        <v>8499</v>
      </c>
      <c r="R60" s="114">
        <v>8420</v>
      </c>
      <c r="S60" s="135">
        <f t="shared" si="8"/>
        <v>282376</v>
      </c>
      <c r="T60" s="115">
        <v>55809</v>
      </c>
      <c r="U60" s="115">
        <v>118031</v>
      </c>
      <c r="V60" s="115">
        <v>33569</v>
      </c>
      <c r="W60" s="115">
        <v>74967</v>
      </c>
    </row>
    <row r="61" spans="1:23" x14ac:dyDescent="0.2">
      <c r="A61" s="116">
        <v>49</v>
      </c>
      <c r="B61" s="618" t="s">
        <v>138</v>
      </c>
      <c r="C61" s="31" t="s">
        <v>139</v>
      </c>
      <c r="D61" s="135">
        <f t="shared" si="2"/>
        <v>74730</v>
      </c>
      <c r="E61" s="135">
        <f t="shared" si="0"/>
        <v>5935</v>
      </c>
      <c r="F61" s="114">
        <v>1156</v>
      </c>
      <c r="G61" s="114">
        <v>493</v>
      </c>
      <c r="H61" s="114">
        <v>4779</v>
      </c>
      <c r="I61" s="135">
        <f t="shared" si="9"/>
        <v>10952</v>
      </c>
      <c r="J61" s="114">
        <v>10912</v>
      </c>
      <c r="K61" s="114">
        <v>715</v>
      </c>
      <c r="L61" s="114">
        <v>1265</v>
      </c>
      <c r="M61" s="114">
        <f t="shared" si="6"/>
        <v>40</v>
      </c>
      <c r="N61" s="114">
        <v>6</v>
      </c>
      <c r="O61" s="114">
        <v>34</v>
      </c>
      <c r="P61" s="135">
        <f t="shared" si="7"/>
        <v>2798</v>
      </c>
      <c r="Q61" s="114">
        <v>1343</v>
      </c>
      <c r="R61" s="114">
        <v>1455</v>
      </c>
      <c r="S61" s="135">
        <f t="shared" si="8"/>
        <v>55045</v>
      </c>
      <c r="T61" s="115">
        <v>15253</v>
      </c>
      <c r="U61" s="115">
        <v>21604</v>
      </c>
      <c r="V61" s="115">
        <v>7525</v>
      </c>
      <c r="W61" s="115">
        <v>10663</v>
      </c>
    </row>
    <row r="62" spans="1:23" x14ac:dyDescent="0.2">
      <c r="A62" s="116">
        <v>50</v>
      </c>
      <c r="B62" s="618" t="s">
        <v>140</v>
      </c>
      <c r="C62" s="31" t="s">
        <v>141</v>
      </c>
      <c r="D62" s="135">
        <f t="shared" si="2"/>
        <v>55185</v>
      </c>
      <c r="E62" s="135">
        <f t="shared" si="0"/>
        <v>4073</v>
      </c>
      <c r="F62" s="114">
        <v>859</v>
      </c>
      <c r="G62" s="114">
        <v>51</v>
      </c>
      <c r="H62" s="114">
        <v>3214</v>
      </c>
      <c r="I62" s="135">
        <f t="shared" si="9"/>
        <v>8167</v>
      </c>
      <c r="J62" s="114">
        <v>8108</v>
      </c>
      <c r="K62" s="114">
        <v>648</v>
      </c>
      <c r="L62" s="114">
        <v>940</v>
      </c>
      <c r="M62" s="114">
        <f t="shared" si="6"/>
        <v>59</v>
      </c>
      <c r="N62" s="114">
        <v>15</v>
      </c>
      <c r="O62" s="114">
        <v>44</v>
      </c>
      <c r="P62" s="135">
        <f t="shared" si="7"/>
        <v>2223</v>
      </c>
      <c r="Q62" s="114">
        <v>948</v>
      </c>
      <c r="R62" s="114">
        <v>1275</v>
      </c>
      <c r="S62" s="135">
        <f t="shared" si="8"/>
        <v>40722</v>
      </c>
      <c r="T62" s="115">
        <v>12440</v>
      </c>
      <c r="U62" s="115">
        <v>11636</v>
      </c>
      <c r="V62" s="115">
        <v>8496</v>
      </c>
      <c r="W62" s="115">
        <v>8150</v>
      </c>
    </row>
    <row r="63" spans="1:23" x14ac:dyDescent="0.2">
      <c r="A63" s="116">
        <v>51</v>
      </c>
      <c r="B63" s="72" t="s">
        <v>142</v>
      </c>
      <c r="C63" s="31" t="s">
        <v>143</v>
      </c>
      <c r="D63" s="135">
        <f t="shared" si="2"/>
        <v>60568</v>
      </c>
      <c r="E63" s="135">
        <f t="shared" si="0"/>
        <v>4790</v>
      </c>
      <c r="F63" s="114">
        <v>927</v>
      </c>
      <c r="G63" s="114">
        <v>76</v>
      </c>
      <c r="H63" s="114">
        <v>3863</v>
      </c>
      <c r="I63" s="135">
        <f t="shared" si="9"/>
        <v>8792</v>
      </c>
      <c r="J63" s="114">
        <v>8746</v>
      </c>
      <c r="K63" s="114">
        <v>680</v>
      </c>
      <c r="L63" s="114">
        <v>1014</v>
      </c>
      <c r="M63" s="114">
        <f t="shared" si="6"/>
        <v>46</v>
      </c>
      <c r="N63" s="114">
        <v>5</v>
      </c>
      <c r="O63" s="114">
        <v>41</v>
      </c>
      <c r="P63" s="135">
        <f t="shared" si="7"/>
        <v>2585</v>
      </c>
      <c r="Q63" s="114">
        <v>1206</v>
      </c>
      <c r="R63" s="114">
        <v>1379</v>
      </c>
      <c r="S63" s="135">
        <f t="shared" si="8"/>
        <v>44401</v>
      </c>
      <c r="T63" s="115">
        <v>8899</v>
      </c>
      <c r="U63" s="115">
        <v>20711</v>
      </c>
      <c r="V63" s="115">
        <v>9554</v>
      </c>
      <c r="W63" s="115">
        <v>5237</v>
      </c>
    </row>
    <row r="64" spans="1:23" x14ac:dyDescent="0.2">
      <c r="A64" s="116">
        <v>52</v>
      </c>
      <c r="B64" s="618" t="s">
        <v>144</v>
      </c>
      <c r="C64" s="31" t="s">
        <v>145</v>
      </c>
      <c r="D64" s="135">
        <f t="shared" si="2"/>
        <v>0</v>
      </c>
      <c r="E64" s="135">
        <f t="shared" si="0"/>
        <v>0</v>
      </c>
      <c r="F64" s="114">
        <v>0</v>
      </c>
      <c r="G64" s="114">
        <v>0</v>
      </c>
      <c r="H64" s="114">
        <v>0</v>
      </c>
      <c r="I64" s="135">
        <f t="shared" si="9"/>
        <v>0</v>
      </c>
      <c r="J64" s="114">
        <v>0</v>
      </c>
      <c r="K64" s="114">
        <v>0</v>
      </c>
      <c r="L64" s="114">
        <v>0</v>
      </c>
      <c r="M64" s="114">
        <f t="shared" si="6"/>
        <v>0</v>
      </c>
      <c r="N64" s="114">
        <v>0</v>
      </c>
      <c r="O64" s="114">
        <v>0</v>
      </c>
      <c r="P64" s="135">
        <f t="shared" si="7"/>
        <v>0</v>
      </c>
      <c r="Q64" s="114">
        <v>0</v>
      </c>
      <c r="R64" s="114">
        <v>0</v>
      </c>
      <c r="S64" s="135">
        <f t="shared" si="8"/>
        <v>0</v>
      </c>
      <c r="T64" s="115">
        <v>0</v>
      </c>
      <c r="U64" s="115">
        <v>0</v>
      </c>
      <c r="V64" s="115">
        <v>0</v>
      </c>
      <c r="W64" s="115">
        <v>0</v>
      </c>
    </row>
    <row r="65" spans="1:23" x14ac:dyDescent="0.2">
      <c r="A65" s="116">
        <v>53</v>
      </c>
      <c r="B65" s="618" t="s">
        <v>146</v>
      </c>
      <c r="C65" s="31" t="s">
        <v>147</v>
      </c>
      <c r="D65" s="135">
        <f t="shared" si="2"/>
        <v>0</v>
      </c>
      <c r="E65" s="135">
        <f t="shared" si="0"/>
        <v>0</v>
      </c>
      <c r="F65" s="114">
        <v>0</v>
      </c>
      <c r="G65" s="114">
        <v>0</v>
      </c>
      <c r="H65" s="114">
        <v>0</v>
      </c>
      <c r="I65" s="135">
        <f t="shared" si="9"/>
        <v>0</v>
      </c>
      <c r="J65" s="114">
        <v>0</v>
      </c>
      <c r="K65" s="114">
        <v>0</v>
      </c>
      <c r="L65" s="114">
        <v>0</v>
      </c>
      <c r="M65" s="114">
        <f t="shared" si="6"/>
        <v>0</v>
      </c>
      <c r="N65" s="114">
        <v>0</v>
      </c>
      <c r="O65" s="114">
        <v>0</v>
      </c>
      <c r="P65" s="135">
        <f t="shared" si="7"/>
        <v>0</v>
      </c>
      <c r="Q65" s="114">
        <v>0</v>
      </c>
      <c r="R65" s="114">
        <v>0</v>
      </c>
      <c r="S65" s="135">
        <f t="shared" si="8"/>
        <v>0</v>
      </c>
      <c r="T65" s="115">
        <v>0</v>
      </c>
      <c r="U65" s="115">
        <v>0</v>
      </c>
      <c r="V65" s="115">
        <v>0</v>
      </c>
      <c r="W65" s="115">
        <v>0</v>
      </c>
    </row>
    <row r="66" spans="1:23" x14ac:dyDescent="0.2">
      <c r="A66" s="116">
        <v>54</v>
      </c>
      <c r="B66" s="618" t="s">
        <v>148</v>
      </c>
      <c r="C66" s="31" t="s">
        <v>149</v>
      </c>
      <c r="D66" s="135">
        <f t="shared" si="2"/>
        <v>203954</v>
      </c>
      <c r="E66" s="135">
        <f t="shared" si="0"/>
        <v>39008</v>
      </c>
      <c r="F66" s="114">
        <v>0</v>
      </c>
      <c r="G66" s="114">
        <v>0</v>
      </c>
      <c r="H66" s="114">
        <v>39008</v>
      </c>
      <c r="I66" s="135">
        <f t="shared" si="9"/>
        <v>205</v>
      </c>
      <c r="J66" s="114">
        <v>0</v>
      </c>
      <c r="K66" s="114">
        <v>0</v>
      </c>
      <c r="L66" s="114">
        <v>0</v>
      </c>
      <c r="M66" s="114">
        <f t="shared" si="6"/>
        <v>205</v>
      </c>
      <c r="N66" s="114">
        <v>135</v>
      </c>
      <c r="O66" s="114">
        <v>70</v>
      </c>
      <c r="P66" s="135">
        <f t="shared" si="7"/>
        <v>0</v>
      </c>
      <c r="Q66" s="114">
        <v>0</v>
      </c>
      <c r="R66" s="114">
        <v>0</v>
      </c>
      <c r="S66" s="135">
        <f t="shared" si="8"/>
        <v>164741</v>
      </c>
      <c r="T66" s="115">
        <v>0</v>
      </c>
      <c r="U66" s="115">
        <v>91341</v>
      </c>
      <c r="V66" s="115">
        <v>0</v>
      </c>
      <c r="W66" s="115">
        <v>73400</v>
      </c>
    </row>
    <row r="67" spans="1:23" x14ac:dyDescent="0.2">
      <c r="A67" s="116">
        <v>55</v>
      </c>
      <c r="B67" s="72" t="s">
        <v>150</v>
      </c>
      <c r="C67" s="31" t="s">
        <v>151</v>
      </c>
      <c r="D67" s="135">
        <f t="shared" si="2"/>
        <v>155310</v>
      </c>
      <c r="E67" s="135">
        <f t="shared" si="0"/>
        <v>29930</v>
      </c>
      <c r="F67" s="114">
        <v>0</v>
      </c>
      <c r="G67" s="114">
        <v>0</v>
      </c>
      <c r="H67" s="114">
        <v>29930</v>
      </c>
      <c r="I67" s="135">
        <f t="shared" si="9"/>
        <v>332</v>
      </c>
      <c r="J67" s="114">
        <v>0</v>
      </c>
      <c r="K67" s="114">
        <v>0</v>
      </c>
      <c r="L67" s="114">
        <v>0</v>
      </c>
      <c r="M67" s="114">
        <f t="shared" si="6"/>
        <v>332</v>
      </c>
      <c r="N67" s="114">
        <v>194</v>
      </c>
      <c r="O67" s="114">
        <v>138</v>
      </c>
      <c r="P67" s="135">
        <f t="shared" si="7"/>
        <v>0</v>
      </c>
      <c r="Q67" s="114">
        <v>0</v>
      </c>
      <c r="R67" s="114">
        <v>0</v>
      </c>
      <c r="S67" s="135">
        <f t="shared" si="8"/>
        <v>125048</v>
      </c>
      <c r="T67" s="115">
        <v>0</v>
      </c>
      <c r="U67" s="115">
        <v>64988</v>
      </c>
      <c r="V67" s="115">
        <v>0</v>
      </c>
      <c r="W67" s="115">
        <v>60060</v>
      </c>
    </row>
    <row r="68" spans="1:23" x14ac:dyDescent="0.2">
      <c r="A68" s="116">
        <v>56</v>
      </c>
      <c r="B68" s="72" t="s">
        <v>154</v>
      </c>
      <c r="C68" s="31" t="s">
        <v>155</v>
      </c>
      <c r="D68" s="135">
        <f t="shared" si="2"/>
        <v>306625</v>
      </c>
      <c r="E68" s="135">
        <f t="shared" si="0"/>
        <v>57606</v>
      </c>
      <c r="F68" s="114">
        <v>0</v>
      </c>
      <c r="G68" s="114">
        <v>0</v>
      </c>
      <c r="H68" s="114">
        <v>57606</v>
      </c>
      <c r="I68" s="135">
        <f t="shared" si="9"/>
        <v>284</v>
      </c>
      <c r="J68" s="114">
        <v>0</v>
      </c>
      <c r="K68" s="114">
        <v>0</v>
      </c>
      <c r="L68" s="114">
        <v>0</v>
      </c>
      <c r="M68" s="114">
        <f t="shared" si="6"/>
        <v>284</v>
      </c>
      <c r="N68" s="114">
        <v>60</v>
      </c>
      <c r="O68" s="114">
        <v>224</v>
      </c>
      <c r="P68" s="135">
        <f t="shared" si="7"/>
        <v>0</v>
      </c>
      <c r="Q68" s="114">
        <v>0</v>
      </c>
      <c r="R68" s="114">
        <v>0</v>
      </c>
      <c r="S68" s="135">
        <f t="shared" si="8"/>
        <v>248735</v>
      </c>
      <c r="T68" s="115">
        <v>0</v>
      </c>
      <c r="U68" s="115">
        <v>133735</v>
      </c>
      <c r="V68" s="115">
        <v>0</v>
      </c>
      <c r="W68" s="115">
        <v>115000</v>
      </c>
    </row>
    <row r="69" spans="1:23" ht="24" x14ac:dyDescent="0.2">
      <c r="A69" s="116">
        <v>57</v>
      </c>
      <c r="B69" s="71" t="s">
        <v>158</v>
      </c>
      <c r="C69" s="31" t="s">
        <v>159</v>
      </c>
      <c r="D69" s="135">
        <f t="shared" si="2"/>
        <v>33833</v>
      </c>
      <c r="E69" s="135">
        <f t="shared" si="0"/>
        <v>0</v>
      </c>
      <c r="F69" s="114">
        <v>0</v>
      </c>
      <c r="G69" s="114">
        <v>0</v>
      </c>
      <c r="H69" s="114">
        <v>0</v>
      </c>
      <c r="I69" s="135">
        <f t="shared" si="9"/>
        <v>0</v>
      </c>
      <c r="J69" s="114">
        <v>0</v>
      </c>
      <c r="K69" s="114">
        <v>0</v>
      </c>
      <c r="L69" s="114">
        <v>0</v>
      </c>
      <c r="M69" s="114">
        <f t="shared" si="6"/>
        <v>0</v>
      </c>
      <c r="N69" s="114">
        <v>0</v>
      </c>
      <c r="O69" s="114">
        <v>0</v>
      </c>
      <c r="P69" s="135">
        <f t="shared" si="7"/>
        <v>0</v>
      </c>
      <c r="Q69" s="114">
        <v>0</v>
      </c>
      <c r="R69" s="114">
        <v>0</v>
      </c>
      <c r="S69" s="135">
        <f t="shared" si="8"/>
        <v>33833</v>
      </c>
      <c r="T69" s="115">
        <v>0</v>
      </c>
      <c r="U69" s="115">
        <v>30354</v>
      </c>
      <c r="V69" s="115">
        <v>3479</v>
      </c>
      <c r="W69" s="115">
        <v>0</v>
      </c>
    </row>
    <row r="70" spans="1:23" ht="24" x14ac:dyDescent="0.2">
      <c r="A70" s="116">
        <v>58</v>
      </c>
      <c r="B70" s="71" t="s">
        <v>160</v>
      </c>
      <c r="C70" s="31" t="s">
        <v>161</v>
      </c>
      <c r="D70" s="135">
        <f t="shared" si="2"/>
        <v>31475</v>
      </c>
      <c r="E70" s="135">
        <f t="shared" si="0"/>
        <v>0</v>
      </c>
      <c r="F70" s="114">
        <v>0</v>
      </c>
      <c r="G70" s="114">
        <v>0</v>
      </c>
      <c r="H70" s="114">
        <v>0</v>
      </c>
      <c r="I70" s="135">
        <f t="shared" si="9"/>
        <v>0</v>
      </c>
      <c r="J70" s="114">
        <v>0</v>
      </c>
      <c r="K70" s="114">
        <v>0</v>
      </c>
      <c r="L70" s="114">
        <v>0</v>
      </c>
      <c r="M70" s="114">
        <f t="shared" si="6"/>
        <v>0</v>
      </c>
      <c r="N70" s="114">
        <v>0</v>
      </c>
      <c r="O70" s="114">
        <v>0</v>
      </c>
      <c r="P70" s="135">
        <f t="shared" si="7"/>
        <v>0</v>
      </c>
      <c r="Q70" s="114">
        <v>0</v>
      </c>
      <c r="R70" s="114">
        <v>0</v>
      </c>
      <c r="S70" s="135">
        <f t="shared" si="8"/>
        <v>31475</v>
      </c>
      <c r="T70" s="115">
        <v>0</v>
      </c>
      <c r="U70" s="115">
        <v>23397</v>
      </c>
      <c r="V70" s="115">
        <v>8078</v>
      </c>
      <c r="W70" s="115">
        <v>0</v>
      </c>
    </row>
    <row r="71" spans="1:23" x14ac:dyDescent="0.2">
      <c r="A71" s="116">
        <v>59</v>
      </c>
      <c r="B71" s="72" t="s">
        <v>162</v>
      </c>
      <c r="C71" s="31" t="s">
        <v>163</v>
      </c>
      <c r="D71" s="135">
        <f t="shared" si="2"/>
        <v>200604</v>
      </c>
      <c r="E71" s="135">
        <f t="shared" si="0"/>
        <v>4907</v>
      </c>
      <c r="F71" s="114">
        <v>4907</v>
      </c>
      <c r="G71" s="114">
        <v>247</v>
      </c>
      <c r="H71" s="114">
        <v>0</v>
      </c>
      <c r="I71" s="135">
        <f t="shared" si="9"/>
        <v>46302</v>
      </c>
      <c r="J71" s="114">
        <v>46302</v>
      </c>
      <c r="K71" s="114">
        <v>1146</v>
      </c>
      <c r="L71" s="114">
        <v>5370</v>
      </c>
      <c r="M71" s="114">
        <f t="shared" si="6"/>
        <v>0</v>
      </c>
      <c r="N71" s="114">
        <v>0</v>
      </c>
      <c r="O71" s="114">
        <v>0</v>
      </c>
      <c r="P71" s="135">
        <f t="shared" si="7"/>
        <v>16782</v>
      </c>
      <c r="Q71" s="114">
        <v>9255</v>
      </c>
      <c r="R71" s="114">
        <v>7527</v>
      </c>
      <c r="S71" s="135">
        <f t="shared" si="8"/>
        <v>132613</v>
      </c>
      <c r="T71" s="115">
        <v>38269</v>
      </c>
      <c r="U71" s="115">
        <v>77469</v>
      </c>
      <c r="V71" s="115">
        <v>991</v>
      </c>
      <c r="W71" s="115">
        <v>15884</v>
      </c>
    </row>
    <row r="72" spans="1:23" x14ac:dyDescent="0.2">
      <c r="A72" s="116">
        <v>60</v>
      </c>
      <c r="B72" s="72" t="s">
        <v>164</v>
      </c>
      <c r="C72" s="31" t="s">
        <v>165</v>
      </c>
      <c r="D72" s="135">
        <f t="shared" si="2"/>
        <v>93680</v>
      </c>
      <c r="E72" s="135">
        <f t="shared" si="0"/>
        <v>2842</v>
      </c>
      <c r="F72" s="114">
        <v>2842</v>
      </c>
      <c r="G72" s="114">
        <v>50</v>
      </c>
      <c r="H72" s="114">
        <v>0</v>
      </c>
      <c r="I72" s="135">
        <f t="shared" si="9"/>
        <v>26814</v>
      </c>
      <c r="J72" s="114">
        <v>26814</v>
      </c>
      <c r="K72" s="114">
        <v>140</v>
      </c>
      <c r="L72" s="114">
        <v>3110</v>
      </c>
      <c r="M72" s="114">
        <f t="shared" si="6"/>
        <v>0</v>
      </c>
      <c r="N72" s="114">
        <v>0</v>
      </c>
      <c r="O72" s="114">
        <v>0</v>
      </c>
      <c r="P72" s="135">
        <f t="shared" si="7"/>
        <v>9583</v>
      </c>
      <c r="Q72" s="114">
        <v>5304</v>
      </c>
      <c r="R72" s="114">
        <v>4279</v>
      </c>
      <c r="S72" s="135">
        <f t="shared" si="8"/>
        <v>54441</v>
      </c>
      <c r="T72" s="115">
        <v>27602</v>
      </c>
      <c r="U72" s="115">
        <v>18947</v>
      </c>
      <c r="V72" s="115">
        <v>0</v>
      </c>
      <c r="W72" s="115">
        <v>7892</v>
      </c>
    </row>
    <row r="73" spans="1:23" x14ac:dyDescent="0.2">
      <c r="A73" s="116">
        <v>61</v>
      </c>
      <c r="B73" s="72" t="s">
        <v>166</v>
      </c>
      <c r="C73" s="31" t="s">
        <v>167</v>
      </c>
      <c r="D73" s="135">
        <f t="shared" si="2"/>
        <v>260731</v>
      </c>
      <c r="E73" s="135">
        <f t="shared" ref="E73:E138" si="10">F73+H73</f>
        <v>5524</v>
      </c>
      <c r="F73" s="114">
        <v>5524</v>
      </c>
      <c r="G73" s="114">
        <v>1290</v>
      </c>
      <c r="H73" s="114">
        <v>0</v>
      </c>
      <c r="I73" s="135">
        <f t="shared" si="9"/>
        <v>62557</v>
      </c>
      <c r="J73" s="114">
        <v>62557</v>
      </c>
      <c r="K73" s="114">
        <v>2651</v>
      </c>
      <c r="L73" s="114">
        <v>7139</v>
      </c>
      <c r="M73" s="114">
        <f t="shared" si="6"/>
        <v>0</v>
      </c>
      <c r="N73" s="114">
        <v>0</v>
      </c>
      <c r="O73" s="114">
        <v>0</v>
      </c>
      <c r="P73" s="135">
        <f t="shared" si="7"/>
        <v>22252</v>
      </c>
      <c r="Q73" s="114">
        <v>12230</v>
      </c>
      <c r="R73" s="114">
        <v>10022</v>
      </c>
      <c r="S73" s="135">
        <f t="shared" si="8"/>
        <v>170398</v>
      </c>
      <c r="T73" s="115">
        <v>77380</v>
      </c>
      <c r="U73" s="115">
        <v>79160</v>
      </c>
      <c r="V73" s="115">
        <v>0</v>
      </c>
      <c r="W73" s="115">
        <v>13858</v>
      </c>
    </row>
    <row r="74" spans="1:23" ht="36" x14ac:dyDescent="0.2">
      <c r="A74" s="901">
        <v>62</v>
      </c>
      <c r="B74" s="49" t="s">
        <v>170</v>
      </c>
      <c r="C74" s="57" t="s">
        <v>774</v>
      </c>
      <c r="D74" s="135">
        <f t="shared" ref="D74:D137" si="11">E74+I74+P74+S74</f>
        <v>46954</v>
      </c>
      <c r="E74" s="135">
        <f t="shared" si="10"/>
        <v>0</v>
      </c>
      <c r="F74" s="622">
        <v>0</v>
      </c>
      <c r="G74" s="622">
        <v>0</v>
      </c>
      <c r="H74" s="622">
        <v>0</v>
      </c>
      <c r="I74" s="135">
        <f t="shared" si="9"/>
        <v>0</v>
      </c>
      <c r="J74" s="622">
        <v>0</v>
      </c>
      <c r="K74" s="622">
        <v>0</v>
      </c>
      <c r="L74" s="622">
        <v>0</v>
      </c>
      <c r="M74" s="622">
        <f t="shared" si="6"/>
        <v>0</v>
      </c>
      <c r="N74" s="622">
        <v>0</v>
      </c>
      <c r="O74" s="622">
        <v>0</v>
      </c>
      <c r="P74" s="135">
        <f t="shared" si="7"/>
        <v>0</v>
      </c>
      <c r="Q74" s="622">
        <v>0</v>
      </c>
      <c r="R74" s="622">
        <v>0</v>
      </c>
      <c r="S74" s="135">
        <f t="shared" ref="S74:S137" si="12">SUM(T74:X74)</f>
        <v>46954</v>
      </c>
      <c r="T74" s="623">
        <v>2703</v>
      </c>
      <c r="U74" s="623">
        <v>41185</v>
      </c>
      <c r="V74" s="623">
        <v>320</v>
      </c>
      <c r="W74" s="623">
        <v>2746</v>
      </c>
    </row>
    <row r="75" spans="1:23" ht="24" x14ac:dyDescent="0.2">
      <c r="A75" s="902"/>
      <c r="B75" s="52" t="s">
        <v>168</v>
      </c>
      <c r="C75" s="50" t="s">
        <v>169</v>
      </c>
      <c r="D75" s="135">
        <f t="shared" si="11"/>
        <v>4887</v>
      </c>
      <c r="E75" s="135">
        <f t="shared" si="10"/>
        <v>0</v>
      </c>
      <c r="F75" s="622"/>
      <c r="G75" s="622"/>
      <c r="H75" s="622"/>
      <c r="I75" s="135">
        <f t="shared" si="9"/>
        <v>0</v>
      </c>
      <c r="J75" s="622"/>
      <c r="K75" s="622"/>
      <c r="L75" s="622"/>
      <c r="M75" s="622"/>
      <c r="N75" s="622"/>
      <c r="O75" s="622"/>
      <c r="P75" s="135">
        <f t="shared" si="7"/>
        <v>0</v>
      </c>
      <c r="Q75" s="622"/>
      <c r="R75" s="622"/>
      <c r="S75" s="135">
        <f t="shared" si="12"/>
        <v>4887</v>
      </c>
      <c r="T75" s="623">
        <v>0</v>
      </c>
      <c r="U75" s="623">
        <v>4526</v>
      </c>
      <c r="V75" s="623">
        <v>0</v>
      </c>
      <c r="W75" s="623">
        <v>361</v>
      </c>
    </row>
    <row r="76" spans="1:23" ht="24" x14ac:dyDescent="0.2">
      <c r="A76" s="903"/>
      <c r="B76" s="52" t="s">
        <v>174</v>
      </c>
      <c r="C76" s="50" t="s">
        <v>175</v>
      </c>
      <c r="D76" s="135">
        <f t="shared" si="11"/>
        <v>6306</v>
      </c>
      <c r="E76" s="135">
        <f t="shared" si="10"/>
        <v>0</v>
      </c>
      <c r="F76" s="622">
        <v>0</v>
      </c>
      <c r="G76" s="622">
        <v>0</v>
      </c>
      <c r="H76" s="622">
        <v>0</v>
      </c>
      <c r="I76" s="135">
        <f t="shared" si="9"/>
        <v>0</v>
      </c>
      <c r="J76" s="622">
        <v>0</v>
      </c>
      <c r="K76" s="622">
        <v>0</v>
      </c>
      <c r="L76" s="622">
        <v>0</v>
      </c>
      <c r="M76" s="622">
        <f t="shared" ref="M76:M139" si="13">N76+O76</f>
        <v>0</v>
      </c>
      <c r="N76" s="622">
        <v>0</v>
      </c>
      <c r="O76" s="622">
        <v>0</v>
      </c>
      <c r="P76" s="135">
        <f t="shared" ref="P76:P139" si="14">Q76+R76</f>
        <v>0</v>
      </c>
      <c r="Q76" s="622">
        <v>0</v>
      </c>
      <c r="R76" s="622">
        <v>0</v>
      </c>
      <c r="S76" s="135">
        <f t="shared" si="12"/>
        <v>6306</v>
      </c>
      <c r="T76" s="623">
        <v>901</v>
      </c>
      <c r="U76" s="623">
        <v>4851</v>
      </c>
      <c r="V76" s="623">
        <v>0</v>
      </c>
      <c r="W76" s="623">
        <v>554</v>
      </c>
    </row>
    <row r="77" spans="1:23" ht="36" x14ac:dyDescent="0.2">
      <c r="A77" s="901">
        <v>63</v>
      </c>
      <c r="B77" s="624" t="s">
        <v>176</v>
      </c>
      <c r="C77" s="57" t="s">
        <v>777</v>
      </c>
      <c r="D77" s="135">
        <f t="shared" si="11"/>
        <v>73485</v>
      </c>
      <c r="E77" s="135">
        <f t="shared" si="10"/>
        <v>0</v>
      </c>
      <c r="F77" s="622">
        <v>0</v>
      </c>
      <c r="G77" s="622">
        <v>0</v>
      </c>
      <c r="H77" s="622">
        <v>0</v>
      </c>
      <c r="I77" s="135">
        <f t="shared" ref="I77:I141" si="15">J77+M77</f>
        <v>0</v>
      </c>
      <c r="J77" s="622">
        <v>0</v>
      </c>
      <c r="K77" s="622">
        <v>0</v>
      </c>
      <c r="L77" s="622">
        <v>0</v>
      </c>
      <c r="M77" s="622">
        <f t="shared" si="13"/>
        <v>0</v>
      </c>
      <c r="N77" s="622">
        <v>0</v>
      </c>
      <c r="O77" s="622">
        <v>0</v>
      </c>
      <c r="P77" s="135">
        <f t="shared" si="14"/>
        <v>0</v>
      </c>
      <c r="Q77" s="622">
        <v>0</v>
      </c>
      <c r="R77" s="622">
        <v>0</v>
      </c>
      <c r="S77" s="135">
        <f t="shared" si="12"/>
        <v>73485</v>
      </c>
      <c r="T77" s="623">
        <v>68</v>
      </c>
      <c r="U77" s="623">
        <v>62574</v>
      </c>
      <c r="V77" s="623">
        <v>5062</v>
      </c>
      <c r="W77" s="623">
        <v>5781</v>
      </c>
    </row>
    <row r="78" spans="1:23" ht="24" x14ac:dyDescent="0.2">
      <c r="A78" s="902"/>
      <c r="B78" s="52" t="s">
        <v>172</v>
      </c>
      <c r="C78" s="50" t="s">
        <v>173</v>
      </c>
      <c r="D78" s="135">
        <f t="shared" si="11"/>
        <v>5557</v>
      </c>
      <c r="E78" s="135">
        <f t="shared" si="10"/>
        <v>0</v>
      </c>
      <c r="F78" s="622">
        <v>0</v>
      </c>
      <c r="G78" s="622">
        <v>0</v>
      </c>
      <c r="H78" s="622">
        <v>0</v>
      </c>
      <c r="I78" s="135">
        <f t="shared" si="15"/>
        <v>0</v>
      </c>
      <c r="J78" s="622">
        <v>0</v>
      </c>
      <c r="K78" s="622">
        <v>0</v>
      </c>
      <c r="L78" s="622">
        <v>0</v>
      </c>
      <c r="M78" s="622">
        <f t="shared" si="13"/>
        <v>0</v>
      </c>
      <c r="N78" s="622">
        <v>0</v>
      </c>
      <c r="O78" s="622">
        <v>0</v>
      </c>
      <c r="P78" s="135">
        <f t="shared" si="14"/>
        <v>0</v>
      </c>
      <c r="Q78" s="622">
        <v>0</v>
      </c>
      <c r="R78" s="622">
        <v>0</v>
      </c>
      <c r="S78" s="135">
        <f t="shared" si="12"/>
        <v>5557</v>
      </c>
      <c r="T78" s="623">
        <v>23</v>
      </c>
      <c r="U78" s="623">
        <v>5391</v>
      </c>
      <c r="V78" s="623">
        <v>48</v>
      </c>
      <c r="W78" s="623">
        <v>95</v>
      </c>
    </row>
    <row r="79" spans="1:23" ht="24" x14ac:dyDescent="0.2">
      <c r="A79" s="902"/>
      <c r="B79" s="49" t="s">
        <v>178</v>
      </c>
      <c r="C79" s="50" t="s">
        <v>179</v>
      </c>
      <c r="D79" s="135">
        <f t="shared" si="11"/>
        <v>5421</v>
      </c>
      <c r="E79" s="135">
        <f t="shared" si="10"/>
        <v>0</v>
      </c>
      <c r="F79" s="622">
        <v>0</v>
      </c>
      <c r="G79" s="622">
        <v>0</v>
      </c>
      <c r="H79" s="622">
        <v>0</v>
      </c>
      <c r="I79" s="135">
        <f t="shared" si="15"/>
        <v>0</v>
      </c>
      <c r="J79" s="622">
        <v>0</v>
      </c>
      <c r="K79" s="622">
        <v>0</v>
      </c>
      <c r="L79" s="622">
        <v>0</v>
      </c>
      <c r="M79" s="622">
        <f t="shared" si="13"/>
        <v>0</v>
      </c>
      <c r="N79" s="622">
        <v>0</v>
      </c>
      <c r="O79" s="622">
        <v>0</v>
      </c>
      <c r="P79" s="135">
        <f t="shared" si="14"/>
        <v>0</v>
      </c>
      <c r="Q79" s="622">
        <v>0</v>
      </c>
      <c r="R79" s="622">
        <v>0</v>
      </c>
      <c r="S79" s="135">
        <f t="shared" si="12"/>
        <v>5421</v>
      </c>
      <c r="T79" s="623">
        <v>0</v>
      </c>
      <c r="U79" s="623">
        <v>4595</v>
      </c>
      <c r="V79" s="623">
        <v>612</v>
      </c>
      <c r="W79" s="623">
        <v>214</v>
      </c>
    </row>
    <row r="80" spans="1:23" ht="24" x14ac:dyDescent="0.2">
      <c r="A80" s="903"/>
      <c r="B80" s="49" t="s">
        <v>180</v>
      </c>
      <c r="C80" s="50" t="s">
        <v>181</v>
      </c>
      <c r="D80" s="135">
        <f t="shared" si="11"/>
        <v>4973</v>
      </c>
      <c r="E80" s="135">
        <f t="shared" si="10"/>
        <v>0</v>
      </c>
      <c r="F80" s="622">
        <v>0</v>
      </c>
      <c r="G80" s="622">
        <v>0</v>
      </c>
      <c r="H80" s="622">
        <v>0</v>
      </c>
      <c r="I80" s="135">
        <f t="shared" si="15"/>
        <v>0</v>
      </c>
      <c r="J80" s="622">
        <v>0</v>
      </c>
      <c r="K80" s="622">
        <v>0</v>
      </c>
      <c r="L80" s="622">
        <v>0</v>
      </c>
      <c r="M80" s="622">
        <f t="shared" si="13"/>
        <v>0</v>
      </c>
      <c r="N80" s="622">
        <v>0</v>
      </c>
      <c r="O80" s="622">
        <v>0</v>
      </c>
      <c r="P80" s="135">
        <f t="shared" si="14"/>
        <v>0</v>
      </c>
      <c r="Q80" s="622">
        <v>0</v>
      </c>
      <c r="R80" s="622">
        <v>0</v>
      </c>
      <c r="S80" s="135">
        <f t="shared" si="12"/>
        <v>4973</v>
      </c>
      <c r="T80" s="623">
        <v>0</v>
      </c>
      <c r="U80" s="623">
        <v>3591</v>
      </c>
      <c r="V80" s="623">
        <v>257</v>
      </c>
      <c r="W80" s="623">
        <v>1125</v>
      </c>
    </row>
    <row r="81" spans="1:23" x14ac:dyDescent="0.2">
      <c r="A81" s="161">
        <v>64</v>
      </c>
      <c r="B81" s="167" t="s">
        <v>182</v>
      </c>
      <c r="C81" s="50" t="s">
        <v>183</v>
      </c>
      <c r="D81" s="135">
        <f t="shared" si="11"/>
        <v>288957</v>
      </c>
      <c r="E81" s="135">
        <f t="shared" si="10"/>
        <v>29595</v>
      </c>
      <c r="F81" s="622">
        <v>3807</v>
      </c>
      <c r="G81" s="622">
        <v>712</v>
      </c>
      <c r="H81" s="622">
        <v>25788</v>
      </c>
      <c r="I81" s="135">
        <f t="shared" si="15"/>
        <v>36112</v>
      </c>
      <c r="J81" s="622">
        <v>35920</v>
      </c>
      <c r="K81" s="622">
        <v>1721</v>
      </c>
      <c r="L81" s="622">
        <v>4166</v>
      </c>
      <c r="M81" s="622">
        <f t="shared" si="13"/>
        <v>192</v>
      </c>
      <c r="N81" s="622">
        <v>105</v>
      </c>
      <c r="O81" s="622">
        <v>87</v>
      </c>
      <c r="P81" s="135">
        <f t="shared" si="14"/>
        <v>14080</v>
      </c>
      <c r="Q81" s="622">
        <v>7649</v>
      </c>
      <c r="R81" s="622">
        <v>6431</v>
      </c>
      <c r="S81" s="135">
        <f t="shared" si="12"/>
        <v>209170</v>
      </c>
      <c r="T81" s="623">
        <v>25758</v>
      </c>
      <c r="U81" s="623">
        <v>105131</v>
      </c>
      <c r="V81" s="623">
        <v>12593</v>
      </c>
      <c r="W81" s="623">
        <v>65688</v>
      </c>
    </row>
    <row r="82" spans="1:23" x14ac:dyDescent="0.2">
      <c r="A82" s="161">
        <v>65</v>
      </c>
      <c r="B82" s="49" t="s">
        <v>184</v>
      </c>
      <c r="C82" s="50" t="s">
        <v>185</v>
      </c>
      <c r="D82" s="135">
        <f t="shared" si="11"/>
        <v>377473</v>
      </c>
      <c r="E82" s="135">
        <f t="shared" si="10"/>
        <v>12205</v>
      </c>
      <c r="F82" s="622">
        <v>9180</v>
      </c>
      <c r="G82" s="622">
        <v>530</v>
      </c>
      <c r="H82" s="622">
        <v>3025</v>
      </c>
      <c r="I82" s="135">
        <f t="shared" si="15"/>
        <v>86619</v>
      </c>
      <c r="J82" s="622">
        <v>86619</v>
      </c>
      <c r="K82" s="622">
        <v>2000</v>
      </c>
      <c r="L82" s="622">
        <v>10046</v>
      </c>
      <c r="M82" s="622">
        <f t="shared" si="13"/>
        <v>0</v>
      </c>
      <c r="N82" s="622">
        <v>0</v>
      </c>
      <c r="O82" s="622">
        <v>0</v>
      </c>
      <c r="P82" s="135">
        <f t="shared" si="14"/>
        <v>34561</v>
      </c>
      <c r="Q82" s="622">
        <v>19396</v>
      </c>
      <c r="R82" s="622">
        <v>15165</v>
      </c>
      <c r="S82" s="135">
        <f t="shared" si="12"/>
        <v>244088</v>
      </c>
      <c r="T82" s="623">
        <v>86638</v>
      </c>
      <c r="U82" s="623">
        <v>120765</v>
      </c>
      <c r="V82" s="623">
        <v>5933</v>
      </c>
      <c r="W82" s="623">
        <v>30752</v>
      </c>
    </row>
    <row r="83" spans="1:23" x14ac:dyDescent="0.2">
      <c r="A83" s="161">
        <v>66</v>
      </c>
      <c r="B83" s="167" t="s">
        <v>186</v>
      </c>
      <c r="C83" s="50" t="s">
        <v>187</v>
      </c>
      <c r="D83" s="135">
        <f t="shared" si="11"/>
        <v>176396</v>
      </c>
      <c r="E83" s="135">
        <f t="shared" si="10"/>
        <v>4993</v>
      </c>
      <c r="F83" s="622">
        <v>4993</v>
      </c>
      <c r="G83" s="622">
        <v>312</v>
      </c>
      <c r="H83" s="622">
        <v>0</v>
      </c>
      <c r="I83" s="135">
        <f t="shared" si="15"/>
        <v>47112</v>
      </c>
      <c r="J83" s="622">
        <v>47112</v>
      </c>
      <c r="K83" s="622">
        <v>1020</v>
      </c>
      <c r="L83" s="622">
        <v>5464</v>
      </c>
      <c r="M83" s="622">
        <f t="shared" si="13"/>
        <v>0</v>
      </c>
      <c r="N83" s="622">
        <v>0</v>
      </c>
      <c r="O83" s="622">
        <v>0</v>
      </c>
      <c r="P83" s="135">
        <f t="shared" si="14"/>
        <v>16783</v>
      </c>
      <c r="Q83" s="622">
        <v>8785</v>
      </c>
      <c r="R83" s="622">
        <v>7998</v>
      </c>
      <c r="S83" s="135">
        <f t="shared" si="12"/>
        <v>107508</v>
      </c>
      <c r="T83" s="623">
        <v>70649</v>
      </c>
      <c r="U83" s="623">
        <v>18384</v>
      </c>
      <c r="V83" s="623">
        <v>5586</v>
      </c>
      <c r="W83" s="623">
        <v>12889</v>
      </c>
    </row>
    <row r="84" spans="1:23" ht="22.5" customHeight="1" x14ac:dyDescent="0.2">
      <c r="A84" s="901">
        <v>67</v>
      </c>
      <c r="B84" s="624" t="s">
        <v>188</v>
      </c>
      <c r="C84" s="57" t="s">
        <v>785</v>
      </c>
      <c r="D84" s="135">
        <f t="shared" si="11"/>
        <v>317441</v>
      </c>
      <c r="E84" s="135">
        <f t="shared" si="10"/>
        <v>36938</v>
      </c>
      <c r="F84" s="622">
        <v>3389</v>
      </c>
      <c r="G84" s="622">
        <v>745</v>
      </c>
      <c r="H84" s="622">
        <v>33549</v>
      </c>
      <c r="I84" s="135">
        <f t="shared" si="15"/>
        <v>32122</v>
      </c>
      <c r="J84" s="622">
        <v>31974</v>
      </c>
      <c r="K84" s="622">
        <v>2457</v>
      </c>
      <c r="L84" s="622">
        <v>3708</v>
      </c>
      <c r="M84" s="622">
        <f t="shared" si="13"/>
        <v>148</v>
      </c>
      <c r="N84" s="622">
        <v>8</v>
      </c>
      <c r="O84" s="622">
        <v>140</v>
      </c>
      <c r="P84" s="135">
        <f t="shared" si="14"/>
        <v>12143</v>
      </c>
      <c r="Q84" s="622">
        <v>6612</v>
      </c>
      <c r="R84" s="622">
        <v>5531</v>
      </c>
      <c r="S84" s="135">
        <f t="shared" si="12"/>
        <v>236238</v>
      </c>
      <c r="T84" s="623">
        <v>33879</v>
      </c>
      <c r="U84" s="623">
        <v>137939</v>
      </c>
      <c r="V84" s="623">
        <v>7147</v>
      </c>
      <c r="W84" s="623">
        <v>57273</v>
      </c>
    </row>
    <row r="85" spans="1:23" ht="23.25" customHeight="1" x14ac:dyDescent="0.2">
      <c r="A85" s="903"/>
      <c r="B85" s="167" t="s">
        <v>156</v>
      </c>
      <c r="C85" s="50" t="s">
        <v>157</v>
      </c>
      <c r="D85" s="135">
        <f t="shared" si="11"/>
        <v>60588</v>
      </c>
      <c r="E85" s="135">
        <f t="shared" si="10"/>
        <v>12347</v>
      </c>
      <c r="F85" s="622">
        <v>0</v>
      </c>
      <c r="G85" s="622">
        <v>0</v>
      </c>
      <c r="H85" s="622">
        <v>12347</v>
      </c>
      <c r="I85" s="135">
        <f t="shared" si="15"/>
        <v>133</v>
      </c>
      <c r="J85" s="622">
        <v>0</v>
      </c>
      <c r="K85" s="622">
        <v>0</v>
      </c>
      <c r="L85" s="622">
        <v>0</v>
      </c>
      <c r="M85" s="622">
        <f t="shared" si="13"/>
        <v>133</v>
      </c>
      <c r="N85" s="622">
        <v>7</v>
      </c>
      <c r="O85" s="622">
        <v>126</v>
      </c>
      <c r="P85" s="135">
        <f t="shared" si="14"/>
        <v>0</v>
      </c>
      <c r="Q85" s="622">
        <v>0</v>
      </c>
      <c r="R85" s="622">
        <v>0</v>
      </c>
      <c r="S85" s="135">
        <f t="shared" si="12"/>
        <v>48108</v>
      </c>
      <c r="T85" s="623">
        <v>0</v>
      </c>
      <c r="U85" s="623">
        <v>29950</v>
      </c>
      <c r="V85" s="623">
        <v>1733</v>
      </c>
      <c r="W85" s="623">
        <v>16425</v>
      </c>
    </row>
    <row r="86" spans="1:23" x14ac:dyDescent="0.2">
      <c r="A86" s="161">
        <v>68</v>
      </c>
      <c r="B86" s="49" t="s">
        <v>190</v>
      </c>
      <c r="C86" s="50" t="s">
        <v>191</v>
      </c>
      <c r="D86" s="135">
        <f t="shared" si="11"/>
        <v>370864</v>
      </c>
      <c r="E86" s="135">
        <f t="shared" si="10"/>
        <v>8456</v>
      </c>
      <c r="F86" s="622">
        <v>8456</v>
      </c>
      <c r="G86" s="622">
        <v>2649</v>
      </c>
      <c r="H86" s="622">
        <v>0</v>
      </c>
      <c r="I86" s="135">
        <f t="shared" si="15"/>
        <v>79792</v>
      </c>
      <c r="J86" s="622">
        <v>79792</v>
      </c>
      <c r="K86" s="622">
        <v>9705</v>
      </c>
      <c r="L86" s="622">
        <v>9254</v>
      </c>
      <c r="M86" s="622">
        <f t="shared" si="13"/>
        <v>0</v>
      </c>
      <c r="N86" s="622">
        <v>0</v>
      </c>
      <c r="O86" s="622">
        <v>0</v>
      </c>
      <c r="P86" s="135">
        <f t="shared" si="14"/>
        <v>28789</v>
      </c>
      <c r="Q86" s="622">
        <v>14907</v>
      </c>
      <c r="R86" s="622">
        <v>13882</v>
      </c>
      <c r="S86" s="135">
        <f t="shared" si="12"/>
        <v>253827</v>
      </c>
      <c r="T86" s="623">
        <v>43942</v>
      </c>
      <c r="U86" s="623">
        <v>149022</v>
      </c>
      <c r="V86" s="623">
        <v>19003</v>
      </c>
      <c r="W86" s="623">
        <v>41860</v>
      </c>
    </row>
    <row r="87" spans="1:23" ht="24" x14ac:dyDescent="0.2">
      <c r="A87" s="901">
        <v>69</v>
      </c>
      <c r="B87" s="624" t="s">
        <v>192</v>
      </c>
      <c r="C87" s="57" t="s">
        <v>776</v>
      </c>
      <c r="D87" s="135">
        <f t="shared" si="11"/>
        <v>386921</v>
      </c>
      <c r="E87" s="135">
        <f t="shared" si="10"/>
        <v>73290</v>
      </c>
      <c r="F87" s="622">
        <v>0</v>
      </c>
      <c r="G87" s="622">
        <v>0</v>
      </c>
      <c r="H87" s="622">
        <v>73290</v>
      </c>
      <c r="I87" s="135">
        <f t="shared" si="15"/>
        <v>476</v>
      </c>
      <c r="J87" s="622">
        <v>0</v>
      </c>
      <c r="K87" s="622">
        <v>0</v>
      </c>
      <c r="L87" s="622">
        <v>0</v>
      </c>
      <c r="M87" s="622">
        <f t="shared" si="13"/>
        <v>476</v>
      </c>
      <c r="N87" s="622">
        <v>138</v>
      </c>
      <c r="O87" s="622">
        <v>338</v>
      </c>
      <c r="P87" s="135">
        <f t="shared" si="14"/>
        <v>0</v>
      </c>
      <c r="Q87" s="622">
        <v>0</v>
      </c>
      <c r="R87" s="622">
        <v>0</v>
      </c>
      <c r="S87" s="135">
        <f t="shared" si="12"/>
        <v>313155</v>
      </c>
      <c r="T87" s="623">
        <v>0</v>
      </c>
      <c r="U87" s="623">
        <v>180176</v>
      </c>
      <c r="V87" s="623">
        <v>6181</v>
      </c>
      <c r="W87" s="623">
        <v>126798</v>
      </c>
    </row>
    <row r="88" spans="1:23" ht="22.5" customHeight="1" x14ac:dyDescent="0.2">
      <c r="A88" s="903"/>
      <c r="B88" s="49" t="s">
        <v>152</v>
      </c>
      <c r="C88" s="50" t="s">
        <v>153</v>
      </c>
      <c r="D88" s="135">
        <f t="shared" si="11"/>
        <v>72583</v>
      </c>
      <c r="E88" s="135">
        <f t="shared" si="10"/>
        <v>13659</v>
      </c>
      <c r="F88" s="622">
        <v>0</v>
      </c>
      <c r="G88" s="622">
        <v>0</v>
      </c>
      <c r="H88" s="622">
        <v>13659</v>
      </c>
      <c r="I88" s="135">
        <f t="shared" si="15"/>
        <v>141</v>
      </c>
      <c r="J88" s="622">
        <v>0</v>
      </c>
      <c r="K88" s="622">
        <v>0</v>
      </c>
      <c r="L88" s="622">
        <v>0</v>
      </c>
      <c r="M88" s="622">
        <f t="shared" si="13"/>
        <v>141</v>
      </c>
      <c r="N88" s="622">
        <v>62</v>
      </c>
      <c r="O88" s="622">
        <v>79</v>
      </c>
      <c r="P88" s="135">
        <f t="shared" si="14"/>
        <v>0</v>
      </c>
      <c r="Q88" s="622">
        <v>0</v>
      </c>
      <c r="R88" s="622">
        <v>0</v>
      </c>
      <c r="S88" s="135">
        <f t="shared" ref="S88" si="16">SUM(T88:X88)</f>
        <v>58783</v>
      </c>
      <c r="T88" s="623">
        <v>0</v>
      </c>
      <c r="U88" s="623">
        <v>35123</v>
      </c>
      <c r="V88" s="623">
        <v>2061</v>
      </c>
      <c r="W88" s="623">
        <v>21599</v>
      </c>
    </row>
    <row r="89" spans="1:23" x14ac:dyDescent="0.2">
      <c r="A89" s="161">
        <v>70</v>
      </c>
      <c r="B89" s="49" t="s">
        <v>194</v>
      </c>
      <c r="C89" s="50" t="s">
        <v>195</v>
      </c>
      <c r="D89" s="135">
        <f t="shared" si="11"/>
        <v>256046</v>
      </c>
      <c r="E89" s="135">
        <f t="shared" si="10"/>
        <v>6805</v>
      </c>
      <c r="F89" s="622">
        <v>6805</v>
      </c>
      <c r="G89" s="622">
        <v>1580</v>
      </c>
      <c r="H89" s="622">
        <v>0</v>
      </c>
      <c r="I89" s="135">
        <f t="shared" si="15"/>
        <v>64207</v>
      </c>
      <c r="J89" s="622">
        <v>64207</v>
      </c>
      <c r="K89" s="622">
        <v>529</v>
      </c>
      <c r="L89" s="622">
        <v>7446</v>
      </c>
      <c r="M89" s="622">
        <f t="shared" si="13"/>
        <v>0</v>
      </c>
      <c r="N89" s="622">
        <v>0</v>
      </c>
      <c r="O89" s="622">
        <v>0</v>
      </c>
      <c r="P89" s="135">
        <f t="shared" si="14"/>
        <v>24669</v>
      </c>
      <c r="Q89" s="622">
        <v>12642</v>
      </c>
      <c r="R89" s="622">
        <v>12027</v>
      </c>
      <c r="S89" s="135">
        <f t="shared" si="12"/>
        <v>160365</v>
      </c>
      <c r="T89" s="623">
        <v>80028</v>
      </c>
      <c r="U89" s="623">
        <v>52869</v>
      </c>
      <c r="V89" s="623">
        <v>1771</v>
      </c>
      <c r="W89" s="623">
        <v>25697</v>
      </c>
    </row>
    <row r="90" spans="1:23" x14ac:dyDescent="0.2">
      <c r="A90" s="161">
        <v>71</v>
      </c>
      <c r="B90" s="49" t="s">
        <v>196</v>
      </c>
      <c r="C90" s="50" t="s">
        <v>197</v>
      </c>
      <c r="D90" s="135">
        <f t="shared" si="11"/>
        <v>61669</v>
      </c>
      <c r="E90" s="135">
        <f t="shared" si="10"/>
        <v>0</v>
      </c>
      <c r="F90" s="622">
        <v>0</v>
      </c>
      <c r="G90" s="622">
        <v>0</v>
      </c>
      <c r="H90" s="622">
        <v>0</v>
      </c>
      <c r="I90" s="135">
        <f t="shared" si="15"/>
        <v>0</v>
      </c>
      <c r="J90" s="622">
        <v>0</v>
      </c>
      <c r="K90" s="622">
        <v>0</v>
      </c>
      <c r="L90" s="622">
        <v>0</v>
      </c>
      <c r="M90" s="622">
        <f t="shared" si="13"/>
        <v>0</v>
      </c>
      <c r="N90" s="622">
        <v>0</v>
      </c>
      <c r="O90" s="622">
        <v>0</v>
      </c>
      <c r="P90" s="135">
        <f t="shared" si="14"/>
        <v>0</v>
      </c>
      <c r="Q90" s="622">
        <v>0</v>
      </c>
      <c r="R90" s="622">
        <v>0</v>
      </c>
      <c r="S90" s="135">
        <f t="shared" si="12"/>
        <v>61669</v>
      </c>
      <c r="T90" s="623">
        <v>1600</v>
      </c>
      <c r="U90" s="623">
        <v>27321</v>
      </c>
      <c r="V90" s="623">
        <v>0</v>
      </c>
      <c r="W90" s="623">
        <v>32748</v>
      </c>
    </row>
    <row r="91" spans="1:23" x14ac:dyDescent="0.2">
      <c r="A91" s="161">
        <v>72</v>
      </c>
      <c r="B91" s="52" t="s">
        <v>30</v>
      </c>
      <c r="C91" s="50" t="s">
        <v>198</v>
      </c>
      <c r="D91" s="135">
        <f t="shared" si="11"/>
        <v>0</v>
      </c>
      <c r="E91" s="135">
        <f t="shared" si="10"/>
        <v>0</v>
      </c>
      <c r="F91" s="622">
        <v>0</v>
      </c>
      <c r="G91" s="622">
        <v>0</v>
      </c>
      <c r="H91" s="622">
        <v>0</v>
      </c>
      <c r="I91" s="135">
        <f t="shared" si="15"/>
        <v>0</v>
      </c>
      <c r="J91" s="622">
        <v>0</v>
      </c>
      <c r="K91" s="622">
        <v>0</v>
      </c>
      <c r="L91" s="622">
        <v>0</v>
      </c>
      <c r="M91" s="622">
        <f t="shared" si="13"/>
        <v>0</v>
      </c>
      <c r="N91" s="622">
        <v>0</v>
      </c>
      <c r="O91" s="622">
        <v>0</v>
      </c>
      <c r="P91" s="135">
        <f t="shared" si="14"/>
        <v>0</v>
      </c>
      <c r="Q91" s="622">
        <v>0</v>
      </c>
      <c r="R91" s="622">
        <v>0</v>
      </c>
      <c r="S91" s="135">
        <f t="shared" si="12"/>
        <v>0</v>
      </c>
      <c r="T91" s="623">
        <v>0</v>
      </c>
      <c r="U91" s="623">
        <v>0</v>
      </c>
      <c r="V91" s="623">
        <v>0</v>
      </c>
      <c r="W91" s="623">
        <v>0</v>
      </c>
    </row>
    <row r="92" spans="1:23" ht="24" x14ac:dyDescent="0.2">
      <c r="A92" s="921">
        <v>73</v>
      </c>
      <c r="B92" s="904" t="s">
        <v>199</v>
      </c>
      <c r="C92" s="50" t="s">
        <v>200</v>
      </c>
      <c r="D92" s="135">
        <f t="shared" si="11"/>
        <v>34997</v>
      </c>
      <c r="E92" s="135">
        <f t="shared" si="10"/>
        <v>1368</v>
      </c>
      <c r="F92" s="622">
        <v>1368</v>
      </c>
      <c r="G92" s="622">
        <v>1300</v>
      </c>
      <c r="H92" s="622">
        <v>0</v>
      </c>
      <c r="I92" s="135">
        <f t="shared" si="15"/>
        <v>2473</v>
      </c>
      <c r="J92" s="622">
        <v>2473</v>
      </c>
      <c r="K92" s="622">
        <v>2413</v>
      </c>
      <c r="L92" s="622">
        <v>403</v>
      </c>
      <c r="M92" s="622">
        <f t="shared" si="13"/>
        <v>0</v>
      </c>
      <c r="N92" s="622">
        <v>0</v>
      </c>
      <c r="O92" s="622">
        <v>0</v>
      </c>
      <c r="P92" s="135">
        <f t="shared" si="14"/>
        <v>2126</v>
      </c>
      <c r="Q92" s="622">
        <v>1624</v>
      </c>
      <c r="R92" s="622">
        <v>502</v>
      </c>
      <c r="S92" s="135">
        <f t="shared" si="12"/>
        <v>29030</v>
      </c>
      <c r="T92" s="623">
        <v>989</v>
      </c>
      <c r="U92" s="623">
        <v>27136</v>
      </c>
      <c r="V92" s="623">
        <v>0</v>
      </c>
      <c r="W92" s="623">
        <v>905</v>
      </c>
    </row>
    <row r="93" spans="1:23" ht="36" x14ac:dyDescent="0.2">
      <c r="A93" s="922"/>
      <c r="B93" s="905"/>
      <c r="C93" s="50" t="s">
        <v>201</v>
      </c>
      <c r="D93" s="135">
        <f t="shared" si="11"/>
        <v>19570</v>
      </c>
      <c r="E93" s="135">
        <f t="shared" si="10"/>
        <v>1368</v>
      </c>
      <c r="F93" s="622">
        <v>1368</v>
      </c>
      <c r="G93" s="622">
        <v>1300</v>
      </c>
      <c r="H93" s="622">
        <v>0</v>
      </c>
      <c r="I93" s="135">
        <f t="shared" si="15"/>
        <v>2473</v>
      </c>
      <c r="J93" s="622">
        <v>2473</v>
      </c>
      <c r="K93" s="622">
        <v>2413</v>
      </c>
      <c r="L93" s="622">
        <v>403</v>
      </c>
      <c r="M93" s="622">
        <f t="shared" si="13"/>
        <v>0</v>
      </c>
      <c r="N93" s="622">
        <v>0</v>
      </c>
      <c r="O93" s="622">
        <v>0</v>
      </c>
      <c r="P93" s="135">
        <f t="shared" si="14"/>
        <v>2126</v>
      </c>
      <c r="Q93" s="622">
        <v>1624</v>
      </c>
      <c r="R93" s="622">
        <v>502</v>
      </c>
      <c r="S93" s="135">
        <f t="shared" si="12"/>
        <v>13603</v>
      </c>
      <c r="T93" s="623">
        <v>989</v>
      </c>
      <c r="U93" s="623">
        <v>11709</v>
      </c>
      <c r="V93" s="623">
        <v>0</v>
      </c>
      <c r="W93" s="623">
        <v>905</v>
      </c>
    </row>
    <row r="94" spans="1:23" ht="24" x14ac:dyDescent="0.2">
      <c r="A94" s="922"/>
      <c r="B94" s="905"/>
      <c r="C94" s="50" t="s">
        <v>202</v>
      </c>
      <c r="D94" s="135">
        <f t="shared" si="11"/>
        <v>5490</v>
      </c>
      <c r="E94" s="135">
        <f t="shared" si="10"/>
        <v>0</v>
      </c>
      <c r="F94" s="622">
        <v>0</v>
      </c>
      <c r="G94" s="622">
        <v>0</v>
      </c>
      <c r="H94" s="622">
        <v>0</v>
      </c>
      <c r="I94" s="135">
        <f t="shared" si="15"/>
        <v>0</v>
      </c>
      <c r="J94" s="622">
        <v>0</v>
      </c>
      <c r="K94" s="622">
        <v>0</v>
      </c>
      <c r="L94" s="622">
        <v>0</v>
      </c>
      <c r="M94" s="622">
        <f t="shared" si="13"/>
        <v>0</v>
      </c>
      <c r="N94" s="622">
        <v>0</v>
      </c>
      <c r="O94" s="622">
        <v>0</v>
      </c>
      <c r="P94" s="135">
        <f t="shared" si="14"/>
        <v>0</v>
      </c>
      <c r="Q94" s="622">
        <v>0</v>
      </c>
      <c r="R94" s="622">
        <v>0</v>
      </c>
      <c r="S94" s="135">
        <f t="shared" si="12"/>
        <v>5490</v>
      </c>
      <c r="T94" s="623">
        <v>0</v>
      </c>
      <c r="U94" s="623">
        <v>5490</v>
      </c>
      <c r="V94" s="623">
        <v>0</v>
      </c>
      <c r="W94" s="623">
        <v>0</v>
      </c>
    </row>
    <row r="95" spans="1:23" ht="36" x14ac:dyDescent="0.2">
      <c r="A95" s="923"/>
      <c r="B95" s="906"/>
      <c r="C95" s="58" t="s">
        <v>203</v>
      </c>
      <c r="D95" s="135">
        <f t="shared" si="11"/>
        <v>9937</v>
      </c>
      <c r="E95" s="135">
        <f t="shared" si="10"/>
        <v>0</v>
      </c>
      <c r="F95" s="622">
        <v>0</v>
      </c>
      <c r="G95" s="622">
        <v>0</v>
      </c>
      <c r="H95" s="622">
        <v>0</v>
      </c>
      <c r="I95" s="135">
        <f t="shared" si="15"/>
        <v>0</v>
      </c>
      <c r="J95" s="622">
        <v>0</v>
      </c>
      <c r="K95" s="622">
        <v>0</v>
      </c>
      <c r="L95" s="622">
        <v>0</v>
      </c>
      <c r="M95" s="622">
        <f t="shared" si="13"/>
        <v>0</v>
      </c>
      <c r="N95" s="622">
        <v>0</v>
      </c>
      <c r="O95" s="622">
        <v>0</v>
      </c>
      <c r="P95" s="135">
        <f t="shared" si="14"/>
        <v>0</v>
      </c>
      <c r="Q95" s="622">
        <v>0</v>
      </c>
      <c r="R95" s="622">
        <v>0</v>
      </c>
      <c r="S95" s="135">
        <f t="shared" si="12"/>
        <v>9937</v>
      </c>
      <c r="T95" s="623">
        <v>0</v>
      </c>
      <c r="U95" s="623">
        <v>9937</v>
      </c>
      <c r="V95" s="623">
        <v>0</v>
      </c>
      <c r="W95" s="623">
        <v>0</v>
      </c>
    </row>
    <row r="96" spans="1:23" ht="24" x14ac:dyDescent="0.2">
      <c r="A96" s="161">
        <v>74</v>
      </c>
      <c r="B96" s="52" t="s">
        <v>204</v>
      </c>
      <c r="C96" s="50" t="s">
        <v>205</v>
      </c>
      <c r="D96" s="135">
        <f t="shared" si="11"/>
        <v>10547</v>
      </c>
      <c r="E96" s="135">
        <f t="shared" si="10"/>
        <v>0</v>
      </c>
      <c r="F96" s="622">
        <v>0</v>
      </c>
      <c r="G96" s="622">
        <v>0</v>
      </c>
      <c r="H96" s="622">
        <v>0</v>
      </c>
      <c r="I96" s="135">
        <f t="shared" si="15"/>
        <v>0</v>
      </c>
      <c r="J96" s="622">
        <v>0</v>
      </c>
      <c r="K96" s="622">
        <v>0</v>
      </c>
      <c r="L96" s="622">
        <v>0</v>
      </c>
      <c r="M96" s="622">
        <f t="shared" si="13"/>
        <v>0</v>
      </c>
      <c r="N96" s="622">
        <v>0</v>
      </c>
      <c r="O96" s="622">
        <v>0</v>
      </c>
      <c r="P96" s="135">
        <f t="shared" si="14"/>
        <v>0</v>
      </c>
      <c r="Q96" s="622">
        <v>0</v>
      </c>
      <c r="R96" s="622">
        <v>0</v>
      </c>
      <c r="S96" s="135">
        <f t="shared" si="12"/>
        <v>10547</v>
      </c>
      <c r="T96" s="623">
        <v>0</v>
      </c>
      <c r="U96" s="623">
        <v>10547</v>
      </c>
      <c r="V96" s="623">
        <v>0</v>
      </c>
      <c r="W96" s="623">
        <v>0</v>
      </c>
    </row>
    <row r="97" spans="1:23" x14ac:dyDescent="0.2">
      <c r="A97" s="161">
        <v>75</v>
      </c>
      <c r="B97" s="52" t="s">
        <v>206</v>
      </c>
      <c r="C97" s="50" t="s">
        <v>207</v>
      </c>
      <c r="D97" s="135">
        <f t="shared" si="11"/>
        <v>16471</v>
      </c>
      <c r="E97" s="135">
        <f t="shared" si="10"/>
        <v>292</v>
      </c>
      <c r="F97" s="622">
        <v>292</v>
      </c>
      <c r="G97" s="622">
        <v>100</v>
      </c>
      <c r="H97" s="622">
        <v>0</v>
      </c>
      <c r="I97" s="135">
        <f t="shared" si="15"/>
        <v>2754</v>
      </c>
      <c r="J97" s="622">
        <v>2754</v>
      </c>
      <c r="K97" s="622">
        <v>700</v>
      </c>
      <c r="L97" s="622">
        <v>319</v>
      </c>
      <c r="M97" s="622">
        <f t="shared" si="13"/>
        <v>0</v>
      </c>
      <c r="N97" s="622">
        <v>0</v>
      </c>
      <c r="O97" s="622">
        <v>0</v>
      </c>
      <c r="P97" s="135">
        <f t="shared" si="14"/>
        <v>740</v>
      </c>
      <c r="Q97" s="622">
        <v>440</v>
      </c>
      <c r="R97" s="622">
        <v>300</v>
      </c>
      <c r="S97" s="135">
        <f t="shared" si="12"/>
        <v>12685</v>
      </c>
      <c r="T97" s="623">
        <v>7310</v>
      </c>
      <c r="U97" s="623">
        <v>3388</v>
      </c>
      <c r="V97" s="623">
        <v>0</v>
      </c>
      <c r="W97" s="623">
        <v>1987</v>
      </c>
    </row>
    <row r="98" spans="1:23" x14ac:dyDescent="0.2">
      <c r="A98" s="161">
        <v>76</v>
      </c>
      <c r="B98" s="167" t="s">
        <v>208</v>
      </c>
      <c r="C98" s="50" t="s">
        <v>209</v>
      </c>
      <c r="D98" s="135">
        <f t="shared" si="11"/>
        <v>74863</v>
      </c>
      <c r="E98" s="135">
        <f t="shared" si="10"/>
        <v>1816</v>
      </c>
      <c r="F98" s="622">
        <v>1816</v>
      </c>
      <c r="G98" s="622">
        <v>584</v>
      </c>
      <c r="H98" s="622">
        <v>0</v>
      </c>
      <c r="I98" s="135">
        <f t="shared" si="15"/>
        <v>17138</v>
      </c>
      <c r="J98" s="622">
        <v>17138</v>
      </c>
      <c r="K98" s="622">
        <v>2068</v>
      </c>
      <c r="L98" s="622">
        <v>1988</v>
      </c>
      <c r="M98" s="622">
        <f t="shared" si="13"/>
        <v>0</v>
      </c>
      <c r="N98" s="622">
        <v>0</v>
      </c>
      <c r="O98" s="622">
        <v>0</v>
      </c>
      <c r="P98" s="135">
        <f t="shared" si="14"/>
        <v>5990</v>
      </c>
      <c r="Q98" s="622">
        <v>3018</v>
      </c>
      <c r="R98" s="622">
        <v>2972</v>
      </c>
      <c r="S98" s="135">
        <f t="shared" si="12"/>
        <v>49919</v>
      </c>
      <c r="T98" s="623">
        <v>4781</v>
      </c>
      <c r="U98" s="623">
        <v>36354</v>
      </c>
      <c r="V98" s="623">
        <v>5213</v>
      </c>
      <c r="W98" s="623">
        <v>3571</v>
      </c>
    </row>
    <row r="99" spans="1:23" x14ac:dyDescent="0.2">
      <c r="A99" s="161">
        <v>77</v>
      </c>
      <c r="B99" s="52" t="s">
        <v>210</v>
      </c>
      <c r="C99" s="50" t="s">
        <v>211</v>
      </c>
      <c r="D99" s="135">
        <f t="shared" si="11"/>
        <v>46673</v>
      </c>
      <c r="E99" s="135">
        <f t="shared" si="10"/>
        <v>3822</v>
      </c>
      <c r="F99" s="622">
        <v>708</v>
      </c>
      <c r="G99" s="622">
        <v>15</v>
      </c>
      <c r="H99" s="622">
        <v>3114</v>
      </c>
      <c r="I99" s="135">
        <f t="shared" si="15"/>
        <v>6725</v>
      </c>
      <c r="J99" s="622">
        <v>6685</v>
      </c>
      <c r="K99" s="622">
        <v>223</v>
      </c>
      <c r="L99" s="622">
        <v>775</v>
      </c>
      <c r="M99" s="622">
        <f t="shared" si="13"/>
        <v>40</v>
      </c>
      <c r="N99" s="622">
        <v>0</v>
      </c>
      <c r="O99" s="622">
        <v>40</v>
      </c>
      <c r="P99" s="135">
        <f t="shared" si="14"/>
        <v>1912</v>
      </c>
      <c r="Q99" s="622">
        <v>835</v>
      </c>
      <c r="R99" s="622">
        <v>1077</v>
      </c>
      <c r="S99" s="135">
        <f t="shared" si="12"/>
        <v>34214</v>
      </c>
      <c r="T99" s="623">
        <v>7522</v>
      </c>
      <c r="U99" s="623">
        <v>19225</v>
      </c>
      <c r="V99" s="623">
        <v>870</v>
      </c>
      <c r="W99" s="623">
        <v>6597</v>
      </c>
    </row>
    <row r="100" spans="1:23" x14ac:dyDescent="0.2">
      <c r="A100" s="161">
        <v>78</v>
      </c>
      <c r="B100" s="167" t="s">
        <v>212</v>
      </c>
      <c r="C100" s="50" t="s">
        <v>213</v>
      </c>
      <c r="D100" s="135">
        <f t="shared" si="11"/>
        <v>49371</v>
      </c>
      <c r="E100" s="135">
        <f t="shared" si="10"/>
        <v>4162</v>
      </c>
      <c r="F100" s="622">
        <v>742</v>
      </c>
      <c r="G100" s="622">
        <v>76</v>
      </c>
      <c r="H100" s="622">
        <v>3420</v>
      </c>
      <c r="I100" s="135">
        <f t="shared" si="15"/>
        <v>7020</v>
      </c>
      <c r="J100" s="622">
        <v>7001</v>
      </c>
      <c r="K100" s="622">
        <v>803</v>
      </c>
      <c r="L100" s="622">
        <v>812</v>
      </c>
      <c r="M100" s="622">
        <f t="shared" si="13"/>
        <v>19</v>
      </c>
      <c r="N100" s="622">
        <v>10</v>
      </c>
      <c r="O100" s="622">
        <v>9</v>
      </c>
      <c r="P100" s="135">
        <f t="shared" si="14"/>
        <v>2073</v>
      </c>
      <c r="Q100" s="622">
        <v>947</v>
      </c>
      <c r="R100" s="622">
        <v>1126</v>
      </c>
      <c r="S100" s="135">
        <f t="shared" si="12"/>
        <v>36116</v>
      </c>
      <c r="T100" s="623">
        <v>6992</v>
      </c>
      <c r="U100" s="623">
        <v>17862</v>
      </c>
      <c r="V100" s="623">
        <v>3174</v>
      </c>
      <c r="W100" s="623">
        <v>8088</v>
      </c>
    </row>
    <row r="101" spans="1:23" x14ac:dyDescent="0.2">
      <c r="A101" s="161">
        <v>79</v>
      </c>
      <c r="B101" s="167" t="s">
        <v>214</v>
      </c>
      <c r="C101" s="50" t="s">
        <v>215</v>
      </c>
      <c r="D101" s="135">
        <f t="shared" si="11"/>
        <v>143997</v>
      </c>
      <c r="E101" s="135">
        <f t="shared" si="10"/>
        <v>12537</v>
      </c>
      <c r="F101" s="622">
        <v>2079</v>
      </c>
      <c r="G101" s="622">
        <v>1200</v>
      </c>
      <c r="H101" s="622">
        <v>10458</v>
      </c>
      <c r="I101" s="135">
        <f t="shared" si="15"/>
        <v>19780</v>
      </c>
      <c r="J101" s="622">
        <v>19620</v>
      </c>
      <c r="K101" s="622">
        <v>2642</v>
      </c>
      <c r="L101" s="622">
        <v>2275</v>
      </c>
      <c r="M101" s="622">
        <f t="shared" si="13"/>
        <v>160</v>
      </c>
      <c r="N101" s="622">
        <v>0</v>
      </c>
      <c r="O101" s="622">
        <v>160</v>
      </c>
      <c r="P101" s="135">
        <f t="shared" si="14"/>
        <v>6821</v>
      </c>
      <c r="Q101" s="622">
        <v>3362</v>
      </c>
      <c r="R101" s="622">
        <v>3459</v>
      </c>
      <c r="S101" s="135">
        <f t="shared" si="12"/>
        <v>104859</v>
      </c>
      <c r="T101" s="623">
        <v>22053</v>
      </c>
      <c r="U101" s="623">
        <v>43210</v>
      </c>
      <c r="V101" s="623">
        <v>9980</v>
      </c>
      <c r="W101" s="623">
        <v>29616</v>
      </c>
    </row>
    <row r="102" spans="1:23" x14ac:dyDescent="0.2">
      <c r="A102" s="161">
        <v>80</v>
      </c>
      <c r="B102" s="52" t="s">
        <v>216</v>
      </c>
      <c r="C102" s="50" t="s">
        <v>217</v>
      </c>
      <c r="D102" s="135">
        <f t="shared" si="11"/>
        <v>58997</v>
      </c>
      <c r="E102" s="135">
        <f t="shared" si="10"/>
        <v>4739</v>
      </c>
      <c r="F102" s="622">
        <v>876</v>
      </c>
      <c r="G102" s="622">
        <v>147</v>
      </c>
      <c r="H102" s="622">
        <v>3863</v>
      </c>
      <c r="I102" s="135">
        <f t="shared" si="15"/>
        <v>8299</v>
      </c>
      <c r="J102" s="622">
        <v>8263</v>
      </c>
      <c r="K102" s="622">
        <v>720</v>
      </c>
      <c r="L102" s="622">
        <v>958</v>
      </c>
      <c r="M102" s="622">
        <f t="shared" si="13"/>
        <v>36</v>
      </c>
      <c r="N102" s="622">
        <v>0</v>
      </c>
      <c r="O102" s="622">
        <v>36</v>
      </c>
      <c r="P102" s="135">
        <f t="shared" si="14"/>
        <v>2313</v>
      </c>
      <c r="Q102" s="622">
        <v>1063</v>
      </c>
      <c r="R102" s="622">
        <v>1250</v>
      </c>
      <c r="S102" s="135">
        <f t="shared" si="12"/>
        <v>43646</v>
      </c>
      <c r="T102" s="623">
        <v>10541</v>
      </c>
      <c r="U102" s="623">
        <v>16566</v>
      </c>
      <c r="V102" s="623">
        <v>8183</v>
      </c>
      <c r="W102" s="623">
        <v>8356</v>
      </c>
    </row>
    <row r="103" spans="1:23" x14ac:dyDescent="0.2">
      <c r="A103" s="161">
        <v>81</v>
      </c>
      <c r="B103" s="49" t="s">
        <v>218</v>
      </c>
      <c r="C103" s="50" t="s">
        <v>219</v>
      </c>
      <c r="D103" s="135">
        <f t="shared" si="11"/>
        <v>188812</v>
      </c>
      <c r="E103" s="135">
        <f t="shared" si="10"/>
        <v>19119</v>
      </c>
      <c r="F103" s="622">
        <v>2546</v>
      </c>
      <c r="G103" s="622">
        <v>533</v>
      </c>
      <c r="H103" s="622">
        <v>16573</v>
      </c>
      <c r="I103" s="135">
        <f t="shared" si="15"/>
        <v>24224</v>
      </c>
      <c r="J103" s="622">
        <v>24024</v>
      </c>
      <c r="K103" s="622">
        <v>2024</v>
      </c>
      <c r="L103" s="622">
        <v>2786</v>
      </c>
      <c r="M103" s="622">
        <f t="shared" si="13"/>
        <v>200</v>
      </c>
      <c r="N103" s="622">
        <v>50</v>
      </c>
      <c r="O103" s="622">
        <v>150</v>
      </c>
      <c r="P103" s="135">
        <f t="shared" si="14"/>
        <v>8650</v>
      </c>
      <c r="Q103" s="622">
        <v>4232</v>
      </c>
      <c r="R103" s="622">
        <v>4418</v>
      </c>
      <c r="S103" s="135">
        <f t="shared" si="12"/>
        <v>136819</v>
      </c>
      <c r="T103" s="623">
        <v>23082</v>
      </c>
      <c r="U103" s="623">
        <v>46914</v>
      </c>
      <c r="V103" s="623">
        <v>26781</v>
      </c>
      <c r="W103" s="623">
        <v>40042</v>
      </c>
    </row>
    <row r="104" spans="1:23" x14ac:dyDescent="0.2">
      <c r="A104" s="161">
        <v>82</v>
      </c>
      <c r="B104" s="49" t="s">
        <v>220</v>
      </c>
      <c r="C104" s="50" t="s">
        <v>221</v>
      </c>
      <c r="D104" s="135">
        <f t="shared" si="11"/>
        <v>134023</v>
      </c>
      <c r="E104" s="135">
        <f t="shared" si="10"/>
        <v>11403</v>
      </c>
      <c r="F104" s="622">
        <v>1961</v>
      </c>
      <c r="G104" s="622">
        <v>62</v>
      </c>
      <c r="H104" s="622">
        <v>9442</v>
      </c>
      <c r="I104" s="135">
        <f t="shared" si="15"/>
        <v>18610</v>
      </c>
      <c r="J104" s="622">
        <v>18508</v>
      </c>
      <c r="K104" s="622">
        <v>463</v>
      </c>
      <c r="L104" s="622">
        <v>2146</v>
      </c>
      <c r="M104" s="622">
        <f t="shared" si="13"/>
        <v>102</v>
      </c>
      <c r="N104" s="622">
        <v>0</v>
      </c>
      <c r="O104" s="622">
        <v>102</v>
      </c>
      <c r="P104" s="135">
        <f t="shared" si="14"/>
        <v>5703</v>
      </c>
      <c r="Q104" s="622">
        <v>2706</v>
      </c>
      <c r="R104" s="622">
        <v>2997</v>
      </c>
      <c r="S104" s="135">
        <f t="shared" si="12"/>
        <v>98307</v>
      </c>
      <c r="T104" s="623">
        <v>23011</v>
      </c>
      <c r="U104" s="623">
        <v>46931</v>
      </c>
      <c r="V104" s="623">
        <v>5060</v>
      </c>
      <c r="W104" s="623">
        <v>23305</v>
      </c>
    </row>
    <row r="105" spans="1:23" x14ac:dyDescent="0.2">
      <c r="A105" s="161">
        <v>83</v>
      </c>
      <c r="B105" s="167" t="s">
        <v>222</v>
      </c>
      <c r="C105" s="50" t="s">
        <v>223</v>
      </c>
      <c r="D105" s="135">
        <f t="shared" si="11"/>
        <v>44961</v>
      </c>
      <c r="E105" s="135">
        <f t="shared" si="10"/>
        <v>3776</v>
      </c>
      <c r="F105" s="622">
        <v>672</v>
      </c>
      <c r="G105" s="622">
        <v>135</v>
      </c>
      <c r="H105" s="622">
        <v>3104</v>
      </c>
      <c r="I105" s="135">
        <f t="shared" si="15"/>
        <v>6411</v>
      </c>
      <c r="J105" s="622">
        <v>6339</v>
      </c>
      <c r="K105" s="622">
        <v>775</v>
      </c>
      <c r="L105" s="622">
        <v>735</v>
      </c>
      <c r="M105" s="622">
        <f t="shared" si="13"/>
        <v>72</v>
      </c>
      <c r="N105" s="622">
        <v>14</v>
      </c>
      <c r="O105" s="622">
        <v>58</v>
      </c>
      <c r="P105" s="135">
        <f t="shared" si="14"/>
        <v>1837</v>
      </c>
      <c r="Q105" s="622">
        <v>829</v>
      </c>
      <c r="R105" s="622">
        <v>1008</v>
      </c>
      <c r="S105" s="135">
        <f t="shared" si="12"/>
        <v>32937</v>
      </c>
      <c r="T105" s="623">
        <v>7914</v>
      </c>
      <c r="U105" s="623">
        <v>15980</v>
      </c>
      <c r="V105" s="623">
        <v>3488</v>
      </c>
      <c r="W105" s="623">
        <v>5555</v>
      </c>
    </row>
    <row r="106" spans="1:23" x14ac:dyDescent="0.2">
      <c r="A106" s="161">
        <v>84</v>
      </c>
      <c r="B106" s="49" t="s">
        <v>224</v>
      </c>
      <c r="C106" s="50" t="s">
        <v>225</v>
      </c>
      <c r="D106" s="135">
        <f t="shared" si="11"/>
        <v>70436</v>
      </c>
      <c r="E106" s="135">
        <f t="shared" si="10"/>
        <v>5994</v>
      </c>
      <c r="F106" s="622">
        <v>1053</v>
      </c>
      <c r="G106" s="622">
        <v>220</v>
      </c>
      <c r="H106" s="622">
        <v>4941</v>
      </c>
      <c r="I106" s="135">
        <f t="shared" si="15"/>
        <v>9987</v>
      </c>
      <c r="J106" s="622">
        <v>9939</v>
      </c>
      <c r="K106" s="622">
        <v>605</v>
      </c>
      <c r="L106" s="622">
        <v>1153</v>
      </c>
      <c r="M106" s="622">
        <f t="shared" si="13"/>
        <v>48</v>
      </c>
      <c r="N106" s="622">
        <v>0</v>
      </c>
      <c r="O106" s="622">
        <v>48</v>
      </c>
      <c r="P106" s="135">
        <f t="shared" si="14"/>
        <v>2734</v>
      </c>
      <c r="Q106" s="622">
        <v>1332</v>
      </c>
      <c r="R106" s="622">
        <v>1402</v>
      </c>
      <c r="S106" s="135">
        <f t="shared" si="12"/>
        <v>51721</v>
      </c>
      <c r="T106" s="623">
        <v>20460</v>
      </c>
      <c r="U106" s="623">
        <v>16383</v>
      </c>
      <c r="V106" s="623">
        <v>4285</v>
      </c>
      <c r="W106" s="623">
        <v>10593</v>
      </c>
    </row>
    <row r="107" spans="1:23" x14ac:dyDescent="0.2">
      <c r="A107" s="161">
        <v>85</v>
      </c>
      <c r="B107" s="49" t="s">
        <v>226</v>
      </c>
      <c r="C107" s="50" t="s">
        <v>227</v>
      </c>
      <c r="D107" s="135">
        <f t="shared" si="11"/>
        <v>67525</v>
      </c>
      <c r="E107" s="135">
        <f t="shared" si="10"/>
        <v>5856</v>
      </c>
      <c r="F107" s="622">
        <v>995</v>
      </c>
      <c r="G107" s="622">
        <v>138</v>
      </c>
      <c r="H107" s="622">
        <v>4861</v>
      </c>
      <c r="I107" s="135">
        <f t="shared" si="15"/>
        <v>9451</v>
      </c>
      <c r="J107" s="622">
        <v>9386</v>
      </c>
      <c r="K107" s="622">
        <v>250</v>
      </c>
      <c r="L107" s="622">
        <v>1089</v>
      </c>
      <c r="M107" s="622">
        <f t="shared" si="13"/>
        <v>65</v>
      </c>
      <c r="N107" s="622">
        <v>30</v>
      </c>
      <c r="O107" s="622">
        <v>35</v>
      </c>
      <c r="P107" s="135">
        <f t="shared" si="14"/>
        <v>2789</v>
      </c>
      <c r="Q107" s="622">
        <v>1300</v>
      </c>
      <c r="R107" s="622">
        <v>1489</v>
      </c>
      <c r="S107" s="135">
        <f t="shared" si="12"/>
        <v>49429</v>
      </c>
      <c r="T107" s="623">
        <v>10903</v>
      </c>
      <c r="U107" s="623">
        <v>19980</v>
      </c>
      <c r="V107" s="623">
        <v>9717</v>
      </c>
      <c r="W107" s="623">
        <v>8829</v>
      </c>
    </row>
    <row r="108" spans="1:23" x14ac:dyDescent="0.2">
      <c r="A108" s="161">
        <v>86</v>
      </c>
      <c r="B108" s="52" t="s">
        <v>32</v>
      </c>
      <c r="C108" s="50" t="s">
        <v>33</v>
      </c>
      <c r="D108" s="135">
        <f t="shared" si="11"/>
        <v>87290</v>
      </c>
      <c r="E108" s="135">
        <f t="shared" si="10"/>
        <v>7627</v>
      </c>
      <c r="F108" s="622">
        <v>1204</v>
      </c>
      <c r="G108" s="622">
        <v>590</v>
      </c>
      <c r="H108" s="622">
        <v>6423</v>
      </c>
      <c r="I108" s="135">
        <f t="shared" si="15"/>
        <v>11429</v>
      </c>
      <c r="J108" s="622">
        <v>11364</v>
      </c>
      <c r="K108" s="622">
        <v>1137</v>
      </c>
      <c r="L108" s="622">
        <v>1318</v>
      </c>
      <c r="M108" s="622">
        <f t="shared" si="13"/>
        <v>65</v>
      </c>
      <c r="N108" s="622">
        <v>2</v>
      </c>
      <c r="O108" s="622">
        <v>63</v>
      </c>
      <c r="P108" s="135">
        <f t="shared" si="14"/>
        <v>3637</v>
      </c>
      <c r="Q108" s="622">
        <v>1814</v>
      </c>
      <c r="R108" s="622">
        <v>1823</v>
      </c>
      <c r="S108" s="135">
        <f t="shared" si="12"/>
        <v>64597</v>
      </c>
      <c r="T108" s="623">
        <v>7595</v>
      </c>
      <c r="U108" s="623">
        <v>26998</v>
      </c>
      <c r="V108" s="623">
        <v>9087</v>
      </c>
      <c r="W108" s="623">
        <v>20917</v>
      </c>
    </row>
    <row r="109" spans="1:23" x14ac:dyDescent="0.2">
      <c r="A109" s="161">
        <v>87</v>
      </c>
      <c r="B109" s="167" t="s">
        <v>228</v>
      </c>
      <c r="C109" s="50" t="s">
        <v>229</v>
      </c>
      <c r="D109" s="135">
        <f t="shared" si="11"/>
        <v>52164</v>
      </c>
      <c r="E109" s="135">
        <f t="shared" si="10"/>
        <v>4433</v>
      </c>
      <c r="F109" s="622">
        <v>771</v>
      </c>
      <c r="G109" s="622">
        <v>538</v>
      </c>
      <c r="H109" s="622">
        <v>3662</v>
      </c>
      <c r="I109" s="135">
        <f t="shared" si="15"/>
        <v>7340</v>
      </c>
      <c r="J109" s="622">
        <v>7278</v>
      </c>
      <c r="K109" s="622">
        <v>1532</v>
      </c>
      <c r="L109" s="622">
        <v>844</v>
      </c>
      <c r="M109" s="622">
        <f t="shared" si="13"/>
        <v>62</v>
      </c>
      <c r="N109" s="622">
        <v>0</v>
      </c>
      <c r="O109" s="622">
        <v>62</v>
      </c>
      <c r="P109" s="135">
        <f t="shared" si="14"/>
        <v>2110</v>
      </c>
      <c r="Q109" s="622">
        <v>967</v>
      </c>
      <c r="R109" s="622">
        <v>1143</v>
      </c>
      <c r="S109" s="135">
        <f t="shared" si="12"/>
        <v>38281</v>
      </c>
      <c r="T109" s="623">
        <v>6725</v>
      </c>
      <c r="U109" s="623">
        <v>13355</v>
      </c>
      <c r="V109" s="623">
        <v>7119</v>
      </c>
      <c r="W109" s="623">
        <v>11082</v>
      </c>
    </row>
    <row r="110" spans="1:23" x14ac:dyDescent="0.2">
      <c r="A110" s="161">
        <v>88</v>
      </c>
      <c r="B110" s="49" t="s">
        <v>230</v>
      </c>
      <c r="C110" s="50" t="s">
        <v>231</v>
      </c>
      <c r="D110" s="135">
        <f t="shared" si="11"/>
        <v>134906</v>
      </c>
      <c r="E110" s="135">
        <f t="shared" si="10"/>
        <v>11052</v>
      </c>
      <c r="F110" s="622">
        <v>2040</v>
      </c>
      <c r="G110" s="622">
        <v>630</v>
      </c>
      <c r="H110" s="622">
        <v>9012</v>
      </c>
      <c r="I110" s="135">
        <f t="shared" si="15"/>
        <v>19313</v>
      </c>
      <c r="J110" s="622">
        <v>19247</v>
      </c>
      <c r="K110" s="622">
        <v>1895</v>
      </c>
      <c r="L110" s="622">
        <v>2232</v>
      </c>
      <c r="M110" s="622">
        <f t="shared" si="13"/>
        <v>66</v>
      </c>
      <c r="N110" s="622">
        <v>6</v>
      </c>
      <c r="O110" s="622">
        <v>60</v>
      </c>
      <c r="P110" s="135">
        <f t="shared" si="14"/>
        <v>5792</v>
      </c>
      <c r="Q110" s="622">
        <v>2771</v>
      </c>
      <c r="R110" s="622">
        <v>3021</v>
      </c>
      <c r="S110" s="135">
        <f t="shared" si="12"/>
        <v>98749</v>
      </c>
      <c r="T110" s="623">
        <v>23450</v>
      </c>
      <c r="U110" s="623">
        <v>38696</v>
      </c>
      <c r="V110" s="623">
        <v>11963</v>
      </c>
      <c r="W110" s="623">
        <v>24640</v>
      </c>
    </row>
    <row r="111" spans="1:23" x14ac:dyDescent="0.2">
      <c r="A111" s="161">
        <v>89</v>
      </c>
      <c r="B111" s="49" t="s">
        <v>232</v>
      </c>
      <c r="C111" s="50" t="s">
        <v>233</v>
      </c>
      <c r="D111" s="135">
        <f t="shared" si="11"/>
        <v>9320</v>
      </c>
      <c r="E111" s="135">
        <f t="shared" si="10"/>
        <v>0</v>
      </c>
      <c r="F111" s="622">
        <v>0</v>
      </c>
      <c r="G111" s="622">
        <v>0</v>
      </c>
      <c r="H111" s="622">
        <v>0</v>
      </c>
      <c r="I111" s="135">
        <f t="shared" si="15"/>
        <v>0</v>
      </c>
      <c r="J111" s="622">
        <v>0</v>
      </c>
      <c r="K111" s="622">
        <v>0</v>
      </c>
      <c r="L111" s="622">
        <v>0</v>
      </c>
      <c r="M111" s="622">
        <f t="shared" si="13"/>
        <v>0</v>
      </c>
      <c r="N111" s="622">
        <v>0</v>
      </c>
      <c r="O111" s="622">
        <v>0</v>
      </c>
      <c r="P111" s="135">
        <f t="shared" si="14"/>
        <v>0</v>
      </c>
      <c r="Q111" s="622">
        <v>0</v>
      </c>
      <c r="R111" s="622">
        <v>0</v>
      </c>
      <c r="S111" s="135">
        <f t="shared" si="12"/>
        <v>9320</v>
      </c>
      <c r="T111" s="623">
        <v>932</v>
      </c>
      <c r="U111" s="623">
        <v>8388</v>
      </c>
      <c r="V111" s="623">
        <v>0</v>
      </c>
      <c r="W111" s="623">
        <v>0</v>
      </c>
    </row>
    <row r="112" spans="1:23" x14ac:dyDescent="0.2">
      <c r="A112" s="161">
        <v>90</v>
      </c>
      <c r="B112" s="49" t="s">
        <v>234</v>
      </c>
      <c r="C112" s="50" t="s">
        <v>235</v>
      </c>
      <c r="D112" s="135">
        <f t="shared" si="11"/>
        <v>0</v>
      </c>
      <c r="E112" s="135">
        <f t="shared" si="10"/>
        <v>0</v>
      </c>
      <c r="F112" s="622">
        <v>0</v>
      </c>
      <c r="G112" s="622">
        <v>0</v>
      </c>
      <c r="H112" s="622">
        <v>0</v>
      </c>
      <c r="I112" s="135">
        <f t="shared" si="15"/>
        <v>0</v>
      </c>
      <c r="J112" s="622">
        <v>0</v>
      </c>
      <c r="K112" s="622">
        <v>0</v>
      </c>
      <c r="L112" s="622">
        <v>0</v>
      </c>
      <c r="M112" s="622">
        <f t="shared" si="13"/>
        <v>0</v>
      </c>
      <c r="N112" s="622">
        <v>0</v>
      </c>
      <c r="O112" s="622">
        <v>0</v>
      </c>
      <c r="P112" s="135">
        <f t="shared" si="14"/>
        <v>0</v>
      </c>
      <c r="Q112" s="622">
        <v>0</v>
      </c>
      <c r="R112" s="622">
        <v>0</v>
      </c>
      <c r="S112" s="135">
        <f t="shared" si="12"/>
        <v>0</v>
      </c>
      <c r="T112" s="623">
        <v>0</v>
      </c>
      <c r="U112" s="623">
        <v>0</v>
      </c>
      <c r="V112" s="623">
        <v>0</v>
      </c>
      <c r="W112" s="623">
        <v>0</v>
      </c>
    </row>
    <row r="113" spans="1:23" x14ac:dyDescent="0.2">
      <c r="A113" s="161">
        <v>91</v>
      </c>
      <c r="B113" s="167" t="s">
        <v>236</v>
      </c>
      <c r="C113" s="50" t="s">
        <v>237</v>
      </c>
      <c r="D113" s="135">
        <f t="shared" si="11"/>
        <v>0</v>
      </c>
      <c r="E113" s="135">
        <f t="shared" si="10"/>
        <v>0</v>
      </c>
      <c r="F113" s="622">
        <v>0</v>
      </c>
      <c r="G113" s="622">
        <v>0</v>
      </c>
      <c r="H113" s="622">
        <v>0</v>
      </c>
      <c r="I113" s="135">
        <f t="shared" si="15"/>
        <v>0</v>
      </c>
      <c r="J113" s="622">
        <v>0</v>
      </c>
      <c r="K113" s="622">
        <v>0</v>
      </c>
      <c r="L113" s="622">
        <v>0</v>
      </c>
      <c r="M113" s="622">
        <f t="shared" si="13"/>
        <v>0</v>
      </c>
      <c r="N113" s="622">
        <v>0</v>
      </c>
      <c r="O113" s="622">
        <v>0</v>
      </c>
      <c r="P113" s="135">
        <f t="shared" si="14"/>
        <v>0</v>
      </c>
      <c r="Q113" s="622">
        <v>0</v>
      </c>
      <c r="R113" s="622">
        <v>0</v>
      </c>
      <c r="S113" s="135">
        <f t="shared" si="12"/>
        <v>0</v>
      </c>
      <c r="T113" s="623">
        <v>0</v>
      </c>
      <c r="U113" s="623">
        <v>0</v>
      </c>
      <c r="V113" s="623">
        <v>0</v>
      </c>
      <c r="W113" s="623">
        <v>0</v>
      </c>
    </row>
    <row r="114" spans="1:23" x14ac:dyDescent="0.2">
      <c r="A114" s="161">
        <v>92</v>
      </c>
      <c r="B114" s="167" t="s">
        <v>238</v>
      </c>
      <c r="C114" s="50" t="s">
        <v>239</v>
      </c>
      <c r="D114" s="135">
        <f t="shared" si="11"/>
        <v>0</v>
      </c>
      <c r="E114" s="135">
        <f t="shared" si="10"/>
        <v>0</v>
      </c>
      <c r="F114" s="622">
        <v>0</v>
      </c>
      <c r="G114" s="622">
        <v>0</v>
      </c>
      <c r="H114" s="622">
        <v>0</v>
      </c>
      <c r="I114" s="135">
        <f t="shared" si="15"/>
        <v>0</v>
      </c>
      <c r="J114" s="622">
        <v>0</v>
      </c>
      <c r="K114" s="622">
        <v>0</v>
      </c>
      <c r="L114" s="622">
        <v>0</v>
      </c>
      <c r="M114" s="622">
        <f t="shared" si="13"/>
        <v>0</v>
      </c>
      <c r="N114" s="622">
        <v>0</v>
      </c>
      <c r="O114" s="622">
        <v>0</v>
      </c>
      <c r="P114" s="135">
        <f t="shared" si="14"/>
        <v>0</v>
      </c>
      <c r="Q114" s="622">
        <v>0</v>
      </c>
      <c r="R114" s="622">
        <v>0</v>
      </c>
      <c r="S114" s="135">
        <f t="shared" si="12"/>
        <v>0</v>
      </c>
      <c r="T114" s="623">
        <v>0</v>
      </c>
      <c r="U114" s="623">
        <v>0</v>
      </c>
      <c r="V114" s="623">
        <v>0</v>
      </c>
      <c r="W114" s="623">
        <v>0</v>
      </c>
    </row>
    <row r="115" spans="1:23" x14ac:dyDescent="0.2">
      <c r="A115" s="161">
        <v>93</v>
      </c>
      <c r="B115" s="167" t="s">
        <v>240</v>
      </c>
      <c r="C115" s="50" t="s">
        <v>241</v>
      </c>
      <c r="D115" s="135">
        <f t="shared" si="11"/>
        <v>0</v>
      </c>
      <c r="E115" s="135">
        <f t="shared" si="10"/>
        <v>0</v>
      </c>
      <c r="F115" s="622">
        <v>0</v>
      </c>
      <c r="G115" s="622">
        <v>0</v>
      </c>
      <c r="H115" s="622">
        <v>0</v>
      </c>
      <c r="I115" s="135">
        <f t="shared" si="15"/>
        <v>0</v>
      </c>
      <c r="J115" s="622">
        <v>0</v>
      </c>
      <c r="K115" s="622">
        <v>0</v>
      </c>
      <c r="L115" s="622">
        <v>0</v>
      </c>
      <c r="M115" s="622">
        <f t="shared" si="13"/>
        <v>0</v>
      </c>
      <c r="N115" s="622">
        <v>0</v>
      </c>
      <c r="O115" s="622">
        <v>0</v>
      </c>
      <c r="P115" s="135">
        <f t="shared" si="14"/>
        <v>0</v>
      </c>
      <c r="Q115" s="622">
        <v>0</v>
      </c>
      <c r="R115" s="622">
        <v>0</v>
      </c>
      <c r="S115" s="135">
        <f t="shared" si="12"/>
        <v>0</v>
      </c>
      <c r="T115" s="623">
        <v>0</v>
      </c>
      <c r="U115" s="623">
        <v>0</v>
      </c>
      <c r="V115" s="623">
        <v>0</v>
      </c>
      <c r="W115" s="623">
        <v>0</v>
      </c>
    </row>
    <row r="116" spans="1:23" x14ac:dyDescent="0.2">
      <c r="A116" s="161">
        <v>94</v>
      </c>
      <c r="B116" s="167" t="s">
        <v>242</v>
      </c>
      <c r="C116" s="50" t="s">
        <v>243</v>
      </c>
      <c r="D116" s="135">
        <f t="shared" si="11"/>
        <v>0</v>
      </c>
      <c r="E116" s="135">
        <f t="shared" si="10"/>
        <v>0</v>
      </c>
      <c r="F116" s="622">
        <v>0</v>
      </c>
      <c r="G116" s="622">
        <v>0</v>
      </c>
      <c r="H116" s="622">
        <v>0</v>
      </c>
      <c r="I116" s="135">
        <f t="shared" si="15"/>
        <v>0</v>
      </c>
      <c r="J116" s="622">
        <v>0</v>
      </c>
      <c r="K116" s="622">
        <v>0</v>
      </c>
      <c r="L116" s="622">
        <v>0</v>
      </c>
      <c r="M116" s="622">
        <f t="shared" si="13"/>
        <v>0</v>
      </c>
      <c r="N116" s="622">
        <v>0</v>
      </c>
      <c r="O116" s="622">
        <v>0</v>
      </c>
      <c r="P116" s="135">
        <f t="shared" si="14"/>
        <v>0</v>
      </c>
      <c r="Q116" s="622">
        <v>0</v>
      </c>
      <c r="R116" s="622">
        <v>0</v>
      </c>
      <c r="S116" s="135">
        <f t="shared" si="12"/>
        <v>0</v>
      </c>
      <c r="T116" s="623">
        <v>0</v>
      </c>
      <c r="U116" s="623">
        <v>0</v>
      </c>
      <c r="V116" s="623">
        <v>0</v>
      </c>
      <c r="W116" s="623">
        <v>0</v>
      </c>
    </row>
    <row r="117" spans="1:23" x14ac:dyDescent="0.2">
      <c r="A117" s="161">
        <v>95</v>
      </c>
      <c r="B117" s="167" t="s">
        <v>244</v>
      </c>
      <c r="C117" s="50" t="s">
        <v>245</v>
      </c>
      <c r="D117" s="135">
        <f t="shared" si="11"/>
        <v>39400</v>
      </c>
      <c r="E117" s="135">
        <f t="shared" si="10"/>
        <v>0</v>
      </c>
      <c r="F117" s="622">
        <v>0</v>
      </c>
      <c r="G117" s="622">
        <v>0</v>
      </c>
      <c r="H117" s="622">
        <v>0</v>
      </c>
      <c r="I117" s="135">
        <f t="shared" si="15"/>
        <v>0</v>
      </c>
      <c r="J117" s="622">
        <v>0</v>
      </c>
      <c r="K117" s="622">
        <v>0</v>
      </c>
      <c r="L117" s="622">
        <v>0</v>
      </c>
      <c r="M117" s="622">
        <f t="shared" si="13"/>
        <v>0</v>
      </c>
      <c r="N117" s="622">
        <v>0</v>
      </c>
      <c r="O117" s="622">
        <v>0</v>
      </c>
      <c r="P117" s="135">
        <f t="shared" si="14"/>
        <v>0</v>
      </c>
      <c r="Q117" s="622">
        <v>0</v>
      </c>
      <c r="R117" s="622">
        <v>0</v>
      </c>
      <c r="S117" s="135">
        <f t="shared" si="12"/>
        <v>39400</v>
      </c>
      <c r="T117" s="623">
        <v>3940</v>
      </c>
      <c r="U117" s="623">
        <v>35460</v>
      </c>
      <c r="V117" s="623">
        <v>0</v>
      </c>
      <c r="W117" s="623">
        <v>0</v>
      </c>
    </row>
    <row r="118" spans="1:23" x14ac:dyDescent="0.2">
      <c r="A118" s="161">
        <v>96</v>
      </c>
      <c r="B118" s="163" t="s">
        <v>246</v>
      </c>
      <c r="C118" s="625" t="s">
        <v>247</v>
      </c>
      <c r="D118" s="135">
        <f t="shared" si="11"/>
        <v>0</v>
      </c>
      <c r="E118" s="135">
        <f t="shared" si="10"/>
        <v>0</v>
      </c>
      <c r="F118" s="622">
        <v>0</v>
      </c>
      <c r="G118" s="622">
        <v>0</v>
      </c>
      <c r="H118" s="622">
        <v>0</v>
      </c>
      <c r="I118" s="135">
        <f t="shared" si="15"/>
        <v>0</v>
      </c>
      <c r="J118" s="622">
        <v>0</v>
      </c>
      <c r="K118" s="622">
        <v>0</v>
      </c>
      <c r="L118" s="622">
        <v>0</v>
      </c>
      <c r="M118" s="622">
        <f t="shared" si="13"/>
        <v>0</v>
      </c>
      <c r="N118" s="622">
        <v>0</v>
      </c>
      <c r="O118" s="622">
        <v>0</v>
      </c>
      <c r="P118" s="135">
        <f t="shared" si="14"/>
        <v>0</v>
      </c>
      <c r="Q118" s="622">
        <v>0</v>
      </c>
      <c r="R118" s="622">
        <v>0</v>
      </c>
      <c r="S118" s="135">
        <f t="shared" si="12"/>
        <v>0</v>
      </c>
      <c r="T118" s="623">
        <v>0</v>
      </c>
      <c r="U118" s="623">
        <v>0</v>
      </c>
      <c r="V118" s="623">
        <v>0</v>
      </c>
      <c r="W118" s="623">
        <v>0</v>
      </c>
    </row>
    <row r="119" spans="1:23" x14ac:dyDescent="0.2">
      <c r="A119" s="161">
        <v>97</v>
      </c>
      <c r="B119" s="52" t="s">
        <v>248</v>
      </c>
      <c r="C119" s="50" t="s">
        <v>249</v>
      </c>
      <c r="D119" s="135">
        <f t="shared" si="11"/>
        <v>0</v>
      </c>
      <c r="E119" s="135">
        <f t="shared" si="10"/>
        <v>0</v>
      </c>
      <c r="F119" s="622">
        <v>0</v>
      </c>
      <c r="G119" s="622">
        <v>0</v>
      </c>
      <c r="H119" s="622">
        <v>0</v>
      </c>
      <c r="I119" s="135">
        <f t="shared" si="15"/>
        <v>0</v>
      </c>
      <c r="J119" s="622">
        <v>0</v>
      </c>
      <c r="K119" s="622">
        <v>0</v>
      </c>
      <c r="L119" s="622">
        <v>0</v>
      </c>
      <c r="M119" s="622">
        <f t="shared" si="13"/>
        <v>0</v>
      </c>
      <c r="N119" s="622">
        <v>0</v>
      </c>
      <c r="O119" s="622">
        <v>0</v>
      </c>
      <c r="P119" s="135">
        <f t="shared" si="14"/>
        <v>0</v>
      </c>
      <c r="Q119" s="622">
        <v>0</v>
      </c>
      <c r="R119" s="622">
        <v>0</v>
      </c>
      <c r="S119" s="135">
        <f t="shared" si="12"/>
        <v>0</v>
      </c>
      <c r="T119" s="623">
        <v>0</v>
      </c>
      <c r="U119" s="623">
        <v>0</v>
      </c>
      <c r="V119" s="623">
        <v>0</v>
      </c>
      <c r="W119" s="623">
        <v>0</v>
      </c>
    </row>
    <row r="120" spans="1:23" x14ac:dyDescent="0.2">
      <c r="A120" s="161">
        <v>98</v>
      </c>
      <c r="B120" s="167" t="s">
        <v>250</v>
      </c>
      <c r="C120" s="50" t="s">
        <v>251</v>
      </c>
      <c r="D120" s="135">
        <f t="shared" si="11"/>
        <v>0</v>
      </c>
      <c r="E120" s="135">
        <f t="shared" si="10"/>
        <v>0</v>
      </c>
      <c r="F120" s="622">
        <v>0</v>
      </c>
      <c r="G120" s="622">
        <v>0</v>
      </c>
      <c r="H120" s="622">
        <v>0</v>
      </c>
      <c r="I120" s="135">
        <f t="shared" si="15"/>
        <v>0</v>
      </c>
      <c r="J120" s="622">
        <v>0</v>
      </c>
      <c r="K120" s="622">
        <v>0</v>
      </c>
      <c r="L120" s="622">
        <v>0</v>
      </c>
      <c r="M120" s="622">
        <f t="shared" si="13"/>
        <v>0</v>
      </c>
      <c r="N120" s="622">
        <v>0</v>
      </c>
      <c r="O120" s="622">
        <v>0</v>
      </c>
      <c r="P120" s="135">
        <f t="shared" si="14"/>
        <v>0</v>
      </c>
      <c r="Q120" s="622">
        <v>0</v>
      </c>
      <c r="R120" s="622">
        <v>0</v>
      </c>
      <c r="S120" s="135">
        <f t="shared" si="12"/>
        <v>0</v>
      </c>
      <c r="T120" s="623">
        <v>0</v>
      </c>
      <c r="U120" s="623">
        <v>0</v>
      </c>
      <c r="V120" s="623">
        <v>0</v>
      </c>
      <c r="W120" s="623">
        <v>0</v>
      </c>
    </row>
    <row r="121" spans="1:23" x14ac:dyDescent="0.2">
      <c r="A121" s="161">
        <v>99</v>
      </c>
      <c r="B121" s="49" t="s">
        <v>252</v>
      </c>
      <c r="C121" s="60" t="s">
        <v>253</v>
      </c>
      <c r="D121" s="135">
        <f t="shared" si="11"/>
        <v>0</v>
      </c>
      <c r="E121" s="135">
        <f t="shared" si="10"/>
        <v>0</v>
      </c>
      <c r="F121" s="622">
        <v>0</v>
      </c>
      <c r="G121" s="622">
        <v>0</v>
      </c>
      <c r="H121" s="622">
        <v>0</v>
      </c>
      <c r="I121" s="135">
        <f t="shared" si="15"/>
        <v>0</v>
      </c>
      <c r="J121" s="622">
        <v>0</v>
      </c>
      <c r="K121" s="622">
        <v>0</v>
      </c>
      <c r="L121" s="622">
        <v>0</v>
      </c>
      <c r="M121" s="622">
        <f t="shared" si="13"/>
        <v>0</v>
      </c>
      <c r="N121" s="622">
        <v>0</v>
      </c>
      <c r="O121" s="622">
        <v>0</v>
      </c>
      <c r="P121" s="135">
        <f t="shared" si="14"/>
        <v>0</v>
      </c>
      <c r="Q121" s="622">
        <v>0</v>
      </c>
      <c r="R121" s="622">
        <v>0</v>
      </c>
      <c r="S121" s="135">
        <f t="shared" si="12"/>
        <v>0</v>
      </c>
      <c r="T121" s="623">
        <v>0</v>
      </c>
      <c r="U121" s="623">
        <v>0</v>
      </c>
      <c r="V121" s="623">
        <v>0</v>
      </c>
      <c r="W121" s="623">
        <v>0</v>
      </c>
    </row>
    <row r="122" spans="1:23" x14ac:dyDescent="0.2">
      <c r="A122" s="161">
        <v>100</v>
      </c>
      <c r="B122" s="167" t="s">
        <v>254</v>
      </c>
      <c r="C122" s="50" t="s">
        <v>255</v>
      </c>
      <c r="D122" s="135">
        <f t="shared" si="11"/>
        <v>0</v>
      </c>
      <c r="E122" s="135">
        <f t="shared" si="10"/>
        <v>0</v>
      </c>
      <c r="F122" s="622">
        <v>0</v>
      </c>
      <c r="G122" s="622">
        <v>0</v>
      </c>
      <c r="H122" s="622">
        <v>0</v>
      </c>
      <c r="I122" s="135">
        <f t="shared" si="15"/>
        <v>0</v>
      </c>
      <c r="J122" s="622">
        <v>0</v>
      </c>
      <c r="K122" s="622">
        <v>0</v>
      </c>
      <c r="L122" s="622">
        <v>0</v>
      </c>
      <c r="M122" s="622">
        <f t="shared" si="13"/>
        <v>0</v>
      </c>
      <c r="N122" s="622">
        <v>0</v>
      </c>
      <c r="O122" s="622">
        <v>0</v>
      </c>
      <c r="P122" s="135">
        <f t="shared" si="14"/>
        <v>0</v>
      </c>
      <c r="Q122" s="622">
        <v>0</v>
      </c>
      <c r="R122" s="622">
        <v>0</v>
      </c>
      <c r="S122" s="135">
        <f t="shared" si="12"/>
        <v>0</v>
      </c>
      <c r="T122" s="623">
        <v>0</v>
      </c>
      <c r="U122" s="623">
        <v>0</v>
      </c>
      <c r="V122" s="623">
        <v>0</v>
      </c>
      <c r="W122" s="623">
        <v>0</v>
      </c>
    </row>
    <row r="123" spans="1:23" x14ac:dyDescent="0.2">
      <c r="A123" s="161">
        <v>101</v>
      </c>
      <c r="B123" s="52" t="s">
        <v>256</v>
      </c>
      <c r="C123" s="50" t="s">
        <v>257</v>
      </c>
      <c r="D123" s="135">
        <f t="shared" si="11"/>
        <v>0</v>
      </c>
      <c r="E123" s="135">
        <f t="shared" si="10"/>
        <v>0</v>
      </c>
      <c r="F123" s="622">
        <v>0</v>
      </c>
      <c r="G123" s="622">
        <v>0</v>
      </c>
      <c r="H123" s="622">
        <v>0</v>
      </c>
      <c r="I123" s="135">
        <f t="shared" si="15"/>
        <v>0</v>
      </c>
      <c r="J123" s="622">
        <v>0</v>
      </c>
      <c r="K123" s="622">
        <v>0</v>
      </c>
      <c r="L123" s="622">
        <v>0</v>
      </c>
      <c r="M123" s="622">
        <f t="shared" si="13"/>
        <v>0</v>
      </c>
      <c r="N123" s="622">
        <v>0</v>
      </c>
      <c r="O123" s="622">
        <v>0</v>
      </c>
      <c r="P123" s="135">
        <f t="shared" si="14"/>
        <v>0</v>
      </c>
      <c r="Q123" s="622">
        <v>0</v>
      </c>
      <c r="R123" s="622">
        <v>0</v>
      </c>
      <c r="S123" s="135">
        <f t="shared" si="12"/>
        <v>0</v>
      </c>
      <c r="T123" s="623">
        <v>0</v>
      </c>
      <c r="U123" s="623">
        <v>0</v>
      </c>
      <c r="V123" s="623">
        <v>0</v>
      </c>
      <c r="W123" s="623">
        <v>0</v>
      </c>
    </row>
    <row r="124" spans="1:23" x14ac:dyDescent="0.2">
      <c r="A124" s="161">
        <v>102</v>
      </c>
      <c r="B124" s="52" t="s">
        <v>258</v>
      </c>
      <c r="C124" s="50" t="s">
        <v>259</v>
      </c>
      <c r="D124" s="135">
        <f t="shared" si="11"/>
        <v>0</v>
      </c>
      <c r="E124" s="135">
        <f t="shared" si="10"/>
        <v>0</v>
      </c>
      <c r="F124" s="622">
        <v>0</v>
      </c>
      <c r="G124" s="622">
        <v>0</v>
      </c>
      <c r="H124" s="622">
        <v>0</v>
      </c>
      <c r="I124" s="135">
        <f t="shared" si="15"/>
        <v>0</v>
      </c>
      <c r="J124" s="622">
        <v>0</v>
      </c>
      <c r="K124" s="622">
        <v>0</v>
      </c>
      <c r="L124" s="622">
        <v>0</v>
      </c>
      <c r="M124" s="622">
        <f t="shared" si="13"/>
        <v>0</v>
      </c>
      <c r="N124" s="622">
        <v>0</v>
      </c>
      <c r="O124" s="622">
        <v>0</v>
      </c>
      <c r="P124" s="135">
        <f t="shared" si="14"/>
        <v>0</v>
      </c>
      <c r="Q124" s="622">
        <v>0</v>
      </c>
      <c r="R124" s="622">
        <v>0</v>
      </c>
      <c r="S124" s="135">
        <f t="shared" si="12"/>
        <v>0</v>
      </c>
      <c r="T124" s="623">
        <v>0</v>
      </c>
      <c r="U124" s="623">
        <v>0</v>
      </c>
      <c r="V124" s="623">
        <v>0</v>
      </c>
      <c r="W124" s="623">
        <v>0</v>
      </c>
    </row>
    <row r="125" spans="1:23" x14ac:dyDescent="0.2">
      <c r="A125" s="161">
        <v>103</v>
      </c>
      <c r="B125" s="165" t="s">
        <v>543</v>
      </c>
      <c r="C125" s="164" t="s">
        <v>544</v>
      </c>
      <c r="D125" s="135">
        <f t="shared" si="11"/>
        <v>0</v>
      </c>
      <c r="E125" s="135">
        <f t="shared" si="10"/>
        <v>0</v>
      </c>
      <c r="F125" s="622">
        <v>0</v>
      </c>
      <c r="G125" s="622">
        <v>0</v>
      </c>
      <c r="H125" s="622">
        <v>0</v>
      </c>
      <c r="I125" s="135">
        <f t="shared" si="15"/>
        <v>0</v>
      </c>
      <c r="J125" s="622">
        <v>0</v>
      </c>
      <c r="K125" s="622">
        <v>0</v>
      </c>
      <c r="L125" s="622">
        <v>0</v>
      </c>
      <c r="M125" s="622">
        <f t="shared" si="13"/>
        <v>0</v>
      </c>
      <c r="N125" s="622">
        <v>0</v>
      </c>
      <c r="O125" s="622">
        <v>0</v>
      </c>
      <c r="P125" s="135">
        <f t="shared" si="14"/>
        <v>0</v>
      </c>
      <c r="Q125" s="622">
        <v>0</v>
      </c>
      <c r="R125" s="622">
        <v>0</v>
      </c>
      <c r="S125" s="135">
        <f t="shared" si="12"/>
        <v>0</v>
      </c>
      <c r="T125" s="623">
        <v>0</v>
      </c>
      <c r="U125" s="623">
        <v>0</v>
      </c>
      <c r="V125" s="623">
        <v>0</v>
      </c>
      <c r="W125" s="623">
        <v>0</v>
      </c>
    </row>
    <row r="126" spans="1:23" x14ac:dyDescent="0.2">
      <c r="A126" s="161">
        <v>104</v>
      </c>
      <c r="B126" s="52" t="s">
        <v>260</v>
      </c>
      <c r="C126" s="50" t="s">
        <v>261</v>
      </c>
      <c r="D126" s="135">
        <f t="shared" si="11"/>
        <v>0</v>
      </c>
      <c r="E126" s="135">
        <f t="shared" si="10"/>
        <v>0</v>
      </c>
      <c r="F126" s="622">
        <v>0</v>
      </c>
      <c r="G126" s="622">
        <v>0</v>
      </c>
      <c r="H126" s="622">
        <v>0</v>
      </c>
      <c r="I126" s="135">
        <f t="shared" si="15"/>
        <v>0</v>
      </c>
      <c r="J126" s="622">
        <v>0</v>
      </c>
      <c r="K126" s="622">
        <v>0</v>
      </c>
      <c r="L126" s="622">
        <v>0</v>
      </c>
      <c r="M126" s="622">
        <f t="shared" si="13"/>
        <v>0</v>
      </c>
      <c r="N126" s="622">
        <v>0</v>
      </c>
      <c r="O126" s="622">
        <v>0</v>
      </c>
      <c r="P126" s="135">
        <f t="shared" si="14"/>
        <v>0</v>
      </c>
      <c r="Q126" s="622">
        <v>0</v>
      </c>
      <c r="R126" s="622">
        <v>0</v>
      </c>
      <c r="S126" s="135">
        <f t="shared" si="12"/>
        <v>0</v>
      </c>
      <c r="T126" s="623">
        <v>0</v>
      </c>
      <c r="U126" s="623">
        <v>0</v>
      </c>
      <c r="V126" s="623">
        <v>0</v>
      </c>
      <c r="W126" s="623">
        <v>0</v>
      </c>
    </row>
    <row r="127" spans="1:23" x14ac:dyDescent="0.2">
      <c r="A127" s="161">
        <v>105</v>
      </c>
      <c r="B127" s="167" t="s">
        <v>262</v>
      </c>
      <c r="C127" s="50" t="s">
        <v>263</v>
      </c>
      <c r="D127" s="135">
        <f t="shared" si="11"/>
        <v>10800</v>
      </c>
      <c r="E127" s="135">
        <f t="shared" si="10"/>
        <v>0</v>
      </c>
      <c r="F127" s="622">
        <v>0</v>
      </c>
      <c r="G127" s="622">
        <v>0</v>
      </c>
      <c r="H127" s="622">
        <v>0</v>
      </c>
      <c r="I127" s="135">
        <f t="shared" si="15"/>
        <v>0</v>
      </c>
      <c r="J127" s="622">
        <v>0</v>
      </c>
      <c r="K127" s="622">
        <v>0</v>
      </c>
      <c r="L127" s="622">
        <v>0</v>
      </c>
      <c r="M127" s="622">
        <f t="shared" si="13"/>
        <v>0</v>
      </c>
      <c r="N127" s="622">
        <v>0</v>
      </c>
      <c r="O127" s="622">
        <v>0</v>
      </c>
      <c r="P127" s="135">
        <f t="shared" si="14"/>
        <v>0</v>
      </c>
      <c r="Q127" s="622">
        <v>0</v>
      </c>
      <c r="R127" s="622">
        <v>0</v>
      </c>
      <c r="S127" s="135">
        <f t="shared" si="12"/>
        <v>10800</v>
      </c>
      <c r="T127" s="623">
        <v>1080</v>
      </c>
      <c r="U127" s="623">
        <v>9720</v>
      </c>
      <c r="V127" s="623">
        <v>0</v>
      </c>
      <c r="W127" s="623">
        <v>0</v>
      </c>
    </row>
    <row r="128" spans="1:23" ht="24" x14ac:dyDescent="0.2">
      <c r="A128" s="161">
        <v>106</v>
      </c>
      <c r="B128" s="167" t="s">
        <v>264</v>
      </c>
      <c r="C128" s="54" t="s">
        <v>265</v>
      </c>
      <c r="D128" s="135">
        <f t="shared" si="11"/>
        <v>0</v>
      </c>
      <c r="E128" s="135">
        <f t="shared" si="10"/>
        <v>0</v>
      </c>
      <c r="F128" s="622">
        <v>0</v>
      </c>
      <c r="G128" s="622">
        <v>0</v>
      </c>
      <c r="H128" s="622">
        <v>0</v>
      </c>
      <c r="I128" s="135">
        <f t="shared" si="15"/>
        <v>0</v>
      </c>
      <c r="J128" s="622">
        <v>0</v>
      </c>
      <c r="K128" s="622">
        <v>0</v>
      </c>
      <c r="L128" s="622">
        <v>0</v>
      </c>
      <c r="M128" s="622">
        <f t="shared" si="13"/>
        <v>0</v>
      </c>
      <c r="N128" s="622">
        <v>0</v>
      </c>
      <c r="O128" s="622">
        <v>0</v>
      </c>
      <c r="P128" s="135">
        <f t="shared" si="14"/>
        <v>0</v>
      </c>
      <c r="Q128" s="622">
        <v>0</v>
      </c>
      <c r="R128" s="622">
        <v>0</v>
      </c>
      <c r="S128" s="135">
        <f t="shared" si="12"/>
        <v>0</v>
      </c>
      <c r="T128" s="623">
        <v>0</v>
      </c>
      <c r="U128" s="623">
        <v>0</v>
      </c>
      <c r="V128" s="623">
        <v>0</v>
      </c>
      <c r="W128" s="623">
        <v>0</v>
      </c>
    </row>
    <row r="129" spans="1:23" x14ac:dyDescent="0.2">
      <c r="A129" s="161">
        <v>107</v>
      </c>
      <c r="B129" s="167" t="s">
        <v>266</v>
      </c>
      <c r="C129" s="50" t="s">
        <v>267</v>
      </c>
      <c r="D129" s="135">
        <f t="shared" si="11"/>
        <v>236713</v>
      </c>
      <c r="E129" s="135">
        <f t="shared" si="10"/>
        <v>0</v>
      </c>
      <c r="F129" s="622">
        <v>0</v>
      </c>
      <c r="G129" s="622">
        <v>0</v>
      </c>
      <c r="H129" s="622">
        <v>0</v>
      </c>
      <c r="I129" s="135">
        <f t="shared" si="15"/>
        <v>0</v>
      </c>
      <c r="J129" s="622">
        <v>0</v>
      </c>
      <c r="K129" s="622">
        <v>0</v>
      </c>
      <c r="L129" s="622">
        <v>0</v>
      </c>
      <c r="M129" s="622">
        <f t="shared" si="13"/>
        <v>0</v>
      </c>
      <c r="N129" s="622">
        <v>0</v>
      </c>
      <c r="O129" s="622">
        <v>0</v>
      </c>
      <c r="P129" s="135">
        <f t="shared" si="14"/>
        <v>0</v>
      </c>
      <c r="Q129" s="622">
        <v>0</v>
      </c>
      <c r="R129" s="622">
        <v>0</v>
      </c>
      <c r="S129" s="135">
        <f t="shared" si="12"/>
        <v>236713</v>
      </c>
      <c r="T129" s="623">
        <v>0</v>
      </c>
      <c r="U129" s="623">
        <v>236713</v>
      </c>
      <c r="V129" s="623">
        <v>0</v>
      </c>
      <c r="W129" s="623">
        <v>0</v>
      </c>
    </row>
    <row r="130" spans="1:23" x14ac:dyDescent="0.2">
      <c r="A130" s="161">
        <v>108</v>
      </c>
      <c r="B130" s="167" t="s">
        <v>268</v>
      </c>
      <c r="C130" s="50" t="s">
        <v>269</v>
      </c>
      <c r="D130" s="135">
        <f t="shared" si="11"/>
        <v>151340</v>
      </c>
      <c r="E130" s="135">
        <f t="shared" si="10"/>
        <v>0</v>
      </c>
      <c r="F130" s="622">
        <v>0</v>
      </c>
      <c r="G130" s="622">
        <v>0</v>
      </c>
      <c r="H130" s="622">
        <v>0</v>
      </c>
      <c r="I130" s="135">
        <f t="shared" si="15"/>
        <v>0</v>
      </c>
      <c r="J130" s="622">
        <v>0</v>
      </c>
      <c r="K130" s="622">
        <v>0</v>
      </c>
      <c r="L130" s="622">
        <v>0</v>
      </c>
      <c r="M130" s="622">
        <f t="shared" si="13"/>
        <v>0</v>
      </c>
      <c r="N130" s="622">
        <v>0</v>
      </c>
      <c r="O130" s="622">
        <v>0</v>
      </c>
      <c r="P130" s="135">
        <f t="shared" si="14"/>
        <v>0</v>
      </c>
      <c r="Q130" s="622">
        <v>0</v>
      </c>
      <c r="R130" s="622">
        <v>0</v>
      </c>
      <c r="S130" s="135">
        <f t="shared" si="12"/>
        <v>151340</v>
      </c>
      <c r="T130" s="623">
        <v>0</v>
      </c>
      <c r="U130" s="623">
        <v>151340</v>
      </c>
      <c r="V130" s="623">
        <v>0</v>
      </c>
      <c r="W130" s="623">
        <v>0</v>
      </c>
    </row>
    <row r="131" spans="1:23" x14ac:dyDescent="0.2">
      <c r="A131" s="161">
        <v>109</v>
      </c>
      <c r="B131" s="167" t="s">
        <v>270</v>
      </c>
      <c r="C131" s="50" t="s">
        <v>271</v>
      </c>
      <c r="D131" s="135">
        <f t="shared" si="11"/>
        <v>116425</v>
      </c>
      <c r="E131" s="135">
        <f t="shared" si="10"/>
        <v>0</v>
      </c>
      <c r="F131" s="622">
        <v>0</v>
      </c>
      <c r="G131" s="622">
        <v>0</v>
      </c>
      <c r="H131" s="622">
        <v>0</v>
      </c>
      <c r="I131" s="135">
        <f t="shared" si="15"/>
        <v>0</v>
      </c>
      <c r="J131" s="622">
        <v>0</v>
      </c>
      <c r="K131" s="622">
        <v>0</v>
      </c>
      <c r="L131" s="622">
        <v>0</v>
      </c>
      <c r="M131" s="622">
        <f t="shared" si="13"/>
        <v>0</v>
      </c>
      <c r="N131" s="622">
        <v>0</v>
      </c>
      <c r="O131" s="622">
        <v>0</v>
      </c>
      <c r="P131" s="135">
        <f t="shared" si="14"/>
        <v>0</v>
      </c>
      <c r="Q131" s="622">
        <v>0</v>
      </c>
      <c r="R131" s="622">
        <v>0</v>
      </c>
      <c r="S131" s="135">
        <f t="shared" si="12"/>
        <v>116425</v>
      </c>
      <c r="T131" s="623">
        <v>0</v>
      </c>
      <c r="U131" s="623">
        <v>116425</v>
      </c>
      <c r="V131" s="623">
        <v>0</v>
      </c>
      <c r="W131" s="623">
        <v>0</v>
      </c>
    </row>
    <row r="132" spans="1:23" x14ac:dyDescent="0.2">
      <c r="A132" s="161">
        <v>110</v>
      </c>
      <c r="B132" s="49" t="s">
        <v>272</v>
      </c>
      <c r="C132" s="50" t="s">
        <v>273</v>
      </c>
      <c r="D132" s="135">
        <f t="shared" si="11"/>
        <v>124548</v>
      </c>
      <c r="E132" s="135">
        <f t="shared" si="10"/>
        <v>0</v>
      </c>
      <c r="F132" s="622">
        <v>0</v>
      </c>
      <c r="G132" s="622">
        <v>0</v>
      </c>
      <c r="H132" s="622">
        <v>0</v>
      </c>
      <c r="I132" s="135">
        <f t="shared" si="15"/>
        <v>0</v>
      </c>
      <c r="J132" s="622">
        <v>0</v>
      </c>
      <c r="K132" s="622">
        <v>0</v>
      </c>
      <c r="L132" s="622">
        <v>0</v>
      </c>
      <c r="M132" s="622">
        <f t="shared" si="13"/>
        <v>0</v>
      </c>
      <c r="N132" s="622">
        <v>0</v>
      </c>
      <c r="O132" s="622">
        <v>0</v>
      </c>
      <c r="P132" s="135">
        <f t="shared" si="14"/>
        <v>0</v>
      </c>
      <c r="Q132" s="622">
        <v>0</v>
      </c>
      <c r="R132" s="622">
        <v>0</v>
      </c>
      <c r="S132" s="135">
        <f t="shared" si="12"/>
        <v>124548</v>
      </c>
      <c r="T132" s="623">
        <v>0</v>
      </c>
      <c r="U132" s="623">
        <v>124548</v>
      </c>
      <c r="V132" s="623">
        <v>0</v>
      </c>
      <c r="W132" s="623">
        <v>0</v>
      </c>
    </row>
    <row r="133" spans="1:23" x14ac:dyDescent="0.2">
      <c r="A133" s="116">
        <v>111</v>
      </c>
      <c r="B133" s="71" t="s">
        <v>274</v>
      </c>
      <c r="C133" s="31" t="s">
        <v>275</v>
      </c>
      <c r="D133" s="135">
        <f t="shared" si="11"/>
        <v>109892</v>
      </c>
      <c r="E133" s="135">
        <f t="shared" si="10"/>
        <v>0</v>
      </c>
      <c r="F133" s="114">
        <v>0</v>
      </c>
      <c r="G133" s="114">
        <v>0</v>
      </c>
      <c r="H133" s="114">
        <v>0</v>
      </c>
      <c r="I133" s="135">
        <f t="shared" si="15"/>
        <v>0</v>
      </c>
      <c r="J133" s="114">
        <v>0</v>
      </c>
      <c r="K133" s="114">
        <v>0</v>
      </c>
      <c r="L133" s="114">
        <v>0</v>
      </c>
      <c r="M133" s="114">
        <f t="shared" si="13"/>
        <v>0</v>
      </c>
      <c r="N133" s="114">
        <v>0</v>
      </c>
      <c r="O133" s="114">
        <v>0</v>
      </c>
      <c r="P133" s="135">
        <f t="shared" si="14"/>
        <v>0</v>
      </c>
      <c r="Q133" s="114">
        <v>0</v>
      </c>
      <c r="R133" s="114">
        <v>0</v>
      </c>
      <c r="S133" s="135">
        <f t="shared" si="12"/>
        <v>109892</v>
      </c>
      <c r="T133" s="115">
        <v>600</v>
      </c>
      <c r="U133" s="115">
        <v>97492</v>
      </c>
      <c r="V133" s="115">
        <v>0</v>
      </c>
      <c r="W133" s="623">
        <v>11800</v>
      </c>
    </row>
    <row r="134" spans="1:23" x14ac:dyDescent="0.2">
      <c r="A134" s="116">
        <v>112</v>
      </c>
      <c r="B134" s="71" t="s">
        <v>276</v>
      </c>
      <c r="C134" s="31" t="s">
        <v>277</v>
      </c>
      <c r="D134" s="135">
        <f t="shared" si="11"/>
        <v>78310</v>
      </c>
      <c r="E134" s="135">
        <f t="shared" si="10"/>
        <v>0</v>
      </c>
      <c r="F134" s="114">
        <v>0</v>
      </c>
      <c r="G134" s="114">
        <v>0</v>
      </c>
      <c r="H134" s="114">
        <v>0</v>
      </c>
      <c r="I134" s="135">
        <f t="shared" si="15"/>
        <v>0</v>
      </c>
      <c r="J134" s="114">
        <v>0</v>
      </c>
      <c r="K134" s="114">
        <v>0</v>
      </c>
      <c r="L134" s="114">
        <v>0</v>
      </c>
      <c r="M134" s="114">
        <f t="shared" si="13"/>
        <v>0</v>
      </c>
      <c r="N134" s="114">
        <v>0</v>
      </c>
      <c r="O134" s="114">
        <v>0</v>
      </c>
      <c r="P134" s="135">
        <f t="shared" si="14"/>
        <v>0</v>
      </c>
      <c r="Q134" s="114">
        <v>0</v>
      </c>
      <c r="R134" s="114">
        <v>0</v>
      </c>
      <c r="S134" s="135">
        <f t="shared" si="12"/>
        <v>78310</v>
      </c>
      <c r="T134" s="115">
        <v>0</v>
      </c>
      <c r="U134" s="115">
        <v>55180</v>
      </c>
      <c r="V134" s="115">
        <v>0</v>
      </c>
      <c r="W134" s="623">
        <v>23130</v>
      </c>
    </row>
    <row r="135" spans="1:23" x14ac:dyDescent="0.2">
      <c r="A135" s="116">
        <v>113</v>
      </c>
      <c r="B135" s="618" t="s">
        <v>278</v>
      </c>
      <c r="C135" s="31" t="s">
        <v>279</v>
      </c>
      <c r="D135" s="135">
        <f t="shared" si="11"/>
        <v>90176</v>
      </c>
      <c r="E135" s="135">
        <f t="shared" si="10"/>
        <v>0</v>
      </c>
      <c r="F135" s="114">
        <v>0</v>
      </c>
      <c r="G135" s="114">
        <v>0</v>
      </c>
      <c r="H135" s="114">
        <v>0</v>
      </c>
      <c r="I135" s="135">
        <f t="shared" si="15"/>
        <v>0</v>
      </c>
      <c r="J135" s="114">
        <v>0</v>
      </c>
      <c r="K135" s="114">
        <v>0</v>
      </c>
      <c r="L135" s="114">
        <v>0</v>
      </c>
      <c r="M135" s="114">
        <f t="shared" si="13"/>
        <v>0</v>
      </c>
      <c r="N135" s="114">
        <v>0</v>
      </c>
      <c r="O135" s="114">
        <v>0</v>
      </c>
      <c r="P135" s="135">
        <f t="shared" si="14"/>
        <v>0</v>
      </c>
      <c r="Q135" s="114">
        <v>0</v>
      </c>
      <c r="R135" s="114">
        <v>0</v>
      </c>
      <c r="S135" s="135">
        <f t="shared" si="12"/>
        <v>90176</v>
      </c>
      <c r="T135" s="115">
        <v>0</v>
      </c>
      <c r="U135" s="115">
        <v>90176</v>
      </c>
      <c r="V135" s="115">
        <v>0</v>
      </c>
      <c r="W135" s="623">
        <v>0</v>
      </c>
    </row>
    <row r="136" spans="1:23" x14ac:dyDescent="0.2">
      <c r="A136" s="116">
        <v>114</v>
      </c>
      <c r="B136" s="618" t="s">
        <v>280</v>
      </c>
      <c r="C136" s="31" t="s">
        <v>281</v>
      </c>
      <c r="D136" s="135">
        <f t="shared" si="11"/>
        <v>0</v>
      </c>
      <c r="E136" s="135">
        <f t="shared" si="10"/>
        <v>0</v>
      </c>
      <c r="F136" s="114">
        <v>0</v>
      </c>
      <c r="G136" s="114">
        <v>0</v>
      </c>
      <c r="H136" s="114">
        <v>0</v>
      </c>
      <c r="I136" s="135">
        <f t="shared" si="15"/>
        <v>0</v>
      </c>
      <c r="J136" s="114">
        <v>0</v>
      </c>
      <c r="K136" s="114">
        <v>0</v>
      </c>
      <c r="L136" s="114">
        <v>0</v>
      </c>
      <c r="M136" s="114">
        <f t="shared" si="13"/>
        <v>0</v>
      </c>
      <c r="N136" s="114">
        <v>0</v>
      </c>
      <c r="O136" s="114">
        <v>0</v>
      </c>
      <c r="P136" s="135">
        <f t="shared" si="14"/>
        <v>0</v>
      </c>
      <c r="Q136" s="114">
        <v>0</v>
      </c>
      <c r="R136" s="114">
        <v>0</v>
      </c>
      <c r="S136" s="135">
        <f t="shared" si="12"/>
        <v>0</v>
      </c>
      <c r="T136" s="115">
        <v>0</v>
      </c>
      <c r="U136" s="115">
        <v>0</v>
      </c>
      <c r="V136" s="115">
        <v>0</v>
      </c>
      <c r="W136" s="623">
        <v>0</v>
      </c>
    </row>
    <row r="137" spans="1:23" x14ac:dyDescent="0.2">
      <c r="A137" s="116">
        <v>115</v>
      </c>
      <c r="B137" s="618" t="s">
        <v>282</v>
      </c>
      <c r="C137" s="31" t="s">
        <v>772</v>
      </c>
      <c r="D137" s="135">
        <f t="shared" si="11"/>
        <v>60218</v>
      </c>
      <c r="E137" s="135">
        <f t="shared" si="10"/>
        <v>0</v>
      </c>
      <c r="F137" s="114">
        <v>0</v>
      </c>
      <c r="G137" s="114">
        <v>0</v>
      </c>
      <c r="H137" s="114">
        <v>0</v>
      </c>
      <c r="I137" s="135">
        <f t="shared" si="15"/>
        <v>0</v>
      </c>
      <c r="J137" s="114">
        <v>0</v>
      </c>
      <c r="K137" s="114">
        <v>0</v>
      </c>
      <c r="L137" s="114">
        <v>0</v>
      </c>
      <c r="M137" s="114">
        <f t="shared" si="13"/>
        <v>0</v>
      </c>
      <c r="N137" s="114">
        <v>0</v>
      </c>
      <c r="O137" s="114">
        <v>0</v>
      </c>
      <c r="P137" s="135">
        <f t="shared" si="14"/>
        <v>0</v>
      </c>
      <c r="Q137" s="114">
        <v>0</v>
      </c>
      <c r="R137" s="114">
        <v>0</v>
      </c>
      <c r="S137" s="135">
        <f t="shared" si="12"/>
        <v>60218</v>
      </c>
      <c r="T137" s="115">
        <v>0</v>
      </c>
      <c r="U137" s="115">
        <v>60218</v>
      </c>
      <c r="V137" s="115">
        <v>0</v>
      </c>
      <c r="W137" s="623">
        <v>0</v>
      </c>
    </row>
    <row r="138" spans="1:23" x14ac:dyDescent="0.2">
      <c r="A138" s="116">
        <v>116</v>
      </c>
      <c r="B138" s="71" t="s">
        <v>283</v>
      </c>
      <c r="C138" s="31" t="s">
        <v>284</v>
      </c>
      <c r="D138" s="135">
        <f t="shared" ref="D138:D149" si="17">E138+I138+P138+S138</f>
        <v>117978</v>
      </c>
      <c r="E138" s="135">
        <f t="shared" si="10"/>
        <v>3513</v>
      </c>
      <c r="F138" s="114">
        <v>3513</v>
      </c>
      <c r="G138" s="114">
        <v>400</v>
      </c>
      <c r="H138" s="114">
        <v>0</v>
      </c>
      <c r="I138" s="135">
        <f t="shared" si="15"/>
        <v>33147</v>
      </c>
      <c r="J138" s="114">
        <v>33147</v>
      </c>
      <c r="K138" s="114">
        <v>850</v>
      </c>
      <c r="L138" s="114">
        <v>3844</v>
      </c>
      <c r="M138" s="114">
        <f t="shared" si="13"/>
        <v>0</v>
      </c>
      <c r="N138" s="114">
        <v>0</v>
      </c>
      <c r="O138" s="114">
        <v>0</v>
      </c>
      <c r="P138" s="135">
        <f t="shared" si="14"/>
        <v>12294</v>
      </c>
      <c r="Q138" s="114">
        <v>6824</v>
      </c>
      <c r="R138" s="114">
        <v>5470</v>
      </c>
      <c r="S138" s="135">
        <f t="shared" ref="S138:S149" si="18">SUM(T138:X138)</f>
        <v>69024</v>
      </c>
      <c r="T138" s="115">
        <v>39102</v>
      </c>
      <c r="U138" s="115">
        <v>23033</v>
      </c>
      <c r="V138" s="115">
        <v>0</v>
      </c>
      <c r="W138" s="623">
        <v>6889</v>
      </c>
    </row>
    <row r="139" spans="1:23" ht="24" x14ac:dyDescent="0.2">
      <c r="A139" s="116">
        <v>117</v>
      </c>
      <c r="B139" s="72" t="s">
        <v>285</v>
      </c>
      <c r="C139" s="50" t="s">
        <v>728</v>
      </c>
      <c r="D139" s="135">
        <f t="shared" si="17"/>
        <v>258919</v>
      </c>
      <c r="E139" s="135">
        <f t="shared" ref="E139:E149" si="19">F139+H139</f>
        <v>20299</v>
      </c>
      <c r="F139" s="114">
        <v>4462</v>
      </c>
      <c r="G139" s="114">
        <v>160</v>
      </c>
      <c r="H139" s="114">
        <v>15837</v>
      </c>
      <c r="I139" s="135">
        <f t="shared" si="15"/>
        <v>42170</v>
      </c>
      <c r="J139" s="114">
        <v>42105</v>
      </c>
      <c r="K139" s="114">
        <v>920</v>
      </c>
      <c r="L139" s="114">
        <v>4882</v>
      </c>
      <c r="M139" s="114">
        <f t="shared" si="13"/>
        <v>65</v>
      </c>
      <c r="N139" s="114">
        <v>0</v>
      </c>
      <c r="O139" s="114">
        <v>65</v>
      </c>
      <c r="P139" s="135">
        <f t="shared" si="14"/>
        <v>15668</v>
      </c>
      <c r="Q139" s="114">
        <v>8711</v>
      </c>
      <c r="R139" s="114">
        <v>6957</v>
      </c>
      <c r="S139" s="135">
        <f t="shared" si="18"/>
        <v>180782</v>
      </c>
      <c r="T139" s="115">
        <v>24178</v>
      </c>
      <c r="U139" s="115">
        <v>103471</v>
      </c>
      <c r="V139" s="115">
        <v>6924</v>
      </c>
      <c r="W139" s="623">
        <v>46209</v>
      </c>
    </row>
    <row r="140" spans="1:23" x14ac:dyDescent="0.2">
      <c r="A140" s="116">
        <v>118</v>
      </c>
      <c r="B140" s="618" t="s">
        <v>286</v>
      </c>
      <c r="C140" s="31" t="s">
        <v>287</v>
      </c>
      <c r="D140" s="135">
        <f t="shared" si="17"/>
        <v>5638</v>
      </c>
      <c r="E140" s="135">
        <f t="shared" si="19"/>
        <v>0</v>
      </c>
      <c r="F140" s="114">
        <v>0</v>
      </c>
      <c r="G140" s="114">
        <v>0</v>
      </c>
      <c r="H140" s="114">
        <v>0</v>
      </c>
      <c r="I140" s="135">
        <f t="shared" si="15"/>
        <v>0</v>
      </c>
      <c r="J140" s="114">
        <v>0</v>
      </c>
      <c r="K140" s="114">
        <v>0</v>
      </c>
      <c r="L140" s="114">
        <v>0</v>
      </c>
      <c r="M140" s="114">
        <f t="shared" ref="M140:M149" si="20">N140+O140</f>
        <v>0</v>
      </c>
      <c r="N140" s="114">
        <v>0</v>
      </c>
      <c r="O140" s="114">
        <v>0</v>
      </c>
      <c r="P140" s="135">
        <f t="shared" ref="P140:P149" si="21">Q140+R140</f>
        <v>0</v>
      </c>
      <c r="Q140" s="114">
        <v>0</v>
      </c>
      <c r="R140" s="114">
        <v>0</v>
      </c>
      <c r="S140" s="135">
        <f t="shared" si="18"/>
        <v>5638</v>
      </c>
      <c r="T140" s="115">
        <v>0</v>
      </c>
      <c r="U140" s="115">
        <v>5638</v>
      </c>
      <c r="V140" s="115">
        <v>0</v>
      </c>
      <c r="W140" s="115">
        <v>0</v>
      </c>
    </row>
    <row r="141" spans="1:23" x14ac:dyDescent="0.2">
      <c r="A141" s="116">
        <v>119</v>
      </c>
      <c r="B141" s="71" t="s">
        <v>288</v>
      </c>
      <c r="C141" s="31" t="s">
        <v>289</v>
      </c>
      <c r="D141" s="135">
        <f t="shared" si="17"/>
        <v>26015</v>
      </c>
      <c r="E141" s="135">
        <f t="shared" si="19"/>
        <v>0</v>
      </c>
      <c r="F141" s="114">
        <v>0</v>
      </c>
      <c r="G141" s="114">
        <v>0</v>
      </c>
      <c r="H141" s="114">
        <v>0</v>
      </c>
      <c r="I141" s="135">
        <f t="shared" si="15"/>
        <v>0</v>
      </c>
      <c r="J141" s="114">
        <v>0</v>
      </c>
      <c r="K141" s="114">
        <v>0</v>
      </c>
      <c r="L141" s="114">
        <v>0</v>
      </c>
      <c r="M141" s="114">
        <f t="shared" si="20"/>
        <v>0</v>
      </c>
      <c r="N141" s="114">
        <v>0</v>
      </c>
      <c r="O141" s="114">
        <v>0</v>
      </c>
      <c r="P141" s="135">
        <f t="shared" si="21"/>
        <v>0</v>
      </c>
      <c r="Q141" s="114">
        <v>0</v>
      </c>
      <c r="R141" s="114">
        <v>0</v>
      </c>
      <c r="S141" s="135">
        <f t="shared" si="18"/>
        <v>26015</v>
      </c>
      <c r="T141" s="115">
        <v>0</v>
      </c>
      <c r="U141" s="115">
        <v>26015</v>
      </c>
      <c r="V141" s="115">
        <v>0</v>
      </c>
      <c r="W141" s="115">
        <v>0</v>
      </c>
    </row>
    <row r="142" spans="1:23" ht="12.75" x14ac:dyDescent="0.2">
      <c r="A142" s="116">
        <v>120</v>
      </c>
      <c r="B142" s="619" t="s">
        <v>290</v>
      </c>
      <c r="C142" s="122" t="s">
        <v>291</v>
      </c>
      <c r="D142" s="135">
        <f t="shared" si="17"/>
        <v>0</v>
      </c>
      <c r="E142" s="135">
        <f t="shared" si="19"/>
        <v>0</v>
      </c>
      <c r="F142" s="114">
        <v>0</v>
      </c>
      <c r="G142" s="114">
        <v>0</v>
      </c>
      <c r="H142" s="114">
        <v>0</v>
      </c>
      <c r="I142" s="135">
        <f t="shared" ref="I142:I149" si="22">J142+M142</f>
        <v>0</v>
      </c>
      <c r="J142" s="114">
        <v>0</v>
      </c>
      <c r="K142" s="114">
        <v>0</v>
      </c>
      <c r="L142" s="114">
        <v>0</v>
      </c>
      <c r="M142" s="114">
        <f t="shared" si="20"/>
        <v>0</v>
      </c>
      <c r="N142" s="114">
        <v>0</v>
      </c>
      <c r="O142" s="114">
        <v>0</v>
      </c>
      <c r="P142" s="135">
        <f t="shared" si="21"/>
        <v>0</v>
      </c>
      <c r="Q142" s="114">
        <v>0</v>
      </c>
      <c r="R142" s="114">
        <v>0</v>
      </c>
      <c r="S142" s="135">
        <f t="shared" si="18"/>
        <v>0</v>
      </c>
      <c r="T142" s="115">
        <v>0</v>
      </c>
      <c r="U142" s="115">
        <v>0</v>
      </c>
      <c r="V142" s="115">
        <v>0</v>
      </c>
      <c r="W142" s="115">
        <v>0</v>
      </c>
    </row>
    <row r="143" spans="1:23" ht="12.75" x14ac:dyDescent="0.2">
      <c r="A143" s="116">
        <v>121</v>
      </c>
      <c r="B143" s="123" t="s">
        <v>292</v>
      </c>
      <c r="C143" s="124" t="s">
        <v>293</v>
      </c>
      <c r="D143" s="135">
        <f t="shared" si="17"/>
        <v>0</v>
      </c>
      <c r="E143" s="135">
        <f t="shared" si="19"/>
        <v>0</v>
      </c>
      <c r="F143" s="114">
        <v>0</v>
      </c>
      <c r="G143" s="114">
        <v>0</v>
      </c>
      <c r="H143" s="114">
        <v>0</v>
      </c>
      <c r="I143" s="135">
        <f t="shared" si="22"/>
        <v>0</v>
      </c>
      <c r="J143" s="114">
        <v>0</v>
      </c>
      <c r="K143" s="114">
        <v>0</v>
      </c>
      <c r="L143" s="114">
        <v>0</v>
      </c>
      <c r="M143" s="114">
        <f t="shared" si="20"/>
        <v>0</v>
      </c>
      <c r="N143" s="114">
        <v>0</v>
      </c>
      <c r="O143" s="114">
        <v>0</v>
      </c>
      <c r="P143" s="135">
        <f t="shared" si="21"/>
        <v>0</v>
      </c>
      <c r="Q143" s="114">
        <v>0</v>
      </c>
      <c r="R143" s="114">
        <v>0</v>
      </c>
      <c r="S143" s="135">
        <f t="shared" si="18"/>
        <v>0</v>
      </c>
      <c r="T143" s="115">
        <v>0</v>
      </c>
      <c r="U143" s="115">
        <v>0</v>
      </c>
      <c r="V143" s="115">
        <v>0</v>
      </c>
      <c r="W143" s="115">
        <v>0</v>
      </c>
    </row>
    <row r="144" spans="1:23" ht="12.75" x14ac:dyDescent="0.2">
      <c r="A144" s="116">
        <v>122</v>
      </c>
      <c r="B144" s="125" t="s">
        <v>294</v>
      </c>
      <c r="C144" s="126" t="s">
        <v>295</v>
      </c>
      <c r="D144" s="135">
        <f t="shared" si="17"/>
        <v>0</v>
      </c>
      <c r="E144" s="135">
        <f t="shared" si="19"/>
        <v>0</v>
      </c>
      <c r="F144" s="114">
        <v>0</v>
      </c>
      <c r="G144" s="114">
        <v>0</v>
      </c>
      <c r="H144" s="114">
        <v>0</v>
      </c>
      <c r="I144" s="135">
        <f t="shared" si="22"/>
        <v>0</v>
      </c>
      <c r="J144" s="114">
        <v>0</v>
      </c>
      <c r="K144" s="114">
        <v>0</v>
      </c>
      <c r="L144" s="114">
        <v>0</v>
      </c>
      <c r="M144" s="114">
        <f t="shared" si="20"/>
        <v>0</v>
      </c>
      <c r="N144" s="114">
        <v>0</v>
      </c>
      <c r="O144" s="114">
        <v>0</v>
      </c>
      <c r="P144" s="135">
        <f t="shared" si="21"/>
        <v>0</v>
      </c>
      <c r="Q144" s="114">
        <v>0</v>
      </c>
      <c r="R144" s="114">
        <v>0</v>
      </c>
      <c r="S144" s="135">
        <f t="shared" si="18"/>
        <v>0</v>
      </c>
      <c r="T144" s="115">
        <v>0</v>
      </c>
      <c r="U144" s="115">
        <v>0</v>
      </c>
      <c r="V144" s="115">
        <v>0</v>
      </c>
      <c r="W144" s="115">
        <v>0</v>
      </c>
    </row>
    <row r="145" spans="1:23" ht="12.75" x14ac:dyDescent="0.2">
      <c r="A145" s="116">
        <v>123</v>
      </c>
      <c r="B145" s="127" t="s">
        <v>296</v>
      </c>
      <c r="C145" s="128" t="s">
        <v>461</v>
      </c>
      <c r="D145" s="135">
        <f t="shared" si="17"/>
        <v>0</v>
      </c>
      <c r="E145" s="135">
        <f t="shared" si="19"/>
        <v>0</v>
      </c>
      <c r="F145" s="114">
        <v>0</v>
      </c>
      <c r="G145" s="114">
        <v>0</v>
      </c>
      <c r="H145" s="114">
        <v>0</v>
      </c>
      <c r="I145" s="135">
        <f t="shared" si="22"/>
        <v>0</v>
      </c>
      <c r="J145" s="114">
        <v>0</v>
      </c>
      <c r="K145" s="114">
        <v>0</v>
      </c>
      <c r="L145" s="114">
        <v>0</v>
      </c>
      <c r="M145" s="114">
        <f t="shared" si="20"/>
        <v>0</v>
      </c>
      <c r="N145" s="114">
        <v>0</v>
      </c>
      <c r="O145" s="114">
        <v>0</v>
      </c>
      <c r="P145" s="135">
        <f t="shared" si="21"/>
        <v>0</v>
      </c>
      <c r="Q145" s="114">
        <v>0</v>
      </c>
      <c r="R145" s="114">
        <v>0</v>
      </c>
      <c r="S145" s="135">
        <f t="shared" si="18"/>
        <v>0</v>
      </c>
      <c r="T145" s="115">
        <v>0</v>
      </c>
      <c r="U145" s="115">
        <v>0</v>
      </c>
      <c r="V145" s="115">
        <v>0</v>
      </c>
      <c r="W145" s="115">
        <v>0</v>
      </c>
    </row>
    <row r="146" spans="1:23" x14ac:dyDescent="0.2">
      <c r="A146" s="116">
        <v>124</v>
      </c>
      <c r="B146" s="116" t="s">
        <v>298</v>
      </c>
      <c r="C146" s="129" t="s">
        <v>299</v>
      </c>
      <c r="D146" s="135">
        <f t="shared" si="17"/>
        <v>0</v>
      </c>
      <c r="E146" s="135">
        <f t="shared" si="19"/>
        <v>0</v>
      </c>
      <c r="F146" s="114">
        <v>0</v>
      </c>
      <c r="G146" s="114">
        <v>0</v>
      </c>
      <c r="H146" s="114">
        <v>0</v>
      </c>
      <c r="I146" s="135">
        <f t="shared" si="22"/>
        <v>0</v>
      </c>
      <c r="J146" s="114">
        <v>0</v>
      </c>
      <c r="K146" s="114">
        <v>0</v>
      </c>
      <c r="L146" s="114">
        <v>0</v>
      </c>
      <c r="M146" s="114">
        <f t="shared" si="20"/>
        <v>0</v>
      </c>
      <c r="N146" s="114">
        <v>0</v>
      </c>
      <c r="O146" s="114">
        <v>0</v>
      </c>
      <c r="P146" s="135">
        <f t="shared" si="21"/>
        <v>0</v>
      </c>
      <c r="Q146" s="114">
        <v>0</v>
      </c>
      <c r="R146" s="114">
        <v>0</v>
      </c>
      <c r="S146" s="135">
        <f t="shared" si="18"/>
        <v>0</v>
      </c>
      <c r="T146" s="115">
        <v>0</v>
      </c>
      <c r="U146" s="115">
        <v>0</v>
      </c>
      <c r="V146" s="115">
        <v>0</v>
      </c>
      <c r="W146" s="115">
        <v>0</v>
      </c>
    </row>
    <row r="147" spans="1:23" x14ac:dyDescent="0.2">
      <c r="A147" s="116">
        <v>125</v>
      </c>
      <c r="B147" s="130" t="s">
        <v>300</v>
      </c>
      <c r="C147" s="129" t="s">
        <v>301</v>
      </c>
      <c r="D147" s="135">
        <f t="shared" si="17"/>
        <v>0</v>
      </c>
      <c r="E147" s="135">
        <f t="shared" si="19"/>
        <v>0</v>
      </c>
      <c r="F147" s="114">
        <v>0</v>
      </c>
      <c r="G147" s="114">
        <v>0</v>
      </c>
      <c r="H147" s="114">
        <v>0</v>
      </c>
      <c r="I147" s="135">
        <f t="shared" si="22"/>
        <v>0</v>
      </c>
      <c r="J147" s="114">
        <v>0</v>
      </c>
      <c r="K147" s="114">
        <v>0</v>
      </c>
      <c r="L147" s="114">
        <v>0</v>
      </c>
      <c r="M147" s="114">
        <f t="shared" si="20"/>
        <v>0</v>
      </c>
      <c r="N147" s="114">
        <v>0</v>
      </c>
      <c r="O147" s="114">
        <v>0</v>
      </c>
      <c r="P147" s="135">
        <f t="shared" si="21"/>
        <v>0</v>
      </c>
      <c r="Q147" s="114">
        <v>0</v>
      </c>
      <c r="R147" s="114">
        <v>0</v>
      </c>
      <c r="S147" s="135">
        <f t="shared" si="18"/>
        <v>0</v>
      </c>
      <c r="T147" s="115">
        <v>0</v>
      </c>
      <c r="U147" s="115">
        <v>0</v>
      </c>
      <c r="V147" s="115">
        <v>0</v>
      </c>
      <c r="W147" s="115">
        <v>0</v>
      </c>
    </row>
    <row r="148" spans="1:23" x14ac:dyDescent="0.2">
      <c r="A148" s="116">
        <v>126</v>
      </c>
      <c r="B148" s="131" t="s">
        <v>302</v>
      </c>
      <c r="C148" s="132" t="s">
        <v>303</v>
      </c>
      <c r="D148" s="135">
        <f t="shared" si="17"/>
        <v>0</v>
      </c>
      <c r="E148" s="135">
        <f t="shared" si="19"/>
        <v>0</v>
      </c>
      <c r="F148" s="114">
        <v>0</v>
      </c>
      <c r="G148" s="114">
        <v>0</v>
      </c>
      <c r="H148" s="114">
        <v>0</v>
      </c>
      <c r="I148" s="135">
        <f t="shared" si="22"/>
        <v>0</v>
      </c>
      <c r="J148" s="114">
        <v>0</v>
      </c>
      <c r="K148" s="114">
        <v>0</v>
      </c>
      <c r="L148" s="114">
        <v>0</v>
      </c>
      <c r="M148" s="114">
        <f t="shared" si="20"/>
        <v>0</v>
      </c>
      <c r="N148" s="114">
        <v>0</v>
      </c>
      <c r="O148" s="114">
        <v>0</v>
      </c>
      <c r="P148" s="135">
        <f t="shared" si="21"/>
        <v>0</v>
      </c>
      <c r="Q148" s="114">
        <v>0</v>
      </c>
      <c r="R148" s="114">
        <v>0</v>
      </c>
      <c r="S148" s="135">
        <f t="shared" si="18"/>
        <v>0</v>
      </c>
      <c r="T148" s="115">
        <v>0</v>
      </c>
      <c r="U148" s="115">
        <v>0</v>
      </c>
      <c r="V148" s="115">
        <v>0</v>
      </c>
      <c r="W148" s="115">
        <v>0</v>
      </c>
    </row>
    <row r="149" spans="1:23" x14ac:dyDescent="0.2">
      <c r="A149" s="116">
        <v>127</v>
      </c>
      <c r="B149" s="130" t="s">
        <v>304</v>
      </c>
      <c r="C149" s="129" t="s">
        <v>305</v>
      </c>
      <c r="D149" s="135">
        <f t="shared" si="17"/>
        <v>0</v>
      </c>
      <c r="E149" s="135">
        <f t="shared" si="19"/>
        <v>0</v>
      </c>
      <c r="F149" s="114">
        <v>0</v>
      </c>
      <c r="G149" s="114">
        <v>0</v>
      </c>
      <c r="H149" s="114">
        <v>0</v>
      </c>
      <c r="I149" s="135">
        <f t="shared" si="22"/>
        <v>0</v>
      </c>
      <c r="J149" s="114">
        <v>0</v>
      </c>
      <c r="K149" s="114">
        <v>0</v>
      </c>
      <c r="L149" s="114">
        <v>0</v>
      </c>
      <c r="M149" s="114">
        <f t="shared" si="20"/>
        <v>0</v>
      </c>
      <c r="N149" s="114">
        <v>0</v>
      </c>
      <c r="O149" s="114">
        <v>0</v>
      </c>
      <c r="P149" s="135">
        <f t="shared" si="21"/>
        <v>0</v>
      </c>
      <c r="Q149" s="114">
        <v>0</v>
      </c>
      <c r="R149" s="114">
        <v>0</v>
      </c>
      <c r="S149" s="135">
        <f t="shared" si="18"/>
        <v>0</v>
      </c>
      <c r="T149" s="115">
        <v>0</v>
      </c>
      <c r="U149" s="115">
        <v>0</v>
      </c>
      <c r="V149" s="115">
        <v>0</v>
      </c>
      <c r="W149" s="115">
        <v>0</v>
      </c>
    </row>
    <row r="150" spans="1:23" ht="12.75" customHeight="1" x14ac:dyDescent="0.2">
      <c r="A150" s="924"/>
      <c r="B150" s="924"/>
      <c r="C150" s="924"/>
      <c r="D150" s="133"/>
    </row>
    <row r="151" spans="1:23" x14ac:dyDescent="0.2">
      <c r="S151" s="578"/>
      <c r="T151" s="578"/>
      <c r="U151" s="578"/>
      <c r="V151" s="578"/>
      <c r="W151" s="578"/>
    </row>
  </sheetData>
  <mergeCells count="42">
    <mergeCell ref="A1:W1"/>
    <mergeCell ref="A2:A7"/>
    <mergeCell ref="B2:B7"/>
    <mergeCell ref="C2:C7"/>
    <mergeCell ref="D2:W2"/>
    <mergeCell ref="D3:D7"/>
    <mergeCell ref="E3:W3"/>
    <mergeCell ref="E4:H4"/>
    <mergeCell ref="I4:O4"/>
    <mergeCell ref="P4:R5"/>
    <mergeCell ref="N6:O6"/>
    <mergeCell ref="P6:P7"/>
    <mergeCell ref="S4:W4"/>
    <mergeCell ref="E5:E7"/>
    <mergeCell ref="F5:H5"/>
    <mergeCell ref="I5:I7"/>
    <mergeCell ref="T5:W5"/>
    <mergeCell ref="A9:C9"/>
    <mergeCell ref="F6:F7"/>
    <mergeCell ref="G6:G7"/>
    <mergeCell ref="H6:H7"/>
    <mergeCell ref="M6:M7"/>
    <mergeCell ref="Q6:R6"/>
    <mergeCell ref="T6:T7"/>
    <mergeCell ref="U6:U7"/>
    <mergeCell ref="V6:V7"/>
    <mergeCell ref="W6:W7"/>
    <mergeCell ref="J5:J7"/>
    <mergeCell ref="K5:K7"/>
    <mergeCell ref="L5:L7"/>
    <mergeCell ref="M5:O5"/>
    <mergeCell ref="S5:S7"/>
    <mergeCell ref="A87:A88"/>
    <mergeCell ref="A92:A95"/>
    <mergeCell ref="B92:B95"/>
    <mergeCell ref="A150:C150"/>
    <mergeCell ref="A10:C10"/>
    <mergeCell ref="A11:C11"/>
    <mergeCell ref="A36:A37"/>
    <mergeCell ref="A74:A76"/>
    <mergeCell ref="A77:A80"/>
    <mergeCell ref="A84:A85"/>
  </mergeCells>
  <pageMargins left="0.11811023622047245" right="0.11811023622047245" top="0.19685039370078741" bottom="0.15748031496062992" header="0.31496062992125984" footer="0.31496062992125984"/>
  <pageSetup paperSize="9" scale="50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2"/>
  <sheetViews>
    <sheetView zoomScale="90" zoomScaleNormal="90" workbookViewId="0">
      <pane xSplit="4" ySplit="9" topLeftCell="E134" activePane="bottomRight" state="frozen"/>
      <selection pane="topRight" activeCell="D1" sqref="D1"/>
      <selection pane="bottomLeft" activeCell="A8" sqref="A8"/>
      <selection pane="bottomRight" activeCell="S148" sqref="S148"/>
    </sheetView>
  </sheetViews>
  <sheetFormatPr defaultColWidth="10.7109375" defaultRowHeight="15" x14ac:dyDescent="0.25"/>
  <cols>
    <col min="1" max="1" width="7" style="506" hidden="1" customWidth="1"/>
    <col min="2" max="2" width="7" style="506" customWidth="1"/>
    <col min="3" max="3" width="9" style="506" customWidth="1"/>
    <col min="4" max="4" width="57.5703125" style="506" customWidth="1"/>
    <col min="5" max="5" width="16.42578125" style="506" customWidth="1"/>
    <col min="6" max="6" width="12" style="506" customWidth="1"/>
    <col min="7" max="7" width="13.28515625" style="506" customWidth="1"/>
    <col min="8" max="16384" width="10.7109375" style="506"/>
  </cols>
  <sheetData>
    <row r="1" spans="1:11" ht="32.25" customHeight="1" x14ac:dyDescent="0.25">
      <c r="A1" s="505"/>
      <c r="B1" s="505"/>
      <c r="C1" s="956" t="s">
        <v>307</v>
      </c>
      <c r="D1" s="956"/>
      <c r="E1" s="956"/>
      <c r="F1" s="956"/>
      <c r="G1" s="956"/>
      <c r="H1" s="956"/>
      <c r="I1" s="956"/>
      <c r="J1" s="956"/>
      <c r="K1" s="956"/>
    </row>
    <row r="2" spans="1:11" s="507" customFormat="1" ht="35.25" customHeight="1" x14ac:dyDescent="0.2">
      <c r="A2" s="957" t="s">
        <v>0</v>
      </c>
      <c r="B2" s="957" t="s">
        <v>308</v>
      </c>
      <c r="C2" s="958" t="s">
        <v>1</v>
      </c>
      <c r="D2" s="959" t="s">
        <v>309</v>
      </c>
      <c r="E2" s="960" t="s">
        <v>310</v>
      </c>
      <c r="F2" s="960"/>
      <c r="G2" s="960"/>
      <c r="H2" s="960"/>
      <c r="I2" s="960"/>
      <c r="J2" s="960"/>
      <c r="K2" s="960"/>
    </row>
    <row r="3" spans="1:11" s="507" customFormat="1" ht="25.5" customHeight="1" x14ac:dyDescent="0.2">
      <c r="A3" s="957"/>
      <c r="B3" s="957"/>
      <c r="C3" s="958"/>
      <c r="D3" s="959"/>
      <c r="E3" s="961" t="s">
        <v>311</v>
      </c>
      <c r="F3" s="961"/>
      <c r="G3" s="961"/>
      <c r="H3" s="961" t="s">
        <v>312</v>
      </c>
      <c r="I3" s="961"/>
      <c r="J3" s="961"/>
      <c r="K3" s="961"/>
    </row>
    <row r="4" spans="1:11" s="507" customFormat="1" ht="25.5" customHeight="1" x14ac:dyDescent="0.2">
      <c r="A4" s="957"/>
      <c r="B4" s="957"/>
      <c r="C4" s="958"/>
      <c r="D4" s="959"/>
      <c r="E4" s="961" t="s">
        <v>313</v>
      </c>
      <c r="F4" s="962" t="s">
        <v>314</v>
      </c>
      <c r="G4" s="962"/>
      <c r="H4" s="961" t="s">
        <v>315</v>
      </c>
      <c r="I4" s="962" t="s">
        <v>316</v>
      </c>
      <c r="J4" s="962"/>
      <c r="K4" s="962"/>
    </row>
    <row r="5" spans="1:11" s="507" customFormat="1" ht="58.5" customHeight="1" x14ac:dyDescent="0.2">
      <c r="A5" s="957"/>
      <c r="B5" s="957"/>
      <c r="C5" s="958"/>
      <c r="D5" s="959"/>
      <c r="E5" s="961"/>
      <c r="F5" s="508" t="s">
        <v>317</v>
      </c>
      <c r="G5" s="508" t="s">
        <v>318</v>
      </c>
      <c r="H5" s="961"/>
      <c r="I5" s="508" t="s">
        <v>319</v>
      </c>
      <c r="J5" s="508" t="s">
        <v>320</v>
      </c>
      <c r="K5" s="508" t="s">
        <v>321</v>
      </c>
    </row>
    <row r="6" spans="1:11" s="507" customFormat="1" ht="12.75" customHeight="1" x14ac:dyDescent="0.2">
      <c r="A6" s="504">
        <v>1</v>
      </c>
      <c r="B6" s="504">
        <v>1</v>
      </c>
      <c r="C6" s="509">
        <v>2</v>
      </c>
      <c r="D6" s="510">
        <v>3</v>
      </c>
      <c r="E6" s="508">
        <v>4</v>
      </c>
      <c r="F6" s="508">
        <v>5</v>
      </c>
      <c r="G6" s="508">
        <v>6</v>
      </c>
      <c r="H6" s="508">
        <v>7</v>
      </c>
      <c r="I6" s="508">
        <v>8</v>
      </c>
      <c r="J6" s="508">
        <v>9</v>
      </c>
      <c r="K6" s="508">
        <v>10</v>
      </c>
    </row>
    <row r="7" spans="1:11" s="507" customFormat="1" ht="12.75" customHeight="1" x14ac:dyDescent="0.2">
      <c r="A7" s="504"/>
      <c r="B7" s="504"/>
      <c r="C7" s="509"/>
      <c r="D7" s="510" t="s">
        <v>13</v>
      </c>
      <c r="E7" s="511">
        <f>E9</f>
        <v>194709</v>
      </c>
      <c r="F7" s="511">
        <f>F9</f>
        <v>16031</v>
      </c>
      <c r="G7" s="511">
        <f>G9</f>
        <v>16031</v>
      </c>
      <c r="H7" s="511">
        <f>H9+H8</f>
        <v>4809</v>
      </c>
      <c r="I7" s="511">
        <f t="shared" ref="I7:K7" si="0">I9+I8</f>
        <v>1603</v>
      </c>
      <c r="J7" s="511">
        <f t="shared" si="0"/>
        <v>1603</v>
      </c>
      <c r="K7" s="511">
        <f t="shared" si="0"/>
        <v>1603</v>
      </c>
    </row>
    <row r="8" spans="1:11" s="507" customFormat="1" ht="12.75" customHeight="1" x14ac:dyDescent="0.2">
      <c r="A8" s="504"/>
      <c r="B8" s="504"/>
      <c r="C8" s="509"/>
      <c r="D8" s="510" t="s">
        <v>14</v>
      </c>
      <c r="E8" s="508"/>
      <c r="F8" s="508"/>
      <c r="G8" s="508"/>
      <c r="H8" s="508"/>
      <c r="I8" s="508"/>
      <c r="J8" s="508"/>
      <c r="K8" s="508"/>
    </row>
    <row r="9" spans="1:11" s="507" customFormat="1" ht="21" customHeight="1" x14ac:dyDescent="0.2">
      <c r="A9" s="957" t="s">
        <v>322</v>
      </c>
      <c r="B9" s="957"/>
      <c r="C9" s="957"/>
      <c r="D9" s="957"/>
      <c r="E9" s="512">
        <f t="shared" ref="E9:K9" si="1">SUM(E10:E145)-E91</f>
        <v>194709</v>
      </c>
      <c r="F9" s="512">
        <f t="shared" si="1"/>
        <v>16031</v>
      </c>
      <c r="G9" s="512">
        <f t="shared" si="1"/>
        <v>16031</v>
      </c>
      <c r="H9" s="512">
        <f t="shared" si="1"/>
        <v>4809</v>
      </c>
      <c r="I9" s="512">
        <f t="shared" si="1"/>
        <v>1603</v>
      </c>
      <c r="J9" s="512">
        <f t="shared" si="1"/>
        <v>1603</v>
      </c>
      <c r="K9" s="512">
        <f t="shared" si="1"/>
        <v>1603</v>
      </c>
    </row>
    <row r="10" spans="1:11" x14ac:dyDescent="0.25">
      <c r="A10" s="504">
        <v>1</v>
      </c>
      <c r="B10" s="504">
        <v>1</v>
      </c>
      <c r="C10" s="71" t="s">
        <v>54</v>
      </c>
      <c r="D10" s="31" t="s">
        <v>55</v>
      </c>
      <c r="E10" s="511">
        <v>867</v>
      </c>
      <c r="F10" s="511">
        <v>3</v>
      </c>
      <c r="G10" s="511">
        <v>3</v>
      </c>
      <c r="H10" s="511">
        <v>0</v>
      </c>
      <c r="I10" s="511">
        <v>0</v>
      </c>
      <c r="J10" s="511">
        <v>0</v>
      </c>
      <c r="K10" s="511">
        <v>0</v>
      </c>
    </row>
    <row r="11" spans="1:11" x14ac:dyDescent="0.25">
      <c r="A11" s="504">
        <v>2</v>
      </c>
      <c r="B11" s="504">
        <v>2</v>
      </c>
      <c r="C11" s="72" t="s">
        <v>56</v>
      </c>
      <c r="D11" s="31" t="s">
        <v>57</v>
      </c>
      <c r="E11" s="511">
        <v>896</v>
      </c>
      <c r="F11" s="511">
        <v>0</v>
      </c>
      <c r="G11" s="511">
        <v>0</v>
      </c>
      <c r="H11" s="511">
        <v>0</v>
      </c>
      <c r="I11" s="511">
        <v>0</v>
      </c>
      <c r="J11" s="511">
        <v>0</v>
      </c>
      <c r="K11" s="511">
        <v>0</v>
      </c>
    </row>
    <row r="12" spans="1:11" x14ac:dyDescent="0.25">
      <c r="A12" s="504">
        <v>3</v>
      </c>
      <c r="B12" s="504">
        <v>3</v>
      </c>
      <c r="C12" s="70" t="s">
        <v>16</v>
      </c>
      <c r="D12" s="31" t="s">
        <v>17</v>
      </c>
      <c r="E12" s="511">
        <v>2719</v>
      </c>
      <c r="F12" s="511">
        <v>1750</v>
      </c>
      <c r="G12" s="511">
        <v>1750</v>
      </c>
      <c r="H12" s="511">
        <v>525</v>
      </c>
      <c r="I12" s="511">
        <v>175</v>
      </c>
      <c r="J12" s="511">
        <v>175</v>
      </c>
      <c r="K12" s="511">
        <v>175</v>
      </c>
    </row>
    <row r="13" spans="1:11" x14ac:dyDescent="0.25">
      <c r="A13" s="504">
        <v>4</v>
      </c>
      <c r="B13" s="504">
        <v>4</v>
      </c>
      <c r="C13" s="71" t="s">
        <v>58</v>
      </c>
      <c r="D13" s="31" t="s">
        <v>59</v>
      </c>
      <c r="E13" s="511">
        <v>963</v>
      </c>
      <c r="F13" s="511">
        <v>1</v>
      </c>
      <c r="G13" s="511">
        <v>1</v>
      </c>
      <c r="H13" s="511">
        <v>0</v>
      </c>
      <c r="I13" s="511">
        <v>0</v>
      </c>
      <c r="J13" s="511">
        <v>0</v>
      </c>
      <c r="K13" s="511">
        <v>0</v>
      </c>
    </row>
    <row r="14" spans="1:11" x14ac:dyDescent="0.25">
      <c r="A14" s="504">
        <v>5</v>
      </c>
      <c r="B14" s="504">
        <v>5</v>
      </c>
      <c r="C14" s="71" t="s">
        <v>60</v>
      </c>
      <c r="D14" s="31" t="s">
        <v>61</v>
      </c>
      <c r="E14" s="511">
        <v>1046</v>
      </c>
      <c r="F14" s="511">
        <v>0</v>
      </c>
      <c r="G14" s="511">
        <v>0</v>
      </c>
      <c r="H14" s="511">
        <v>0</v>
      </c>
      <c r="I14" s="511">
        <v>0</v>
      </c>
      <c r="J14" s="511">
        <v>0</v>
      </c>
      <c r="K14" s="511">
        <v>0</v>
      </c>
    </row>
    <row r="15" spans="1:11" x14ac:dyDescent="0.25">
      <c r="A15" s="504">
        <v>6</v>
      </c>
      <c r="B15" s="504">
        <v>6</v>
      </c>
      <c r="C15" s="70" t="s">
        <v>18</v>
      </c>
      <c r="D15" s="31" t="s">
        <v>19</v>
      </c>
      <c r="E15" s="511">
        <v>7492</v>
      </c>
      <c r="F15" s="511">
        <v>3764</v>
      </c>
      <c r="G15" s="511">
        <v>3764</v>
      </c>
      <c r="H15" s="511">
        <v>1128</v>
      </c>
      <c r="I15" s="511">
        <v>376</v>
      </c>
      <c r="J15" s="511">
        <v>376</v>
      </c>
      <c r="K15" s="511">
        <v>376</v>
      </c>
    </row>
    <row r="16" spans="1:11" x14ac:dyDescent="0.25">
      <c r="A16" s="504">
        <v>7</v>
      </c>
      <c r="B16" s="504">
        <v>7</v>
      </c>
      <c r="C16" s="71" t="s">
        <v>62</v>
      </c>
      <c r="D16" s="31" t="s">
        <v>63</v>
      </c>
      <c r="E16" s="511">
        <v>2746</v>
      </c>
      <c r="F16" s="511">
        <v>1</v>
      </c>
      <c r="G16" s="511">
        <v>1</v>
      </c>
      <c r="H16" s="511">
        <v>0</v>
      </c>
      <c r="I16" s="511">
        <v>0</v>
      </c>
      <c r="J16" s="511">
        <v>0</v>
      </c>
      <c r="K16" s="511">
        <v>0</v>
      </c>
    </row>
    <row r="17" spans="1:11" x14ac:dyDescent="0.25">
      <c r="A17" s="504">
        <v>8</v>
      </c>
      <c r="B17" s="504">
        <v>8</v>
      </c>
      <c r="C17" s="70" t="s">
        <v>64</v>
      </c>
      <c r="D17" s="31" t="s">
        <v>65</v>
      </c>
      <c r="E17" s="511">
        <v>1109</v>
      </c>
      <c r="F17" s="511">
        <v>10</v>
      </c>
      <c r="G17" s="511">
        <v>10</v>
      </c>
      <c r="H17" s="511">
        <v>3</v>
      </c>
      <c r="I17" s="511">
        <v>1</v>
      </c>
      <c r="J17" s="511">
        <v>1</v>
      </c>
      <c r="K17" s="511">
        <v>1</v>
      </c>
    </row>
    <row r="18" spans="1:11" x14ac:dyDescent="0.25">
      <c r="A18" s="504">
        <v>9</v>
      </c>
      <c r="B18" s="504">
        <v>9</v>
      </c>
      <c r="C18" s="70" t="s">
        <v>66</v>
      </c>
      <c r="D18" s="31" t="s">
        <v>67</v>
      </c>
      <c r="E18" s="511">
        <v>993</v>
      </c>
      <c r="F18" s="511">
        <v>51</v>
      </c>
      <c r="G18" s="511">
        <v>51</v>
      </c>
      <c r="H18" s="511">
        <v>15</v>
      </c>
      <c r="I18" s="511">
        <v>5</v>
      </c>
      <c r="J18" s="511">
        <v>5</v>
      </c>
      <c r="K18" s="511">
        <v>5</v>
      </c>
    </row>
    <row r="19" spans="1:11" x14ac:dyDescent="0.25">
      <c r="A19" s="504">
        <v>10</v>
      </c>
      <c r="B19" s="504">
        <v>10</v>
      </c>
      <c r="C19" s="70" t="s">
        <v>68</v>
      </c>
      <c r="D19" s="31" t="s">
        <v>69</v>
      </c>
      <c r="E19" s="511">
        <v>1388</v>
      </c>
      <c r="F19" s="511">
        <v>3</v>
      </c>
      <c r="G19" s="511">
        <v>3</v>
      </c>
      <c r="H19" s="511">
        <v>0</v>
      </c>
      <c r="I19" s="511">
        <v>0</v>
      </c>
      <c r="J19" s="511">
        <v>0</v>
      </c>
      <c r="K19" s="511">
        <v>0</v>
      </c>
    </row>
    <row r="20" spans="1:11" x14ac:dyDescent="0.25">
      <c r="A20" s="504">
        <v>11</v>
      </c>
      <c r="B20" s="504">
        <v>11</v>
      </c>
      <c r="C20" s="70" t="s">
        <v>70</v>
      </c>
      <c r="D20" s="31" t="s">
        <v>71</v>
      </c>
      <c r="E20" s="511">
        <v>987</v>
      </c>
      <c r="F20" s="511">
        <v>32</v>
      </c>
      <c r="G20" s="511">
        <v>32</v>
      </c>
      <c r="H20" s="511">
        <v>9</v>
      </c>
      <c r="I20" s="511">
        <v>3</v>
      </c>
      <c r="J20" s="511">
        <v>3</v>
      </c>
      <c r="K20" s="511">
        <v>3</v>
      </c>
    </row>
    <row r="21" spans="1:11" x14ac:dyDescent="0.25">
      <c r="A21" s="504">
        <v>12</v>
      </c>
      <c r="B21" s="504">
        <v>12</v>
      </c>
      <c r="C21" s="70" t="s">
        <v>72</v>
      </c>
      <c r="D21" s="31" t="s">
        <v>73</v>
      </c>
      <c r="E21" s="511">
        <v>2045</v>
      </c>
      <c r="F21" s="511">
        <v>10</v>
      </c>
      <c r="G21" s="511">
        <v>10</v>
      </c>
      <c r="H21" s="511">
        <v>3</v>
      </c>
      <c r="I21" s="511">
        <v>1</v>
      </c>
      <c r="J21" s="511">
        <v>1</v>
      </c>
      <c r="K21" s="511">
        <v>1</v>
      </c>
    </row>
    <row r="22" spans="1:11" x14ac:dyDescent="0.25">
      <c r="A22" s="504">
        <v>13</v>
      </c>
      <c r="B22" s="504">
        <v>13</v>
      </c>
      <c r="C22" s="70" t="s">
        <v>74</v>
      </c>
      <c r="D22" s="31" t="s">
        <v>75</v>
      </c>
      <c r="E22" s="511">
        <v>0</v>
      </c>
      <c r="F22" s="511">
        <v>0</v>
      </c>
      <c r="G22" s="511">
        <v>0</v>
      </c>
      <c r="H22" s="511">
        <v>0</v>
      </c>
      <c r="I22" s="511">
        <v>0</v>
      </c>
      <c r="J22" s="511">
        <v>0</v>
      </c>
      <c r="K22" s="511">
        <v>0</v>
      </c>
    </row>
    <row r="23" spans="1:11" x14ac:dyDescent="0.25">
      <c r="A23" s="504">
        <v>14</v>
      </c>
      <c r="B23" s="504">
        <v>14</v>
      </c>
      <c r="C23" s="70" t="s">
        <v>76</v>
      </c>
      <c r="D23" s="31" t="s">
        <v>77</v>
      </c>
      <c r="E23" s="511">
        <v>1269</v>
      </c>
      <c r="F23" s="511">
        <v>1269</v>
      </c>
      <c r="G23" s="511">
        <v>1269</v>
      </c>
      <c r="H23" s="511">
        <v>381</v>
      </c>
      <c r="I23" s="511">
        <v>127</v>
      </c>
      <c r="J23" s="511">
        <v>127</v>
      </c>
      <c r="K23" s="511">
        <v>127</v>
      </c>
    </row>
    <row r="24" spans="1:11" x14ac:dyDescent="0.25">
      <c r="A24" s="504">
        <v>15</v>
      </c>
      <c r="B24" s="504">
        <v>15</v>
      </c>
      <c r="C24" s="70" t="s">
        <v>78</v>
      </c>
      <c r="D24" s="31" t="s">
        <v>79</v>
      </c>
      <c r="E24" s="511">
        <v>1832</v>
      </c>
      <c r="F24" s="511">
        <v>140</v>
      </c>
      <c r="G24" s="511">
        <v>140</v>
      </c>
      <c r="H24" s="511">
        <v>42</v>
      </c>
      <c r="I24" s="511">
        <v>14</v>
      </c>
      <c r="J24" s="511">
        <v>14</v>
      </c>
      <c r="K24" s="511">
        <v>14</v>
      </c>
    </row>
    <row r="25" spans="1:11" x14ac:dyDescent="0.25">
      <c r="A25" s="504">
        <v>16</v>
      </c>
      <c r="B25" s="504">
        <v>16</v>
      </c>
      <c r="C25" s="70" t="s">
        <v>80</v>
      </c>
      <c r="D25" s="31" t="s">
        <v>81</v>
      </c>
      <c r="E25" s="511">
        <v>2395</v>
      </c>
      <c r="F25" s="511">
        <v>12</v>
      </c>
      <c r="G25" s="511">
        <v>12</v>
      </c>
      <c r="H25" s="511">
        <v>3</v>
      </c>
      <c r="I25" s="511">
        <v>1</v>
      </c>
      <c r="J25" s="511">
        <v>1</v>
      </c>
      <c r="K25" s="511">
        <v>1</v>
      </c>
    </row>
    <row r="26" spans="1:11" x14ac:dyDescent="0.25">
      <c r="A26" s="504">
        <v>17</v>
      </c>
      <c r="B26" s="504">
        <v>17</v>
      </c>
      <c r="C26" s="70" t="s">
        <v>20</v>
      </c>
      <c r="D26" s="31" t="s">
        <v>21</v>
      </c>
      <c r="E26" s="511">
        <v>4578</v>
      </c>
      <c r="F26" s="511">
        <v>10</v>
      </c>
      <c r="G26" s="511">
        <v>10</v>
      </c>
      <c r="H26" s="511">
        <v>3</v>
      </c>
      <c r="I26" s="511">
        <v>1</v>
      </c>
      <c r="J26" s="511">
        <v>1</v>
      </c>
      <c r="K26" s="511">
        <v>1</v>
      </c>
    </row>
    <row r="27" spans="1:11" x14ac:dyDescent="0.25">
      <c r="A27" s="504">
        <v>18</v>
      </c>
      <c r="B27" s="504">
        <v>18</v>
      </c>
      <c r="C27" s="71" t="s">
        <v>82</v>
      </c>
      <c r="D27" s="31" t="s">
        <v>83</v>
      </c>
      <c r="E27" s="511">
        <v>745</v>
      </c>
      <c r="F27" s="511">
        <v>745</v>
      </c>
      <c r="G27" s="511">
        <v>745</v>
      </c>
      <c r="H27" s="511">
        <v>225</v>
      </c>
      <c r="I27" s="511">
        <v>75</v>
      </c>
      <c r="J27" s="511">
        <v>75</v>
      </c>
      <c r="K27" s="511">
        <v>75</v>
      </c>
    </row>
    <row r="28" spans="1:11" x14ac:dyDescent="0.25">
      <c r="A28" s="504">
        <v>19</v>
      </c>
      <c r="B28" s="504">
        <v>19</v>
      </c>
      <c r="C28" s="71" t="s">
        <v>84</v>
      </c>
      <c r="D28" s="31" t="s">
        <v>85</v>
      </c>
      <c r="E28" s="511">
        <v>631</v>
      </c>
      <c r="F28" s="511">
        <v>16</v>
      </c>
      <c r="G28" s="511">
        <v>16</v>
      </c>
      <c r="H28" s="511">
        <v>6</v>
      </c>
      <c r="I28" s="511">
        <v>2</v>
      </c>
      <c r="J28" s="511">
        <v>2</v>
      </c>
      <c r="K28" s="511">
        <v>2</v>
      </c>
    </row>
    <row r="29" spans="1:11" x14ac:dyDescent="0.25">
      <c r="A29" s="504">
        <v>20</v>
      </c>
      <c r="B29" s="504">
        <v>20</v>
      </c>
      <c r="C29" s="71" t="s">
        <v>86</v>
      </c>
      <c r="D29" s="31" t="s">
        <v>87</v>
      </c>
      <c r="E29" s="511">
        <v>3260</v>
      </c>
      <c r="F29" s="511">
        <v>163</v>
      </c>
      <c r="G29" s="511">
        <v>163</v>
      </c>
      <c r="H29" s="511">
        <v>48</v>
      </c>
      <c r="I29" s="511">
        <v>16</v>
      </c>
      <c r="J29" s="511">
        <v>16</v>
      </c>
      <c r="K29" s="511">
        <v>16</v>
      </c>
    </row>
    <row r="30" spans="1:11" x14ac:dyDescent="0.25">
      <c r="A30" s="504">
        <v>21</v>
      </c>
      <c r="B30" s="504">
        <v>21</v>
      </c>
      <c r="C30" s="71" t="s">
        <v>22</v>
      </c>
      <c r="D30" s="31" t="s">
        <v>23</v>
      </c>
      <c r="E30" s="511">
        <v>2735</v>
      </c>
      <c r="F30" s="511">
        <v>2099</v>
      </c>
      <c r="G30" s="511">
        <v>2099</v>
      </c>
      <c r="H30" s="511">
        <v>630</v>
      </c>
      <c r="I30" s="511">
        <v>210</v>
      </c>
      <c r="J30" s="511">
        <v>210</v>
      </c>
      <c r="K30" s="511">
        <v>210</v>
      </c>
    </row>
    <row r="31" spans="1:11" x14ac:dyDescent="0.25">
      <c r="A31" s="504">
        <v>22</v>
      </c>
      <c r="B31" s="504">
        <v>22</v>
      </c>
      <c r="C31" s="70" t="s">
        <v>24</v>
      </c>
      <c r="D31" s="31" t="s">
        <v>25</v>
      </c>
      <c r="E31" s="511">
        <v>676</v>
      </c>
      <c r="F31" s="511">
        <v>10</v>
      </c>
      <c r="G31" s="511">
        <v>10</v>
      </c>
      <c r="H31" s="511">
        <v>3</v>
      </c>
      <c r="I31" s="511">
        <v>1</v>
      </c>
      <c r="J31" s="511">
        <v>1</v>
      </c>
      <c r="K31" s="511">
        <v>1</v>
      </c>
    </row>
    <row r="32" spans="1:11" x14ac:dyDescent="0.25">
      <c r="A32" s="504">
        <v>23</v>
      </c>
      <c r="B32" s="504">
        <v>23</v>
      </c>
      <c r="C32" s="70" t="s">
        <v>88</v>
      </c>
      <c r="D32" s="31" t="s">
        <v>89</v>
      </c>
      <c r="E32" s="511">
        <v>0</v>
      </c>
      <c r="F32" s="511">
        <v>0</v>
      </c>
      <c r="G32" s="511">
        <v>0</v>
      </c>
      <c r="H32" s="511">
        <v>0</v>
      </c>
      <c r="I32" s="511">
        <v>0</v>
      </c>
      <c r="J32" s="511">
        <v>0</v>
      </c>
      <c r="K32" s="511">
        <v>0</v>
      </c>
    </row>
    <row r="33" spans="1:11" x14ac:dyDescent="0.25">
      <c r="A33" s="504">
        <v>24</v>
      </c>
      <c r="B33" s="504">
        <v>24</v>
      </c>
      <c r="C33" s="70" t="s">
        <v>90</v>
      </c>
      <c r="D33" s="31" t="s">
        <v>91</v>
      </c>
      <c r="E33" s="511">
        <v>0</v>
      </c>
      <c r="F33" s="511">
        <v>0</v>
      </c>
      <c r="G33" s="511">
        <v>0</v>
      </c>
      <c r="H33" s="511">
        <v>0</v>
      </c>
      <c r="I33" s="511">
        <v>0</v>
      </c>
      <c r="J33" s="511">
        <v>0</v>
      </c>
      <c r="K33" s="511">
        <v>0</v>
      </c>
    </row>
    <row r="34" spans="1:11" x14ac:dyDescent="0.25">
      <c r="A34" s="504">
        <v>25</v>
      </c>
      <c r="B34" s="504">
        <v>25</v>
      </c>
      <c r="C34" s="71" t="s">
        <v>92</v>
      </c>
      <c r="D34" s="31" t="s">
        <v>93</v>
      </c>
      <c r="E34" s="511">
        <v>14779</v>
      </c>
      <c r="F34" s="511">
        <v>20</v>
      </c>
      <c r="G34" s="511">
        <v>20</v>
      </c>
      <c r="H34" s="511">
        <v>6</v>
      </c>
      <c r="I34" s="511">
        <v>2</v>
      </c>
      <c r="J34" s="511">
        <v>2</v>
      </c>
      <c r="K34" s="511">
        <v>2</v>
      </c>
    </row>
    <row r="35" spans="1:11" x14ac:dyDescent="0.25">
      <c r="A35" s="504">
        <v>26</v>
      </c>
      <c r="B35" s="504">
        <v>26</v>
      </c>
      <c r="C35" s="70" t="s">
        <v>94</v>
      </c>
      <c r="D35" s="31" t="s">
        <v>95</v>
      </c>
      <c r="E35" s="511">
        <v>0</v>
      </c>
      <c r="F35" s="511">
        <v>0</v>
      </c>
      <c r="G35" s="511">
        <v>0</v>
      </c>
      <c r="H35" s="511">
        <v>0</v>
      </c>
      <c r="I35" s="511">
        <v>0</v>
      </c>
      <c r="J35" s="511">
        <v>0</v>
      </c>
      <c r="K35" s="511">
        <v>0</v>
      </c>
    </row>
    <row r="36" spans="1:11" x14ac:dyDescent="0.25">
      <c r="A36" s="504">
        <v>27</v>
      </c>
      <c r="B36" s="504">
        <v>27</v>
      </c>
      <c r="C36" s="72" t="s">
        <v>96</v>
      </c>
      <c r="D36" s="31" t="s">
        <v>97</v>
      </c>
      <c r="E36" s="511">
        <v>0</v>
      </c>
      <c r="F36" s="511">
        <v>0</v>
      </c>
      <c r="G36" s="511">
        <v>0</v>
      </c>
      <c r="H36" s="511">
        <v>0</v>
      </c>
      <c r="I36" s="511">
        <v>0</v>
      </c>
      <c r="J36" s="511">
        <v>0</v>
      </c>
      <c r="K36" s="511">
        <v>0</v>
      </c>
    </row>
    <row r="37" spans="1:11" x14ac:dyDescent="0.25">
      <c r="A37" s="504">
        <v>29</v>
      </c>
      <c r="B37" s="504">
        <v>28</v>
      </c>
      <c r="C37" s="72" t="s">
        <v>26</v>
      </c>
      <c r="D37" s="31" t="s">
        <v>27</v>
      </c>
      <c r="E37" s="511">
        <v>3944</v>
      </c>
      <c r="F37" s="511">
        <v>110</v>
      </c>
      <c r="G37" s="511">
        <v>110</v>
      </c>
      <c r="H37" s="553">
        <f>I37+J37+K37</f>
        <v>669</v>
      </c>
      <c r="I37" s="553">
        <v>223</v>
      </c>
      <c r="J37" s="553">
        <v>223</v>
      </c>
      <c r="K37" s="553">
        <v>223</v>
      </c>
    </row>
    <row r="38" spans="1:11" x14ac:dyDescent="0.25">
      <c r="A38" s="504">
        <v>30</v>
      </c>
      <c r="B38" s="504">
        <v>29</v>
      </c>
      <c r="C38" s="71" t="s">
        <v>98</v>
      </c>
      <c r="D38" s="31" t="s">
        <v>99</v>
      </c>
      <c r="E38" s="511">
        <v>5806</v>
      </c>
      <c r="F38" s="511">
        <v>19</v>
      </c>
      <c r="G38" s="511">
        <v>19</v>
      </c>
      <c r="H38" s="511">
        <v>6</v>
      </c>
      <c r="I38" s="511">
        <v>2</v>
      </c>
      <c r="J38" s="511">
        <v>2</v>
      </c>
      <c r="K38" s="511">
        <v>2</v>
      </c>
    </row>
    <row r="39" spans="1:11" x14ac:dyDescent="0.25">
      <c r="A39" s="504">
        <v>31</v>
      </c>
      <c r="B39" s="504">
        <v>30</v>
      </c>
      <c r="C39" s="72" t="s">
        <v>100</v>
      </c>
      <c r="D39" s="31" t="s">
        <v>101</v>
      </c>
      <c r="E39" s="511">
        <v>1113</v>
      </c>
      <c r="F39" s="511">
        <v>15</v>
      </c>
      <c r="G39" s="511">
        <v>15</v>
      </c>
      <c r="H39" s="511">
        <v>6</v>
      </c>
      <c r="I39" s="511">
        <v>2</v>
      </c>
      <c r="J39" s="511">
        <v>2</v>
      </c>
      <c r="K39" s="511">
        <v>2</v>
      </c>
    </row>
    <row r="40" spans="1:11" x14ac:dyDescent="0.25">
      <c r="A40" s="504">
        <v>32</v>
      </c>
      <c r="B40" s="504">
        <v>31</v>
      </c>
      <c r="C40" s="70" t="s">
        <v>102</v>
      </c>
      <c r="D40" s="31" t="s">
        <v>103</v>
      </c>
      <c r="E40" s="511">
        <v>4013</v>
      </c>
      <c r="F40" s="511">
        <v>51</v>
      </c>
      <c r="G40" s="511">
        <v>51</v>
      </c>
      <c r="H40" s="511">
        <v>15</v>
      </c>
      <c r="I40" s="511">
        <v>5</v>
      </c>
      <c r="J40" s="511">
        <v>5</v>
      </c>
      <c r="K40" s="511">
        <v>5</v>
      </c>
    </row>
    <row r="41" spans="1:11" x14ac:dyDescent="0.25">
      <c r="A41" s="504">
        <v>33</v>
      </c>
      <c r="B41" s="504">
        <v>32</v>
      </c>
      <c r="C41" s="72" t="s">
        <v>104</v>
      </c>
      <c r="D41" s="31" t="s">
        <v>105</v>
      </c>
      <c r="E41" s="511">
        <v>1475</v>
      </c>
      <c r="F41" s="511">
        <v>2</v>
      </c>
      <c r="G41" s="511">
        <v>2</v>
      </c>
      <c r="H41" s="511">
        <v>0</v>
      </c>
      <c r="I41" s="511">
        <v>0</v>
      </c>
      <c r="J41" s="511">
        <v>0</v>
      </c>
      <c r="K41" s="511">
        <v>0</v>
      </c>
    </row>
    <row r="42" spans="1:11" x14ac:dyDescent="0.25">
      <c r="A42" s="504">
        <v>34</v>
      </c>
      <c r="B42" s="504">
        <v>33</v>
      </c>
      <c r="C42" s="71" t="s">
        <v>106</v>
      </c>
      <c r="D42" s="31" t="s">
        <v>107</v>
      </c>
      <c r="E42" s="511">
        <v>3862</v>
      </c>
      <c r="F42" s="511">
        <v>0</v>
      </c>
      <c r="G42" s="511">
        <v>0</v>
      </c>
      <c r="H42" s="511">
        <v>0</v>
      </c>
      <c r="I42" s="511">
        <v>0</v>
      </c>
      <c r="J42" s="511">
        <v>0</v>
      </c>
      <c r="K42" s="511">
        <v>0</v>
      </c>
    </row>
    <row r="43" spans="1:11" x14ac:dyDescent="0.25">
      <c r="A43" s="504">
        <v>35</v>
      </c>
      <c r="B43" s="504">
        <v>34</v>
      </c>
      <c r="C43" s="513" t="s">
        <v>108</v>
      </c>
      <c r="D43" s="514" t="s">
        <v>109</v>
      </c>
      <c r="E43" s="511">
        <v>1321</v>
      </c>
      <c r="F43" s="511">
        <v>0</v>
      </c>
      <c r="G43" s="511">
        <v>0</v>
      </c>
      <c r="H43" s="511">
        <v>0</v>
      </c>
      <c r="I43" s="511">
        <v>0</v>
      </c>
      <c r="J43" s="511">
        <v>0</v>
      </c>
      <c r="K43" s="511">
        <v>0</v>
      </c>
    </row>
    <row r="44" spans="1:11" x14ac:dyDescent="0.25">
      <c r="A44" s="504">
        <v>36</v>
      </c>
      <c r="B44" s="504">
        <v>35</v>
      </c>
      <c r="C44" s="71" t="s">
        <v>110</v>
      </c>
      <c r="D44" s="31" t="s">
        <v>111</v>
      </c>
      <c r="E44" s="511">
        <v>849</v>
      </c>
      <c r="F44" s="511">
        <v>15</v>
      </c>
      <c r="G44" s="511">
        <v>15</v>
      </c>
      <c r="H44" s="511">
        <v>6</v>
      </c>
      <c r="I44" s="511">
        <v>2</v>
      </c>
      <c r="J44" s="511">
        <v>2</v>
      </c>
      <c r="K44" s="511">
        <v>2</v>
      </c>
    </row>
    <row r="45" spans="1:11" x14ac:dyDescent="0.25">
      <c r="A45" s="504">
        <v>37</v>
      </c>
      <c r="B45" s="504">
        <v>36</v>
      </c>
      <c r="C45" s="71" t="s">
        <v>112</v>
      </c>
      <c r="D45" s="31" t="s">
        <v>113</v>
      </c>
      <c r="E45" s="511">
        <v>1507</v>
      </c>
      <c r="F45" s="511">
        <v>370</v>
      </c>
      <c r="G45" s="511">
        <v>370</v>
      </c>
      <c r="H45" s="511">
        <v>111</v>
      </c>
      <c r="I45" s="511">
        <v>37</v>
      </c>
      <c r="J45" s="511">
        <v>37</v>
      </c>
      <c r="K45" s="511">
        <v>37</v>
      </c>
    </row>
    <row r="46" spans="1:11" x14ac:dyDescent="0.25">
      <c r="A46" s="504">
        <v>38</v>
      </c>
      <c r="B46" s="504">
        <v>37</v>
      </c>
      <c r="C46" s="70" t="s">
        <v>114</v>
      </c>
      <c r="D46" s="31" t="s">
        <v>115</v>
      </c>
      <c r="E46" s="511">
        <v>688</v>
      </c>
      <c r="F46" s="511">
        <v>0</v>
      </c>
      <c r="G46" s="511">
        <v>0</v>
      </c>
      <c r="H46" s="511">
        <v>0</v>
      </c>
      <c r="I46" s="511">
        <v>0</v>
      </c>
      <c r="J46" s="511">
        <v>0</v>
      </c>
      <c r="K46" s="511">
        <v>0</v>
      </c>
    </row>
    <row r="47" spans="1:11" x14ac:dyDescent="0.25">
      <c r="A47" s="504">
        <v>39</v>
      </c>
      <c r="B47" s="504">
        <v>38</v>
      </c>
      <c r="C47" s="72" t="s">
        <v>116</v>
      </c>
      <c r="D47" s="31" t="s">
        <v>117</v>
      </c>
      <c r="E47" s="511">
        <v>992</v>
      </c>
      <c r="F47" s="511">
        <v>0</v>
      </c>
      <c r="G47" s="511">
        <v>0</v>
      </c>
      <c r="H47" s="511">
        <v>0</v>
      </c>
      <c r="I47" s="511">
        <v>0</v>
      </c>
      <c r="J47" s="511">
        <v>0</v>
      </c>
      <c r="K47" s="511">
        <v>0</v>
      </c>
    </row>
    <row r="48" spans="1:11" x14ac:dyDescent="0.25">
      <c r="A48" s="504">
        <v>40</v>
      </c>
      <c r="B48" s="504">
        <v>39</v>
      </c>
      <c r="C48" s="70" t="s">
        <v>28</v>
      </c>
      <c r="D48" s="31" t="s">
        <v>29</v>
      </c>
      <c r="E48" s="511">
        <v>5155</v>
      </c>
      <c r="F48" s="511">
        <v>73</v>
      </c>
      <c r="G48" s="511">
        <v>73</v>
      </c>
      <c r="H48" s="511">
        <v>21</v>
      </c>
      <c r="I48" s="511">
        <v>7</v>
      </c>
      <c r="J48" s="511">
        <v>7</v>
      </c>
      <c r="K48" s="511">
        <v>7</v>
      </c>
    </row>
    <row r="49" spans="1:11" x14ac:dyDescent="0.25">
      <c r="A49" s="504">
        <v>41</v>
      </c>
      <c r="B49" s="504">
        <v>40</v>
      </c>
      <c r="C49" s="71" t="s">
        <v>118</v>
      </c>
      <c r="D49" s="31" t="s">
        <v>119</v>
      </c>
      <c r="E49" s="511">
        <v>1196</v>
      </c>
      <c r="F49" s="511">
        <v>0</v>
      </c>
      <c r="G49" s="511">
        <v>0</v>
      </c>
      <c r="H49" s="511">
        <v>0</v>
      </c>
      <c r="I49" s="511">
        <v>0</v>
      </c>
      <c r="J49" s="511">
        <v>0</v>
      </c>
      <c r="K49" s="511">
        <v>0</v>
      </c>
    </row>
    <row r="50" spans="1:11" x14ac:dyDescent="0.25">
      <c r="A50" s="504">
        <v>42</v>
      </c>
      <c r="B50" s="504">
        <v>41</v>
      </c>
      <c r="C50" s="71" t="s">
        <v>120</v>
      </c>
      <c r="D50" s="31" t="s">
        <v>121</v>
      </c>
      <c r="E50" s="511">
        <v>4184</v>
      </c>
      <c r="F50" s="511">
        <v>13</v>
      </c>
      <c r="G50" s="511">
        <v>13</v>
      </c>
      <c r="H50" s="511">
        <v>3</v>
      </c>
      <c r="I50" s="511">
        <v>1</v>
      </c>
      <c r="J50" s="511">
        <v>1</v>
      </c>
      <c r="K50" s="511">
        <v>1</v>
      </c>
    </row>
    <row r="51" spans="1:11" x14ac:dyDescent="0.25">
      <c r="A51" s="504">
        <v>43</v>
      </c>
      <c r="B51" s="504">
        <v>42</v>
      </c>
      <c r="C51" s="70" t="s">
        <v>122</v>
      </c>
      <c r="D51" s="31" t="s">
        <v>123</v>
      </c>
      <c r="E51" s="511">
        <v>915</v>
      </c>
      <c r="F51" s="511">
        <v>0</v>
      </c>
      <c r="G51" s="511">
        <v>0</v>
      </c>
      <c r="H51" s="511">
        <v>0</v>
      </c>
      <c r="I51" s="511">
        <v>0</v>
      </c>
      <c r="J51" s="511">
        <v>0</v>
      </c>
      <c r="K51" s="511">
        <v>0</v>
      </c>
    </row>
    <row r="52" spans="1:11" x14ac:dyDescent="0.25">
      <c r="A52" s="504"/>
      <c r="B52" s="504">
        <v>43</v>
      </c>
      <c r="C52" s="72" t="s">
        <v>124</v>
      </c>
      <c r="D52" s="31" t="s">
        <v>125</v>
      </c>
      <c r="E52" s="511">
        <v>1250</v>
      </c>
      <c r="F52" s="511">
        <v>42</v>
      </c>
      <c r="G52" s="511">
        <v>42</v>
      </c>
      <c r="H52" s="511">
        <v>12</v>
      </c>
      <c r="I52" s="511">
        <v>4</v>
      </c>
      <c r="J52" s="511">
        <v>4</v>
      </c>
      <c r="K52" s="511">
        <v>4</v>
      </c>
    </row>
    <row r="53" spans="1:11" x14ac:dyDescent="0.25">
      <c r="A53" s="504">
        <v>44</v>
      </c>
      <c r="B53" s="504">
        <v>44</v>
      </c>
      <c r="C53" s="70" t="s">
        <v>126</v>
      </c>
      <c r="D53" s="31" t="s">
        <v>127</v>
      </c>
      <c r="E53" s="511">
        <v>1464</v>
      </c>
      <c r="F53" s="511">
        <v>11</v>
      </c>
      <c r="G53" s="511">
        <v>11</v>
      </c>
      <c r="H53" s="511">
        <v>3</v>
      </c>
      <c r="I53" s="511">
        <v>1</v>
      </c>
      <c r="J53" s="511">
        <v>1</v>
      </c>
      <c r="K53" s="511">
        <v>1</v>
      </c>
    </row>
    <row r="54" spans="1:11" x14ac:dyDescent="0.25">
      <c r="A54" s="504">
        <v>45</v>
      </c>
      <c r="B54" s="504">
        <v>45</v>
      </c>
      <c r="C54" s="72" t="s">
        <v>128</v>
      </c>
      <c r="D54" s="31" t="s">
        <v>129</v>
      </c>
      <c r="E54" s="511">
        <v>1730</v>
      </c>
      <c r="F54" s="511">
        <v>0</v>
      </c>
      <c r="G54" s="511">
        <v>0</v>
      </c>
      <c r="H54" s="511">
        <v>0</v>
      </c>
      <c r="I54" s="511">
        <v>0</v>
      </c>
      <c r="J54" s="511">
        <v>0</v>
      </c>
      <c r="K54" s="511">
        <v>0</v>
      </c>
    </row>
    <row r="55" spans="1:11" x14ac:dyDescent="0.25">
      <c r="A55" s="504">
        <v>46</v>
      </c>
      <c r="B55" s="504">
        <v>46</v>
      </c>
      <c r="C55" s="70" t="s">
        <v>130</v>
      </c>
      <c r="D55" s="31" t="s">
        <v>131</v>
      </c>
      <c r="E55" s="511">
        <v>616</v>
      </c>
      <c r="F55" s="511">
        <v>0</v>
      </c>
      <c r="G55" s="511">
        <v>0</v>
      </c>
      <c r="H55" s="511">
        <v>0</v>
      </c>
      <c r="I55" s="511">
        <v>0</v>
      </c>
      <c r="J55" s="511">
        <v>0</v>
      </c>
      <c r="K55" s="511">
        <v>0</v>
      </c>
    </row>
    <row r="56" spans="1:11" x14ac:dyDescent="0.25">
      <c r="A56" s="504">
        <v>47</v>
      </c>
      <c r="B56" s="504">
        <v>47</v>
      </c>
      <c r="C56" s="72" t="s">
        <v>132</v>
      </c>
      <c r="D56" s="31" t="s">
        <v>133</v>
      </c>
      <c r="E56" s="511">
        <v>1127</v>
      </c>
      <c r="F56" s="511">
        <v>93</v>
      </c>
      <c r="G56" s="511">
        <v>93</v>
      </c>
      <c r="H56" s="511">
        <v>27</v>
      </c>
      <c r="I56" s="511">
        <v>9</v>
      </c>
      <c r="J56" s="511">
        <v>9</v>
      </c>
      <c r="K56" s="511">
        <v>9</v>
      </c>
    </row>
    <row r="57" spans="1:11" x14ac:dyDescent="0.25">
      <c r="A57" s="504">
        <v>48</v>
      </c>
      <c r="B57" s="504">
        <v>48</v>
      </c>
      <c r="C57" s="70" t="s">
        <v>134</v>
      </c>
      <c r="D57" s="31" t="s">
        <v>135</v>
      </c>
      <c r="E57" s="511">
        <v>1781</v>
      </c>
      <c r="F57" s="511">
        <v>12</v>
      </c>
      <c r="G57" s="511">
        <v>12</v>
      </c>
      <c r="H57" s="511">
        <v>3</v>
      </c>
      <c r="I57" s="511">
        <v>1</v>
      </c>
      <c r="J57" s="511">
        <v>1</v>
      </c>
      <c r="K57" s="511">
        <v>1</v>
      </c>
    </row>
    <row r="58" spans="1:11" x14ac:dyDescent="0.25">
      <c r="A58" s="504">
        <v>49</v>
      </c>
      <c r="B58" s="504">
        <v>49</v>
      </c>
      <c r="C58" s="70" t="s">
        <v>136</v>
      </c>
      <c r="D58" s="31" t="s">
        <v>137</v>
      </c>
      <c r="E58" s="511">
        <v>6089</v>
      </c>
      <c r="F58" s="511">
        <v>80</v>
      </c>
      <c r="G58" s="511">
        <v>80</v>
      </c>
      <c r="H58" s="511">
        <v>24</v>
      </c>
      <c r="I58" s="511">
        <v>8</v>
      </c>
      <c r="J58" s="511">
        <v>8</v>
      </c>
      <c r="K58" s="511">
        <v>8</v>
      </c>
    </row>
    <row r="59" spans="1:11" x14ac:dyDescent="0.25">
      <c r="A59" s="504"/>
      <c r="B59" s="504">
        <v>50</v>
      </c>
      <c r="C59" s="70" t="s">
        <v>138</v>
      </c>
      <c r="D59" s="31" t="s">
        <v>139</v>
      </c>
      <c r="E59" s="511">
        <v>1265</v>
      </c>
      <c r="F59" s="511">
        <v>2</v>
      </c>
      <c r="G59" s="511">
        <v>2</v>
      </c>
      <c r="H59" s="511">
        <v>0</v>
      </c>
      <c r="I59" s="511">
        <v>0</v>
      </c>
      <c r="J59" s="511">
        <v>0</v>
      </c>
      <c r="K59" s="511">
        <v>0</v>
      </c>
    </row>
    <row r="60" spans="1:11" x14ac:dyDescent="0.25">
      <c r="A60" s="504">
        <v>50</v>
      </c>
      <c r="B60" s="504">
        <v>51</v>
      </c>
      <c r="C60" s="70" t="s">
        <v>140</v>
      </c>
      <c r="D60" s="31" t="s">
        <v>141</v>
      </c>
      <c r="E60" s="511">
        <v>940</v>
      </c>
      <c r="F60" s="511">
        <v>3</v>
      </c>
      <c r="G60" s="511">
        <v>3</v>
      </c>
      <c r="H60" s="511">
        <v>0</v>
      </c>
      <c r="I60" s="511">
        <v>0</v>
      </c>
      <c r="J60" s="511">
        <v>0</v>
      </c>
      <c r="K60" s="511">
        <v>0</v>
      </c>
    </row>
    <row r="61" spans="1:11" x14ac:dyDescent="0.25">
      <c r="A61" s="504"/>
      <c r="B61" s="504">
        <v>52</v>
      </c>
      <c r="C61" s="72" t="s">
        <v>142</v>
      </c>
      <c r="D61" s="31" t="s">
        <v>143</v>
      </c>
      <c r="E61" s="511">
        <v>1014</v>
      </c>
      <c r="F61" s="511">
        <v>8</v>
      </c>
      <c r="G61" s="511">
        <v>8</v>
      </c>
      <c r="H61" s="511">
        <v>3</v>
      </c>
      <c r="I61" s="511">
        <v>1</v>
      </c>
      <c r="J61" s="511">
        <v>1</v>
      </c>
      <c r="K61" s="511">
        <v>1</v>
      </c>
    </row>
    <row r="62" spans="1:11" x14ac:dyDescent="0.25">
      <c r="A62" s="504">
        <v>51</v>
      </c>
      <c r="B62" s="504">
        <v>53</v>
      </c>
      <c r="C62" s="70" t="s">
        <v>144</v>
      </c>
      <c r="D62" s="31" t="s">
        <v>145</v>
      </c>
      <c r="E62" s="511">
        <v>0</v>
      </c>
      <c r="F62" s="511">
        <v>0</v>
      </c>
      <c r="G62" s="511">
        <v>0</v>
      </c>
      <c r="H62" s="511">
        <v>0</v>
      </c>
      <c r="I62" s="511">
        <v>0</v>
      </c>
      <c r="J62" s="511">
        <v>0</v>
      </c>
      <c r="K62" s="511">
        <v>0</v>
      </c>
    </row>
    <row r="63" spans="1:11" x14ac:dyDescent="0.25">
      <c r="A63" s="504">
        <v>52</v>
      </c>
      <c r="B63" s="504">
        <v>54</v>
      </c>
      <c r="C63" s="70" t="s">
        <v>146</v>
      </c>
      <c r="D63" s="31" t="s">
        <v>147</v>
      </c>
      <c r="E63" s="511">
        <v>0</v>
      </c>
      <c r="F63" s="511">
        <v>0</v>
      </c>
      <c r="G63" s="511">
        <v>0</v>
      </c>
      <c r="H63" s="511">
        <v>0</v>
      </c>
      <c r="I63" s="511">
        <v>0</v>
      </c>
      <c r="J63" s="511">
        <v>0</v>
      </c>
      <c r="K63" s="511">
        <v>0</v>
      </c>
    </row>
    <row r="64" spans="1:11" x14ac:dyDescent="0.25">
      <c r="A64" s="504">
        <v>53</v>
      </c>
      <c r="B64" s="504">
        <v>55</v>
      </c>
      <c r="C64" s="70" t="s">
        <v>148</v>
      </c>
      <c r="D64" s="31" t="s">
        <v>149</v>
      </c>
      <c r="E64" s="511">
        <v>0</v>
      </c>
      <c r="F64" s="511">
        <v>0</v>
      </c>
      <c r="G64" s="511">
        <v>0</v>
      </c>
      <c r="H64" s="511">
        <v>0</v>
      </c>
      <c r="I64" s="511">
        <v>0</v>
      </c>
      <c r="J64" s="511">
        <v>0</v>
      </c>
      <c r="K64" s="511">
        <v>0</v>
      </c>
    </row>
    <row r="65" spans="1:11" x14ac:dyDescent="0.25">
      <c r="A65" s="504">
        <v>54</v>
      </c>
      <c r="B65" s="504">
        <v>56</v>
      </c>
      <c r="C65" s="72" t="s">
        <v>150</v>
      </c>
      <c r="D65" s="31" t="s">
        <v>151</v>
      </c>
      <c r="E65" s="511">
        <v>0</v>
      </c>
      <c r="F65" s="511">
        <v>0</v>
      </c>
      <c r="G65" s="511">
        <v>0</v>
      </c>
      <c r="H65" s="511">
        <v>0</v>
      </c>
      <c r="I65" s="511">
        <v>0</v>
      </c>
      <c r="J65" s="511">
        <v>0</v>
      </c>
      <c r="K65" s="511">
        <v>0</v>
      </c>
    </row>
    <row r="66" spans="1:11" x14ac:dyDescent="0.25">
      <c r="A66" s="504">
        <v>55</v>
      </c>
      <c r="B66" s="504">
        <v>57</v>
      </c>
      <c r="C66" s="71" t="s">
        <v>152</v>
      </c>
      <c r="D66" s="31" t="s">
        <v>153</v>
      </c>
      <c r="E66" s="511">
        <v>0</v>
      </c>
      <c r="F66" s="511">
        <v>0</v>
      </c>
      <c r="G66" s="511">
        <v>0</v>
      </c>
      <c r="H66" s="511">
        <v>0</v>
      </c>
      <c r="I66" s="511">
        <v>0</v>
      </c>
      <c r="J66" s="511">
        <v>0</v>
      </c>
      <c r="K66" s="511">
        <v>0</v>
      </c>
    </row>
    <row r="67" spans="1:11" x14ac:dyDescent="0.25">
      <c r="A67" s="504">
        <v>56</v>
      </c>
      <c r="B67" s="504">
        <v>58</v>
      </c>
      <c r="C67" s="72" t="s">
        <v>154</v>
      </c>
      <c r="D67" s="31" t="s">
        <v>155</v>
      </c>
      <c r="E67" s="511">
        <v>0</v>
      </c>
      <c r="F67" s="511">
        <v>0</v>
      </c>
      <c r="G67" s="511">
        <v>0</v>
      </c>
      <c r="H67" s="511">
        <v>0</v>
      </c>
      <c r="I67" s="511">
        <v>0</v>
      </c>
      <c r="J67" s="511">
        <v>0</v>
      </c>
      <c r="K67" s="511">
        <v>0</v>
      </c>
    </row>
    <row r="68" spans="1:11" x14ac:dyDescent="0.25">
      <c r="A68" s="504">
        <v>57</v>
      </c>
      <c r="B68" s="504">
        <v>59</v>
      </c>
      <c r="C68" s="70" t="s">
        <v>156</v>
      </c>
      <c r="D68" s="31" t="s">
        <v>157</v>
      </c>
      <c r="E68" s="511">
        <v>0</v>
      </c>
      <c r="F68" s="511">
        <v>0</v>
      </c>
      <c r="G68" s="511">
        <v>0</v>
      </c>
      <c r="H68" s="511">
        <v>0</v>
      </c>
      <c r="I68" s="511">
        <v>0</v>
      </c>
      <c r="J68" s="511">
        <v>0</v>
      </c>
      <c r="K68" s="511">
        <v>0</v>
      </c>
    </row>
    <row r="69" spans="1:11" x14ac:dyDescent="0.25">
      <c r="A69" s="504">
        <v>58</v>
      </c>
      <c r="B69" s="504">
        <v>60</v>
      </c>
      <c r="C69" s="71" t="s">
        <v>158</v>
      </c>
      <c r="D69" s="31" t="s">
        <v>159</v>
      </c>
      <c r="E69" s="511">
        <v>0</v>
      </c>
      <c r="F69" s="511">
        <v>0</v>
      </c>
      <c r="G69" s="511">
        <v>0</v>
      </c>
      <c r="H69" s="511">
        <v>0</v>
      </c>
      <c r="I69" s="511">
        <v>0</v>
      </c>
      <c r="J69" s="511">
        <v>0</v>
      </c>
      <c r="K69" s="511">
        <v>0</v>
      </c>
    </row>
    <row r="70" spans="1:11" x14ac:dyDescent="0.25">
      <c r="A70" s="504">
        <v>59</v>
      </c>
      <c r="B70" s="504">
        <v>61</v>
      </c>
      <c r="C70" s="71" t="s">
        <v>160</v>
      </c>
      <c r="D70" s="31" t="s">
        <v>161</v>
      </c>
      <c r="E70" s="511">
        <v>0</v>
      </c>
      <c r="F70" s="511">
        <v>0</v>
      </c>
      <c r="G70" s="511">
        <v>0</v>
      </c>
      <c r="H70" s="511">
        <v>0</v>
      </c>
      <c r="I70" s="511">
        <v>0</v>
      </c>
      <c r="J70" s="511">
        <v>0</v>
      </c>
      <c r="K70" s="511">
        <v>0</v>
      </c>
    </row>
    <row r="71" spans="1:11" x14ac:dyDescent="0.25">
      <c r="A71" s="504">
        <v>60</v>
      </c>
      <c r="B71" s="504">
        <v>62</v>
      </c>
      <c r="C71" s="72" t="s">
        <v>162</v>
      </c>
      <c r="D71" s="31" t="s">
        <v>163</v>
      </c>
      <c r="E71" s="511">
        <v>5370</v>
      </c>
      <c r="F71" s="511">
        <v>46</v>
      </c>
      <c r="G71" s="511">
        <v>46</v>
      </c>
      <c r="H71" s="511">
        <v>15</v>
      </c>
      <c r="I71" s="511">
        <v>5</v>
      </c>
      <c r="J71" s="511">
        <v>5</v>
      </c>
      <c r="K71" s="511">
        <v>5</v>
      </c>
    </row>
    <row r="72" spans="1:11" x14ac:dyDescent="0.25">
      <c r="A72" s="504">
        <v>61</v>
      </c>
      <c r="B72" s="504">
        <v>63</v>
      </c>
      <c r="C72" s="72" t="s">
        <v>164</v>
      </c>
      <c r="D72" s="31" t="s">
        <v>165</v>
      </c>
      <c r="E72" s="511">
        <v>3110</v>
      </c>
      <c r="F72" s="511">
        <v>2234</v>
      </c>
      <c r="G72" s="511">
        <v>2234</v>
      </c>
      <c r="H72" s="511">
        <f>669-636</f>
        <v>33</v>
      </c>
      <c r="I72" s="511">
        <f>223-212</f>
        <v>11</v>
      </c>
      <c r="J72" s="511">
        <f>223-212</f>
        <v>11</v>
      </c>
      <c r="K72" s="511">
        <f>223-212</f>
        <v>11</v>
      </c>
    </row>
    <row r="73" spans="1:11" x14ac:dyDescent="0.25">
      <c r="A73" s="504">
        <v>62</v>
      </c>
      <c r="B73" s="504">
        <v>64</v>
      </c>
      <c r="C73" s="72" t="s">
        <v>166</v>
      </c>
      <c r="D73" s="31" t="s">
        <v>167</v>
      </c>
      <c r="E73" s="511">
        <v>7139</v>
      </c>
      <c r="F73" s="511">
        <v>0</v>
      </c>
      <c r="G73" s="511">
        <v>0</v>
      </c>
      <c r="H73" s="511">
        <v>0</v>
      </c>
      <c r="I73" s="511">
        <v>0</v>
      </c>
      <c r="J73" s="511">
        <v>0</v>
      </c>
      <c r="K73" s="511">
        <v>0</v>
      </c>
    </row>
    <row r="74" spans="1:11" x14ac:dyDescent="0.25">
      <c r="A74" s="504">
        <v>63</v>
      </c>
      <c r="B74" s="504">
        <v>65</v>
      </c>
      <c r="C74" s="72" t="s">
        <v>168</v>
      </c>
      <c r="D74" s="31" t="s">
        <v>169</v>
      </c>
      <c r="E74" s="511">
        <v>0</v>
      </c>
      <c r="F74" s="511">
        <v>0</v>
      </c>
      <c r="G74" s="511">
        <v>0</v>
      </c>
      <c r="H74" s="511">
        <v>0</v>
      </c>
      <c r="I74" s="511">
        <v>0</v>
      </c>
      <c r="J74" s="511">
        <v>0</v>
      </c>
      <c r="K74" s="511">
        <v>0</v>
      </c>
    </row>
    <row r="75" spans="1:11" x14ac:dyDescent="0.25">
      <c r="A75" s="504">
        <v>64</v>
      </c>
      <c r="B75" s="504">
        <v>66</v>
      </c>
      <c r="C75" s="71" t="s">
        <v>170</v>
      </c>
      <c r="D75" s="31" t="s">
        <v>171</v>
      </c>
      <c r="E75" s="511">
        <v>0</v>
      </c>
      <c r="F75" s="511">
        <v>0</v>
      </c>
      <c r="G75" s="511">
        <v>0</v>
      </c>
      <c r="H75" s="511">
        <v>0</v>
      </c>
      <c r="I75" s="511">
        <v>0</v>
      </c>
      <c r="J75" s="511">
        <v>0</v>
      </c>
      <c r="K75" s="511">
        <v>0</v>
      </c>
    </row>
    <row r="76" spans="1:11" x14ac:dyDescent="0.25">
      <c r="A76" s="504">
        <v>65</v>
      </c>
      <c r="B76" s="504">
        <v>67</v>
      </c>
      <c r="C76" s="72" t="s">
        <v>172</v>
      </c>
      <c r="D76" s="31" t="s">
        <v>173</v>
      </c>
      <c r="E76" s="511">
        <v>0</v>
      </c>
      <c r="F76" s="511">
        <v>0</v>
      </c>
      <c r="G76" s="511">
        <v>0</v>
      </c>
      <c r="H76" s="511">
        <v>0</v>
      </c>
      <c r="I76" s="511">
        <v>0</v>
      </c>
      <c r="J76" s="511">
        <v>0</v>
      </c>
      <c r="K76" s="511">
        <v>0</v>
      </c>
    </row>
    <row r="77" spans="1:11" x14ac:dyDescent="0.25">
      <c r="A77" s="504">
        <v>66</v>
      </c>
      <c r="B77" s="504">
        <v>68</v>
      </c>
      <c r="C77" s="72" t="s">
        <v>174</v>
      </c>
      <c r="D77" s="31" t="s">
        <v>175</v>
      </c>
      <c r="E77" s="511">
        <v>0</v>
      </c>
      <c r="F77" s="511">
        <v>0</v>
      </c>
      <c r="G77" s="511">
        <v>0</v>
      </c>
      <c r="H77" s="511">
        <v>0</v>
      </c>
      <c r="I77" s="511">
        <v>0</v>
      </c>
      <c r="J77" s="511">
        <v>0</v>
      </c>
      <c r="K77" s="511">
        <v>0</v>
      </c>
    </row>
    <row r="78" spans="1:11" x14ac:dyDescent="0.25">
      <c r="A78" s="504">
        <v>67</v>
      </c>
      <c r="B78" s="504">
        <v>69</v>
      </c>
      <c r="C78" s="71" t="s">
        <v>176</v>
      </c>
      <c r="D78" s="31" t="s">
        <v>177</v>
      </c>
      <c r="E78" s="511">
        <v>0</v>
      </c>
      <c r="F78" s="511">
        <v>0</v>
      </c>
      <c r="G78" s="511">
        <v>0</v>
      </c>
      <c r="H78" s="511">
        <v>0</v>
      </c>
      <c r="I78" s="511">
        <v>0</v>
      </c>
      <c r="J78" s="511">
        <v>0</v>
      </c>
      <c r="K78" s="511">
        <v>0</v>
      </c>
    </row>
    <row r="79" spans="1:11" x14ac:dyDescent="0.25">
      <c r="A79" s="504">
        <v>68</v>
      </c>
      <c r="B79" s="504">
        <v>70</v>
      </c>
      <c r="C79" s="71" t="s">
        <v>178</v>
      </c>
      <c r="D79" s="31" t="s">
        <v>179</v>
      </c>
      <c r="E79" s="511">
        <v>0</v>
      </c>
      <c r="F79" s="511">
        <v>0</v>
      </c>
      <c r="G79" s="511">
        <v>0</v>
      </c>
      <c r="H79" s="511">
        <v>0</v>
      </c>
      <c r="I79" s="511">
        <v>0</v>
      </c>
      <c r="J79" s="511">
        <v>0</v>
      </c>
      <c r="K79" s="511">
        <v>0</v>
      </c>
    </row>
    <row r="80" spans="1:11" x14ac:dyDescent="0.25">
      <c r="A80" s="504">
        <v>69</v>
      </c>
      <c r="B80" s="504">
        <v>71</v>
      </c>
      <c r="C80" s="71" t="s">
        <v>180</v>
      </c>
      <c r="D80" s="31" t="s">
        <v>181</v>
      </c>
      <c r="E80" s="511">
        <v>0</v>
      </c>
      <c r="F80" s="511">
        <v>0</v>
      </c>
      <c r="G80" s="511">
        <v>0</v>
      </c>
      <c r="H80" s="511">
        <v>0</v>
      </c>
      <c r="I80" s="511">
        <v>0</v>
      </c>
      <c r="J80" s="511">
        <v>0</v>
      </c>
      <c r="K80" s="511">
        <v>0</v>
      </c>
    </row>
    <row r="81" spans="1:11" x14ac:dyDescent="0.25">
      <c r="A81" s="504">
        <v>70</v>
      </c>
      <c r="B81" s="504">
        <v>72</v>
      </c>
      <c r="C81" s="70" t="s">
        <v>182</v>
      </c>
      <c r="D81" s="31" t="s">
        <v>183</v>
      </c>
      <c r="E81" s="511">
        <v>4166</v>
      </c>
      <c r="F81" s="511">
        <v>139</v>
      </c>
      <c r="G81" s="511">
        <v>139</v>
      </c>
      <c r="H81" s="511">
        <v>42</v>
      </c>
      <c r="I81" s="511">
        <v>14</v>
      </c>
      <c r="J81" s="511">
        <v>14</v>
      </c>
      <c r="K81" s="511">
        <v>14</v>
      </c>
    </row>
    <row r="82" spans="1:11" x14ac:dyDescent="0.25">
      <c r="A82" s="504">
        <v>71</v>
      </c>
      <c r="B82" s="504">
        <v>73</v>
      </c>
      <c r="C82" s="71" t="s">
        <v>184</v>
      </c>
      <c r="D82" s="31" t="s">
        <v>185</v>
      </c>
      <c r="E82" s="511">
        <v>10046</v>
      </c>
      <c r="F82" s="511">
        <v>13</v>
      </c>
      <c r="G82" s="511">
        <v>13</v>
      </c>
      <c r="H82" s="511">
        <v>3</v>
      </c>
      <c r="I82" s="511">
        <v>1</v>
      </c>
      <c r="J82" s="511">
        <v>1</v>
      </c>
      <c r="K82" s="511">
        <v>1</v>
      </c>
    </row>
    <row r="83" spans="1:11" x14ac:dyDescent="0.25">
      <c r="A83" s="504">
        <v>72</v>
      </c>
      <c r="B83" s="504">
        <v>74</v>
      </c>
      <c r="C83" s="70" t="s">
        <v>186</v>
      </c>
      <c r="D83" s="31" t="s">
        <v>187</v>
      </c>
      <c r="E83" s="511">
        <v>5464</v>
      </c>
      <c r="F83" s="511">
        <v>66</v>
      </c>
      <c r="G83" s="511">
        <v>66</v>
      </c>
      <c r="H83" s="511">
        <v>21</v>
      </c>
      <c r="I83" s="511">
        <v>7</v>
      </c>
      <c r="J83" s="511">
        <v>7</v>
      </c>
      <c r="K83" s="511">
        <v>7</v>
      </c>
    </row>
    <row r="84" spans="1:11" x14ac:dyDescent="0.25">
      <c r="A84" s="504">
        <v>73</v>
      </c>
      <c r="B84" s="504">
        <v>75</v>
      </c>
      <c r="C84" s="71" t="s">
        <v>188</v>
      </c>
      <c r="D84" s="31" t="s">
        <v>189</v>
      </c>
      <c r="E84" s="511">
        <v>3708</v>
      </c>
      <c r="F84" s="511">
        <v>125</v>
      </c>
      <c r="G84" s="511">
        <v>125</v>
      </c>
      <c r="H84" s="511">
        <v>39</v>
      </c>
      <c r="I84" s="511">
        <v>13</v>
      </c>
      <c r="J84" s="511">
        <v>13</v>
      </c>
      <c r="K84" s="511">
        <v>13</v>
      </c>
    </row>
    <row r="85" spans="1:11" x14ac:dyDescent="0.25">
      <c r="A85" s="504">
        <v>74</v>
      </c>
      <c r="B85" s="504">
        <v>76</v>
      </c>
      <c r="C85" s="71" t="s">
        <v>190</v>
      </c>
      <c r="D85" s="31" t="s">
        <v>191</v>
      </c>
      <c r="E85" s="511">
        <v>9254</v>
      </c>
      <c r="F85" s="511">
        <v>777</v>
      </c>
      <c r="G85" s="511">
        <v>777</v>
      </c>
      <c r="H85" s="511">
        <v>234</v>
      </c>
      <c r="I85" s="511">
        <v>78</v>
      </c>
      <c r="J85" s="511">
        <v>78</v>
      </c>
      <c r="K85" s="511">
        <v>78</v>
      </c>
    </row>
    <row r="86" spans="1:11" x14ac:dyDescent="0.25">
      <c r="A86" s="504">
        <v>75</v>
      </c>
      <c r="B86" s="504">
        <v>77</v>
      </c>
      <c r="C86" s="71" t="s">
        <v>192</v>
      </c>
      <c r="D86" s="31" t="s">
        <v>193</v>
      </c>
      <c r="E86" s="511">
        <v>0</v>
      </c>
      <c r="F86" s="511">
        <v>0</v>
      </c>
      <c r="G86" s="511">
        <v>0</v>
      </c>
      <c r="H86" s="511">
        <v>0</v>
      </c>
      <c r="I86" s="511">
        <v>0</v>
      </c>
      <c r="J86" s="511">
        <v>0</v>
      </c>
      <c r="K86" s="511">
        <v>0</v>
      </c>
    </row>
    <row r="87" spans="1:11" x14ac:dyDescent="0.25">
      <c r="A87" s="504">
        <v>76</v>
      </c>
      <c r="B87" s="504">
        <v>78</v>
      </c>
      <c r="C87" s="71" t="s">
        <v>194</v>
      </c>
      <c r="D87" s="31" t="s">
        <v>195</v>
      </c>
      <c r="E87" s="511">
        <v>7446</v>
      </c>
      <c r="F87" s="511">
        <v>9</v>
      </c>
      <c r="G87" s="511">
        <v>9</v>
      </c>
      <c r="H87" s="511">
        <v>3</v>
      </c>
      <c r="I87" s="511">
        <v>1</v>
      </c>
      <c r="J87" s="511">
        <v>1</v>
      </c>
      <c r="K87" s="511">
        <v>1</v>
      </c>
    </row>
    <row r="88" spans="1:11" x14ac:dyDescent="0.25">
      <c r="A88" s="504">
        <v>77</v>
      </c>
      <c r="B88" s="504">
        <v>79</v>
      </c>
      <c r="C88" s="71" t="s">
        <v>196</v>
      </c>
      <c r="D88" s="31" t="s">
        <v>197</v>
      </c>
      <c r="E88" s="511">
        <v>0</v>
      </c>
      <c r="F88" s="511">
        <v>0</v>
      </c>
      <c r="G88" s="511">
        <v>0</v>
      </c>
      <c r="H88" s="511">
        <v>0</v>
      </c>
      <c r="I88" s="511">
        <v>0</v>
      </c>
      <c r="J88" s="511">
        <v>0</v>
      </c>
      <c r="K88" s="511">
        <v>0</v>
      </c>
    </row>
    <row r="89" spans="1:11" x14ac:dyDescent="0.25">
      <c r="A89" s="504">
        <v>78</v>
      </c>
      <c r="B89" s="504">
        <v>80</v>
      </c>
      <c r="C89" s="72" t="s">
        <v>30</v>
      </c>
      <c r="D89" s="31" t="s">
        <v>198</v>
      </c>
      <c r="E89" s="511">
        <v>0</v>
      </c>
      <c r="F89" s="511">
        <v>0</v>
      </c>
      <c r="G89" s="511">
        <v>0</v>
      </c>
      <c r="H89" s="511">
        <v>0</v>
      </c>
      <c r="I89" s="511">
        <v>0</v>
      </c>
      <c r="J89" s="511">
        <v>0</v>
      </c>
      <c r="K89" s="511">
        <v>0</v>
      </c>
    </row>
    <row r="90" spans="1:11" x14ac:dyDescent="0.25">
      <c r="A90" s="957">
        <v>79</v>
      </c>
      <c r="B90" s="964">
        <v>81</v>
      </c>
      <c r="C90" s="967" t="s">
        <v>199</v>
      </c>
      <c r="D90" s="145" t="s">
        <v>200</v>
      </c>
      <c r="E90" s="511">
        <v>403</v>
      </c>
      <c r="F90" s="511">
        <v>0</v>
      </c>
      <c r="G90" s="511">
        <v>0</v>
      </c>
      <c r="H90" s="511">
        <v>0</v>
      </c>
      <c r="I90" s="511">
        <v>0</v>
      </c>
      <c r="J90" s="511">
        <v>0</v>
      </c>
      <c r="K90" s="511">
        <v>0</v>
      </c>
    </row>
    <row r="91" spans="1:11" ht="24" x14ac:dyDescent="0.25">
      <c r="A91" s="957"/>
      <c r="B91" s="965"/>
      <c r="C91" s="967"/>
      <c r="D91" s="31" t="s">
        <v>201</v>
      </c>
      <c r="E91" s="511">
        <v>403</v>
      </c>
      <c r="F91" s="511">
        <v>0</v>
      </c>
      <c r="G91" s="511">
        <v>0</v>
      </c>
      <c r="H91" s="511">
        <v>0</v>
      </c>
      <c r="I91" s="511">
        <v>0</v>
      </c>
      <c r="J91" s="511">
        <v>0</v>
      </c>
      <c r="K91" s="511">
        <v>0</v>
      </c>
    </row>
    <row r="92" spans="1:11" x14ac:dyDescent="0.25">
      <c r="A92" s="957"/>
      <c r="B92" s="965"/>
      <c r="C92" s="967"/>
      <c r="D92" s="31" t="s">
        <v>202</v>
      </c>
      <c r="E92" s="511">
        <v>0</v>
      </c>
      <c r="F92" s="511">
        <v>0</v>
      </c>
      <c r="G92" s="511">
        <v>0</v>
      </c>
      <c r="H92" s="511">
        <v>0</v>
      </c>
      <c r="I92" s="511">
        <v>0</v>
      </c>
      <c r="J92" s="511">
        <v>0</v>
      </c>
      <c r="K92" s="511">
        <v>0</v>
      </c>
    </row>
    <row r="93" spans="1:11" ht="24" x14ac:dyDescent="0.25">
      <c r="A93" s="957"/>
      <c r="B93" s="966"/>
      <c r="C93" s="967"/>
      <c r="D93" s="119" t="s">
        <v>203</v>
      </c>
      <c r="E93" s="511">
        <v>0</v>
      </c>
      <c r="F93" s="511">
        <v>0</v>
      </c>
      <c r="G93" s="511">
        <v>0</v>
      </c>
      <c r="H93" s="511">
        <v>0</v>
      </c>
      <c r="I93" s="511">
        <v>0</v>
      </c>
      <c r="J93" s="511">
        <v>0</v>
      </c>
      <c r="K93" s="511">
        <v>0</v>
      </c>
    </row>
    <row r="94" spans="1:11" x14ac:dyDescent="0.25">
      <c r="A94" s="504">
        <v>80</v>
      </c>
      <c r="B94" s="504">
        <v>82</v>
      </c>
      <c r="C94" s="72" t="s">
        <v>204</v>
      </c>
      <c r="D94" s="31" t="s">
        <v>205</v>
      </c>
      <c r="E94" s="511">
        <v>0</v>
      </c>
      <c r="F94" s="511">
        <v>0</v>
      </c>
      <c r="G94" s="511">
        <v>0</v>
      </c>
      <c r="H94" s="511">
        <v>0</v>
      </c>
      <c r="I94" s="511">
        <v>0</v>
      </c>
      <c r="J94" s="511">
        <v>0</v>
      </c>
      <c r="K94" s="511">
        <v>0</v>
      </c>
    </row>
    <row r="95" spans="1:11" x14ac:dyDescent="0.25">
      <c r="A95" s="504">
        <v>81</v>
      </c>
      <c r="B95" s="504">
        <v>83</v>
      </c>
      <c r="C95" s="72" t="s">
        <v>206</v>
      </c>
      <c r="D95" s="31" t="s">
        <v>207</v>
      </c>
      <c r="E95" s="511">
        <v>319</v>
      </c>
      <c r="F95" s="511">
        <v>0</v>
      </c>
      <c r="G95" s="511">
        <v>0</v>
      </c>
      <c r="H95" s="511">
        <v>0</v>
      </c>
      <c r="I95" s="511">
        <v>0</v>
      </c>
      <c r="J95" s="511">
        <v>0</v>
      </c>
      <c r="K95" s="511">
        <v>0</v>
      </c>
    </row>
    <row r="96" spans="1:11" x14ac:dyDescent="0.25">
      <c r="A96" s="504">
        <v>82</v>
      </c>
      <c r="B96" s="504">
        <v>84</v>
      </c>
      <c r="C96" s="70" t="s">
        <v>208</v>
      </c>
      <c r="D96" s="31" t="s">
        <v>209</v>
      </c>
      <c r="E96" s="511">
        <v>1988</v>
      </c>
      <c r="F96" s="511">
        <v>720</v>
      </c>
      <c r="G96" s="511">
        <v>720</v>
      </c>
      <c r="H96" s="511">
        <v>216</v>
      </c>
      <c r="I96" s="511">
        <v>72</v>
      </c>
      <c r="J96" s="511">
        <v>72</v>
      </c>
      <c r="K96" s="511">
        <v>72</v>
      </c>
    </row>
    <row r="97" spans="1:11" x14ac:dyDescent="0.25">
      <c r="A97" s="504">
        <v>83</v>
      </c>
      <c r="B97" s="504">
        <v>85</v>
      </c>
      <c r="C97" s="72" t="s">
        <v>210</v>
      </c>
      <c r="D97" s="31" t="s">
        <v>211</v>
      </c>
      <c r="E97" s="511">
        <v>775</v>
      </c>
      <c r="F97" s="511">
        <v>7</v>
      </c>
      <c r="G97" s="511">
        <v>7</v>
      </c>
      <c r="H97" s="511">
        <v>3</v>
      </c>
      <c r="I97" s="511">
        <v>1</v>
      </c>
      <c r="J97" s="511">
        <v>1</v>
      </c>
      <c r="K97" s="511">
        <v>1</v>
      </c>
    </row>
    <row r="98" spans="1:11" x14ac:dyDescent="0.25">
      <c r="A98" s="504">
        <v>84</v>
      </c>
      <c r="B98" s="504">
        <v>86</v>
      </c>
      <c r="C98" s="70" t="s">
        <v>212</v>
      </c>
      <c r="D98" s="31" t="s">
        <v>213</v>
      </c>
      <c r="E98" s="511">
        <v>812</v>
      </c>
      <c r="F98" s="511">
        <v>56</v>
      </c>
      <c r="G98" s="511">
        <v>56</v>
      </c>
      <c r="H98" s="511">
        <v>18</v>
      </c>
      <c r="I98" s="511">
        <v>6</v>
      </c>
      <c r="J98" s="511">
        <v>6</v>
      </c>
      <c r="K98" s="511">
        <v>6</v>
      </c>
    </row>
    <row r="99" spans="1:11" x14ac:dyDescent="0.25">
      <c r="A99" s="504">
        <v>85</v>
      </c>
      <c r="B99" s="504">
        <v>87</v>
      </c>
      <c r="C99" s="70" t="s">
        <v>214</v>
      </c>
      <c r="D99" s="31" t="s">
        <v>215</v>
      </c>
      <c r="E99" s="511">
        <v>2275</v>
      </c>
      <c r="F99" s="511">
        <v>190</v>
      </c>
      <c r="G99" s="511">
        <v>190</v>
      </c>
      <c r="H99" s="511">
        <v>57</v>
      </c>
      <c r="I99" s="511">
        <v>19</v>
      </c>
      <c r="J99" s="511">
        <v>19</v>
      </c>
      <c r="K99" s="511">
        <v>19</v>
      </c>
    </row>
    <row r="100" spans="1:11" x14ac:dyDescent="0.25">
      <c r="A100" s="504">
        <v>86</v>
      </c>
      <c r="B100" s="504">
        <v>88</v>
      </c>
      <c r="C100" s="72" t="s">
        <v>216</v>
      </c>
      <c r="D100" s="31" t="s">
        <v>217</v>
      </c>
      <c r="E100" s="511">
        <v>958</v>
      </c>
      <c r="F100" s="511">
        <v>325</v>
      </c>
      <c r="G100" s="511">
        <v>325</v>
      </c>
      <c r="H100" s="511">
        <v>99</v>
      </c>
      <c r="I100" s="511">
        <v>33</v>
      </c>
      <c r="J100" s="511">
        <v>33</v>
      </c>
      <c r="K100" s="511">
        <v>33</v>
      </c>
    </row>
    <row r="101" spans="1:11" x14ac:dyDescent="0.25">
      <c r="A101" s="504">
        <v>88</v>
      </c>
      <c r="B101" s="504">
        <v>89</v>
      </c>
      <c r="C101" s="71" t="s">
        <v>218</v>
      </c>
      <c r="D101" s="31" t="s">
        <v>219</v>
      </c>
      <c r="E101" s="511">
        <v>2786</v>
      </c>
      <c r="F101" s="511">
        <v>23</v>
      </c>
      <c r="G101" s="511">
        <v>23</v>
      </c>
      <c r="H101" s="511">
        <v>6</v>
      </c>
      <c r="I101" s="511">
        <v>2</v>
      </c>
      <c r="J101" s="511">
        <v>2</v>
      </c>
      <c r="K101" s="511">
        <v>2</v>
      </c>
    </row>
    <row r="102" spans="1:11" x14ac:dyDescent="0.25">
      <c r="A102" s="504">
        <v>89</v>
      </c>
      <c r="B102" s="504">
        <v>90</v>
      </c>
      <c r="C102" s="71" t="s">
        <v>220</v>
      </c>
      <c r="D102" s="31" t="s">
        <v>221</v>
      </c>
      <c r="E102" s="511">
        <v>2146</v>
      </c>
      <c r="F102" s="511">
        <v>0</v>
      </c>
      <c r="G102" s="511">
        <v>0</v>
      </c>
      <c r="H102" s="511">
        <v>0</v>
      </c>
      <c r="I102" s="511">
        <v>0</v>
      </c>
      <c r="J102" s="511">
        <v>0</v>
      </c>
      <c r="K102" s="511">
        <v>0</v>
      </c>
    </row>
    <row r="103" spans="1:11" x14ac:dyDescent="0.25">
      <c r="A103" s="504">
        <v>90</v>
      </c>
      <c r="B103" s="504">
        <v>91</v>
      </c>
      <c r="C103" s="70" t="s">
        <v>222</v>
      </c>
      <c r="D103" s="31" t="s">
        <v>223</v>
      </c>
      <c r="E103" s="511">
        <v>735</v>
      </c>
      <c r="F103" s="511">
        <v>3</v>
      </c>
      <c r="G103" s="511">
        <v>3</v>
      </c>
      <c r="H103" s="511">
        <v>0</v>
      </c>
      <c r="I103" s="511">
        <v>0</v>
      </c>
      <c r="J103" s="511">
        <v>0</v>
      </c>
      <c r="K103" s="511">
        <v>0</v>
      </c>
    </row>
    <row r="104" spans="1:11" x14ac:dyDescent="0.25">
      <c r="A104" s="504">
        <v>91</v>
      </c>
      <c r="B104" s="504">
        <v>92</v>
      </c>
      <c r="C104" s="71" t="s">
        <v>224</v>
      </c>
      <c r="D104" s="31" t="s">
        <v>225</v>
      </c>
      <c r="E104" s="511">
        <v>1153</v>
      </c>
      <c r="F104" s="511">
        <v>4</v>
      </c>
      <c r="G104" s="511">
        <v>4</v>
      </c>
      <c r="H104" s="511">
        <v>0</v>
      </c>
      <c r="I104" s="511">
        <v>0</v>
      </c>
      <c r="J104" s="511">
        <v>0</v>
      </c>
      <c r="K104" s="511">
        <v>0</v>
      </c>
    </row>
    <row r="105" spans="1:11" x14ac:dyDescent="0.25">
      <c r="A105" s="504">
        <v>92</v>
      </c>
      <c r="B105" s="504">
        <v>93</v>
      </c>
      <c r="C105" s="71" t="s">
        <v>226</v>
      </c>
      <c r="D105" s="31" t="s">
        <v>227</v>
      </c>
      <c r="E105" s="511">
        <v>1089</v>
      </c>
      <c r="F105" s="511">
        <v>5</v>
      </c>
      <c r="G105" s="511">
        <v>5</v>
      </c>
      <c r="H105" s="511">
        <v>3</v>
      </c>
      <c r="I105" s="511">
        <v>1</v>
      </c>
      <c r="J105" s="511">
        <v>1</v>
      </c>
      <c r="K105" s="511">
        <v>1</v>
      </c>
    </row>
    <row r="106" spans="1:11" x14ac:dyDescent="0.25">
      <c r="A106" s="504">
        <v>93</v>
      </c>
      <c r="B106" s="504">
        <v>94</v>
      </c>
      <c r="C106" s="72" t="s">
        <v>32</v>
      </c>
      <c r="D106" s="31" t="s">
        <v>33</v>
      </c>
      <c r="E106" s="511">
        <v>1318</v>
      </c>
      <c r="F106" s="511">
        <v>0</v>
      </c>
      <c r="G106" s="511">
        <v>0</v>
      </c>
      <c r="H106" s="511">
        <v>0</v>
      </c>
      <c r="I106" s="511">
        <v>0</v>
      </c>
      <c r="J106" s="511">
        <v>0</v>
      </c>
      <c r="K106" s="511">
        <v>0</v>
      </c>
    </row>
    <row r="107" spans="1:11" x14ac:dyDescent="0.25">
      <c r="A107" s="504">
        <v>94</v>
      </c>
      <c r="B107" s="504">
        <v>95</v>
      </c>
      <c r="C107" s="70" t="s">
        <v>228</v>
      </c>
      <c r="D107" s="31" t="s">
        <v>229</v>
      </c>
      <c r="E107" s="511">
        <v>844</v>
      </c>
      <c r="F107" s="511">
        <v>9</v>
      </c>
      <c r="G107" s="511">
        <v>9</v>
      </c>
      <c r="H107" s="511">
        <v>3</v>
      </c>
      <c r="I107" s="511">
        <v>1</v>
      </c>
      <c r="J107" s="511">
        <v>1</v>
      </c>
      <c r="K107" s="511">
        <v>1</v>
      </c>
    </row>
    <row r="108" spans="1:11" x14ac:dyDescent="0.25">
      <c r="A108" s="504">
        <v>96</v>
      </c>
      <c r="B108" s="504">
        <v>96</v>
      </c>
      <c r="C108" s="71" t="s">
        <v>230</v>
      </c>
      <c r="D108" s="31" t="s">
        <v>231</v>
      </c>
      <c r="E108" s="511">
        <v>2232</v>
      </c>
      <c r="F108" s="511">
        <v>18</v>
      </c>
      <c r="G108" s="511">
        <v>18</v>
      </c>
      <c r="H108" s="511">
        <v>6</v>
      </c>
      <c r="I108" s="511">
        <v>2</v>
      </c>
      <c r="J108" s="511">
        <v>2</v>
      </c>
      <c r="K108" s="511">
        <v>2</v>
      </c>
    </row>
    <row r="109" spans="1:11" x14ac:dyDescent="0.25">
      <c r="A109" s="504">
        <v>98</v>
      </c>
      <c r="B109" s="504">
        <v>97</v>
      </c>
      <c r="C109" s="71" t="s">
        <v>232</v>
      </c>
      <c r="D109" s="31" t="s">
        <v>233</v>
      </c>
      <c r="E109" s="511">
        <v>0</v>
      </c>
      <c r="F109" s="511">
        <v>0</v>
      </c>
      <c r="G109" s="511">
        <v>0</v>
      </c>
      <c r="H109" s="511">
        <v>0</v>
      </c>
      <c r="I109" s="511">
        <v>0</v>
      </c>
      <c r="J109" s="511">
        <v>0</v>
      </c>
      <c r="K109" s="511">
        <v>0</v>
      </c>
    </row>
    <row r="110" spans="1:11" x14ac:dyDescent="0.25">
      <c r="A110" s="504">
        <v>99</v>
      </c>
      <c r="B110" s="504">
        <v>98</v>
      </c>
      <c r="C110" s="71" t="s">
        <v>234</v>
      </c>
      <c r="D110" s="31" t="s">
        <v>235</v>
      </c>
      <c r="E110" s="511">
        <v>0</v>
      </c>
      <c r="F110" s="511">
        <v>0</v>
      </c>
      <c r="G110" s="511">
        <v>0</v>
      </c>
      <c r="H110" s="511">
        <v>0</v>
      </c>
      <c r="I110" s="511">
        <v>0</v>
      </c>
      <c r="J110" s="511">
        <v>0</v>
      </c>
      <c r="K110" s="511">
        <v>0</v>
      </c>
    </row>
    <row r="111" spans="1:11" x14ac:dyDescent="0.25">
      <c r="A111" s="504">
        <v>100</v>
      </c>
      <c r="B111" s="504">
        <v>99</v>
      </c>
      <c r="C111" s="70" t="s">
        <v>236</v>
      </c>
      <c r="D111" s="31" t="s">
        <v>237</v>
      </c>
      <c r="E111" s="511">
        <v>0</v>
      </c>
      <c r="F111" s="511">
        <v>0</v>
      </c>
      <c r="G111" s="511">
        <v>0</v>
      </c>
      <c r="H111" s="511">
        <v>0</v>
      </c>
      <c r="I111" s="511">
        <v>0</v>
      </c>
      <c r="J111" s="511">
        <v>0</v>
      </c>
      <c r="K111" s="511">
        <v>0</v>
      </c>
    </row>
    <row r="112" spans="1:11" x14ac:dyDescent="0.25">
      <c r="A112" s="504">
        <v>101</v>
      </c>
      <c r="B112" s="504">
        <v>100</v>
      </c>
      <c r="C112" s="70" t="s">
        <v>238</v>
      </c>
      <c r="D112" s="31" t="s">
        <v>239</v>
      </c>
      <c r="E112" s="511">
        <v>0</v>
      </c>
      <c r="F112" s="511">
        <v>0</v>
      </c>
      <c r="G112" s="511">
        <v>0</v>
      </c>
      <c r="H112" s="511">
        <v>0</v>
      </c>
      <c r="I112" s="511">
        <v>0</v>
      </c>
      <c r="J112" s="511">
        <v>0</v>
      </c>
      <c r="K112" s="511">
        <v>0</v>
      </c>
    </row>
    <row r="113" spans="1:11" x14ac:dyDescent="0.25">
      <c r="A113" s="504">
        <v>102</v>
      </c>
      <c r="B113" s="504">
        <v>101</v>
      </c>
      <c r="C113" s="70" t="s">
        <v>240</v>
      </c>
      <c r="D113" s="31" t="s">
        <v>241</v>
      </c>
      <c r="E113" s="511">
        <v>0</v>
      </c>
      <c r="F113" s="511">
        <v>0</v>
      </c>
      <c r="G113" s="511">
        <v>0</v>
      </c>
      <c r="H113" s="511">
        <v>0</v>
      </c>
      <c r="I113" s="511">
        <v>0</v>
      </c>
      <c r="J113" s="511">
        <v>0</v>
      </c>
      <c r="K113" s="511">
        <v>0</v>
      </c>
    </row>
    <row r="114" spans="1:11" x14ac:dyDescent="0.25">
      <c r="A114" s="504">
        <v>103</v>
      </c>
      <c r="B114" s="504">
        <v>102</v>
      </c>
      <c r="C114" s="70" t="s">
        <v>242</v>
      </c>
      <c r="D114" s="31" t="s">
        <v>243</v>
      </c>
      <c r="E114" s="511">
        <v>0</v>
      </c>
      <c r="F114" s="511">
        <v>0</v>
      </c>
      <c r="G114" s="511">
        <v>0</v>
      </c>
      <c r="H114" s="511">
        <v>0</v>
      </c>
      <c r="I114" s="511">
        <v>0</v>
      </c>
      <c r="J114" s="511">
        <v>0</v>
      </c>
      <c r="K114" s="511">
        <v>0</v>
      </c>
    </row>
    <row r="115" spans="1:11" x14ac:dyDescent="0.25">
      <c r="A115" s="504">
        <v>104</v>
      </c>
      <c r="B115" s="504">
        <v>103</v>
      </c>
      <c r="C115" s="70" t="s">
        <v>244</v>
      </c>
      <c r="D115" s="31" t="s">
        <v>245</v>
      </c>
      <c r="E115" s="511">
        <v>0</v>
      </c>
      <c r="F115" s="511">
        <v>0</v>
      </c>
      <c r="G115" s="511">
        <v>0</v>
      </c>
      <c r="H115" s="511">
        <v>0</v>
      </c>
      <c r="I115" s="511">
        <v>0</v>
      </c>
      <c r="J115" s="511">
        <v>0</v>
      </c>
      <c r="K115" s="511">
        <v>0</v>
      </c>
    </row>
    <row r="116" spans="1:11" x14ac:dyDescent="0.25">
      <c r="A116" s="504">
        <v>105</v>
      </c>
      <c r="B116" s="504">
        <v>104</v>
      </c>
      <c r="C116" s="515" t="s">
        <v>246</v>
      </c>
      <c r="D116" s="514" t="s">
        <v>247</v>
      </c>
      <c r="E116" s="511">
        <v>0</v>
      </c>
      <c r="F116" s="511">
        <v>0</v>
      </c>
      <c r="G116" s="511">
        <v>0</v>
      </c>
      <c r="H116" s="511">
        <v>0</v>
      </c>
      <c r="I116" s="511">
        <v>0</v>
      </c>
      <c r="J116" s="511">
        <v>0</v>
      </c>
      <c r="K116" s="511">
        <v>0</v>
      </c>
    </row>
    <row r="117" spans="1:11" x14ac:dyDescent="0.25">
      <c r="A117" s="504">
        <v>106</v>
      </c>
      <c r="B117" s="504">
        <v>105</v>
      </c>
      <c r="C117" s="72" t="s">
        <v>248</v>
      </c>
      <c r="D117" s="31" t="s">
        <v>249</v>
      </c>
      <c r="E117" s="511">
        <v>0</v>
      </c>
      <c r="F117" s="511">
        <v>0</v>
      </c>
      <c r="G117" s="511">
        <v>0</v>
      </c>
      <c r="H117" s="511">
        <v>0</v>
      </c>
      <c r="I117" s="511">
        <v>0</v>
      </c>
      <c r="J117" s="511">
        <v>0</v>
      </c>
      <c r="K117" s="511">
        <v>0</v>
      </c>
    </row>
    <row r="118" spans="1:11" x14ac:dyDescent="0.25">
      <c r="A118" s="504">
        <v>107</v>
      </c>
      <c r="B118" s="504">
        <v>106</v>
      </c>
      <c r="C118" s="70" t="s">
        <v>250</v>
      </c>
      <c r="D118" s="31" t="s">
        <v>251</v>
      </c>
      <c r="E118" s="511">
        <v>0</v>
      </c>
      <c r="F118" s="511">
        <v>0</v>
      </c>
      <c r="G118" s="511">
        <v>0</v>
      </c>
      <c r="H118" s="511">
        <v>0</v>
      </c>
      <c r="I118" s="511">
        <v>0</v>
      </c>
      <c r="J118" s="511">
        <v>0</v>
      </c>
      <c r="K118" s="511">
        <v>0</v>
      </c>
    </row>
    <row r="119" spans="1:11" x14ac:dyDescent="0.25">
      <c r="A119" s="504">
        <v>108</v>
      </c>
      <c r="B119" s="504">
        <v>107</v>
      </c>
      <c r="C119" s="71" t="s">
        <v>252</v>
      </c>
      <c r="D119" s="120" t="s">
        <v>253</v>
      </c>
      <c r="E119" s="511">
        <v>0</v>
      </c>
      <c r="F119" s="511">
        <v>0</v>
      </c>
      <c r="G119" s="511">
        <v>0</v>
      </c>
      <c r="H119" s="511">
        <v>0</v>
      </c>
      <c r="I119" s="511">
        <v>0</v>
      </c>
      <c r="J119" s="511">
        <v>0</v>
      </c>
      <c r="K119" s="511">
        <v>0</v>
      </c>
    </row>
    <row r="120" spans="1:11" x14ac:dyDescent="0.25">
      <c r="A120" s="504">
        <v>109</v>
      </c>
      <c r="B120" s="504">
        <v>108</v>
      </c>
      <c r="C120" s="70" t="s">
        <v>254</v>
      </c>
      <c r="D120" s="31" t="s">
        <v>255</v>
      </c>
      <c r="E120" s="511">
        <v>0</v>
      </c>
      <c r="F120" s="511">
        <v>0</v>
      </c>
      <c r="G120" s="511">
        <v>0</v>
      </c>
      <c r="H120" s="511">
        <v>0</v>
      </c>
      <c r="I120" s="511">
        <v>0</v>
      </c>
      <c r="J120" s="511">
        <v>0</v>
      </c>
      <c r="K120" s="511">
        <v>0</v>
      </c>
    </row>
    <row r="121" spans="1:11" x14ac:dyDescent="0.25">
      <c r="A121" s="504">
        <v>110</v>
      </c>
      <c r="B121" s="504">
        <v>109</v>
      </c>
      <c r="C121" s="72" t="s">
        <v>256</v>
      </c>
      <c r="D121" s="31" t="s">
        <v>257</v>
      </c>
      <c r="E121" s="511">
        <v>0</v>
      </c>
      <c r="F121" s="511">
        <v>0</v>
      </c>
      <c r="G121" s="511">
        <v>0</v>
      </c>
      <c r="H121" s="511">
        <v>0</v>
      </c>
      <c r="I121" s="511">
        <v>0</v>
      </c>
      <c r="J121" s="511">
        <v>0</v>
      </c>
      <c r="K121" s="511">
        <v>0</v>
      </c>
    </row>
    <row r="122" spans="1:11" x14ac:dyDescent="0.25">
      <c r="A122" s="504">
        <v>111</v>
      </c>
      <c r="B122" s="504">
        <v>110</v>
      </c>
      <c r="C122" s="72" t="s">
        <v>258</v>
      </c>
      <c r="D122" s="31" t="s">
        <v>259</v>
      </c>
      <c r="E122" s="511">
        <v>0</v>
      </c>
      <c r="F122" s="511">
        <v>0</v>
      </c>
      <c r="G122" s="511">
        <v>0</v>
      </c>
      <c r="H122" s="511">
        <v>0</v>
      </c>
      <c r="I122" s="511">
        <v>0</v>
      </c>
      <c r="J122" s="511">
        <v>0</v>
      </c>
      <c r="K122" s="511">
        <v>0</v>
      </c>
    </row>
    <row r="123" spans="1:11" x14ac:dyDescent="0.25">
      <c r="A123" s="504">
        <v>112</v>
      </c>
      <c r="B123" s="504">
        <v>111</v>
      </c>
      <c r="C123" s="516" t="s">
        <v>543</v>
      </c>
      <c r="D123" s="517" t="s">
        <v>544</v>
      </c>
      <c r="E123" s="511">
        <v>0</v>
      </c>
      <c r="F123" s="511">
        <v>0</v>
      </c>
      <c r="G123" s="511">
        <v>0</v>
      </c>
      <c r="H123" s="511">
        <v>0</v>
      </c>
      <c r="I123" s="511">
        <v>0</v>
      </c>
      <c r="J123" s="511">
        <v>0</v>
      </c>
      <c r="K123" s="511">
        <v>0</v>
      </c>
    </row>
    <row r="124" spans="1:11" x14ac:dyDescent="0.25">
      <c r="A124" s="504">
        <v>113</v>
      </c>
      <c r="B124" s="504">
        <v>112</v>
      </c>
      <c r="C124" s="72" t="s">
        <v>260</v>
      </c>
      <c r="D124" s="31" t="s">
        <v>261</v>
      </c>
      <c r="E124" s="511">
        <v>0</v>
      </c>
      <c r="F124" s="511">
        <v>0</v>
      </c>
      <c r="G124" s="511">
        <v>0</v>
      </c>
      <c r="H124" s="511">
        <v>0</v>
      </c>
      <c r="I124" s="511">
        <v>0</v>
      </c>
      <c r="J124" s="511">
        <v>0</v>
      </c>
      <c r="K124" s="511">
        <v>0</v>
      </c>
    </row>
    <row r="125" spans="1:11" x14ac:dyDescent="0.25">
      <c r="A125" s="504">
        <v>114</v>
      </c>
      <c r="B125" s="504">
        <v>113</v>
      </c>
      <c r="C125" s="70" t="s">
        <v>262</v>
      </c>
      <c r="D125" s="31" t="s">
        <v>263</v>
      </c>
      <c r="E125" s="511">
        <v>0</v>
      </c>
      <c r="F125" s="511">
        <v>0</v>
      </c>
      <c r="G125" s="511">
        <v>0</v>
      </c>
      <c r="H125" s="511">
        <v>0</v>
      </c>
      <c r="I125" s="511">
        <v>0</v>
      </c>
      <c r="J125" s="511">
        <v>0</v>
      </c>
      <c r="K125" s="511">
        <v>0</v>
      </c>
    </row>
    <row r="126" spans="1:11" x14ac:dyDescent="0.25">
      <c r="A126" s="504">
        <v>115</v>
      </c>
      <c r="B126" s="504">
        <v>114</v>
      </c>
      <c r="C126" s="70" t="s">
        <v>264</v>
      </c>
      <c r="D126" s="121" t="s">
        <v>265</v>
      </c>
      <c r="E126" s="511">
        <v>0</v>
      </c>
      <c r="F126" s="511">
        <v>0</v>
      </c>
      <c r="G126" s="511">
        <v>0</v>
      </c>
      <c r="H126" s="511">
        <v>0</v>
      </c>
      <c r="I126" s="511">
        <v>0</v>
      </c>
      <c r="J126" s="511">
        <v>0</v>
      </c>
      <c r="K126" s="511">
        <v>0</v>
      </c>
    </row>
    <row r="127" spans="1:11" x14ac:dyDescent="0.25">
      <c r="A127" s="504">
        <v>116</v>
      </c>
      <c r="B127" s="504">
        <v>115</v>
      </c>
      <c r="C127" s="70" t="s">
        <v>266</v>
      </c>
      <c r="D127" s="31" t="s">
        <v>267</v>
      </c>
      <c r="E127" s="511">
        <v>0</v>
      </c>
      <c r="F127" s="511">
        <v>0</v>
      </c>
      <c r="G127" s="511">
        <v>0</v>
      </c>
      <c r="H127" s="511">
        <v>0</v>
      </c>
      <c r="I127" s="511">
        <v>0</v>
      </c>
      <c r="J127" s="511">
        <v>0</v>
      </c>
      <c r="K127" s="511">
        <v>0</v>
      </c>
    </row>
    <row r="128" spans="1:11" x14ac:dyDescent="0.25">
      <c r="A128" s="504">
        <v>117</v>
      </c>
      <c r="B128" s="504">
        <v>116</v>
      </c>
      <c r="C128" s="70" t="s">
        <v>268</v>
      </c>
      <c r="D128" s="31" t="s">
        <v>269</v>
      </c>
      <c r="E128" s="511">
        <v>0</v>
      </c>
      <c r="F128" s="511">
        <v>0</v>
      </c>
      <c r="G128" s="511">
        <v>0</v>
      </c>
      <c r="H128" s="511">
        <v>0</v>
      </c>
      <c r="I128" s="511">
        <v>0</v>
      </c>
      <c r="J128" s="511">
        <v>0</v>
      </c>
      <c r="K128" s="511">
        <v>0</v>
      </c>
    </row>
    <row r="129" spans="1:11" x14ac:dyDescent="0.25">
      <c r="A129" s="504">
        <v>118</v>
      </c>
      <c r="B129" s="504">
        <v>117</v>
      </c>
      <c r="C129" s="70" t="s">
        <v>270</v>
      </c>
      <c r="D129" s="31" t="s">
        <v>271</v>
      </c>
      <c r="E129" s="511">
        <v>0</v>
      </c>
      <c r="F129" s="511">
        <v>0</v>
      </c>
      <c r="G129" s="511">
        <v>0</v>
      </c>
      <c r="H129" s="511">
        <v>0</v>
      </c>
      <c r="I129" s="511">
        <v>0</v>
      </c>
      <c r="J129" s="511">
        <v>0</v>
      </c>
      <c r="K129" s="511">
        <v>0</v>
      </c>
    </row>
    <row r="130" spans="1:11" x14ac:dyDescent="0.25">
      <c r="A130" s="504">
        <v>119</v>
      </c>
      <c r="B130" s="504">
        <v>118</v>
      </c>
      <c r="C130" s="71" t="s">
        <v>272</v>
      </c>
      <c r="D130" s="31" t="s">
        <v>273</v>
      </c>
      <c r="E130" s="511">
        <v>0</v>
      </c>
      <c r="F130" s="511">
        <v>0</v>
      </c>
      <c r="G130" s="511">
        <v>0</v>
      </c>
      <c r="H130" s="511">
        <v>0</v>
      </c>
      <c r="I130" s="511">
        <v>0</v>
      </c>
      <c r="J130" s="511">
        <v>0</v>
      </c>
      <c r="K130" s="511">
        <v>0</v>
      </c>
    </row>
    <row r="131" spans="1:11" x14ac:dyDescent="0.25">
      <c r="A131" s="504">
        <v>120</v>
      </c>
      <c r="B131" s="504">
        <v>119</v>
      </c>
      <c r="C131" s="71" t="s">
        <v>274</v>
      </c>
      <c r="D131" s="31" t="s">
        <v>275</v>
      </c>
      <c r="E131" s="511">
        <v>0</v>
      </c>
      <c r="F131" s="511">
        <v>0</v>
      </c>
      <c r="G131" s="511">
        <v>0</v>
      </c>
      <c r="H131" s="511">
        <v>0</v>
      </c>
      <c r="I131" s="511">
        <v>0</v>
      </c>
      <c r="J131" s="511">
        <v>0</v>
      </c>
      <c r="K131" s="511">
        <v>0</v>
      </c>
    </row>
    <row r="132" spans="1:11" x14ac:dyDescent="0.25">
      <c r="A132" s="504">
        <v>121</v>
      </c>
      <c r="B132" s="504">
        <v>120</v>
      </c>
      <c r="C132" s="71" t="s">
        <v>276</v>
      </c>
      <c r="D132" s="31" t="s">
        <v>277</v>
      </c>
      <c r="E132" s="511">
        <v>0</v>
      </c>
      <c r="F132" s="511">
        <v>0</v>
      </c>
      <c r="G132" s="511">
        <v>0</v>
      </c>
      <c r="H132" s="511">
        <v>0</v>
      </c>
      <c r="I132" s="511">
        <v>0</v>
      </c>
      <c r="J132" s="511">
        <v>0</v>
      </c>
      <c r="K132" s="511">
        <v>0</v>
      </c>
    </row>
    <row r="133" spans="1:11" x14ac:dyDescent="0.25">
      <c r="A133" s="504">
        <v>122</v>
      </c>
      <c r="B133" s="504">
        <v>121</v>
      </c>
      <c r="C133" s="70" t="s">
        <v>278</v>
      </c>
      <c r="D133" s="31" t="s">
        <v>279</v>
      </c>
      <c r="E133" s="511">
        <v>0</v>
      </c>
      <c r="F133" s="511">
        <v>0</v>
      </c>
      <c r="G133" s="511">
        <v>0</v>
      </c>
      <c r="H133" s="511">
        <v>0</v>
      </c>
      <c r="I133" s="511">
        <v>0</v>
      </c>
      <c r="J133" s="511">
        <v>0</v>
      </c>
      <c r="K133" s="511">
        <v>0</v>
      </c>
    </row>
    <row r="134" spans="1:11" x14ac:dyDescent="0.25">
      <c r="A134" s="504">
        <v>123</v>
      </c>
      <c r="B134" s="504">
        <v>122</v>
      </c>
      <c r="C134" s="70" t="s">
        <v>280</v>
      </c>
      <c r="D134" s="31" t="s">
        <v>281</v>
      </c>
      <c r="E134" s="511">
        <v>0</v>
      </c>
      <c r="F134" s="511">
        <v>0</v>
      </c>
      <c r="G134" s="511">
        <v>0</v>
      </c>
      <c r="H134" s="511">
        <v>0</v>
      </c>
      <c r="I134" s="511">
        <v>0</v>
      </c>
      <c r="J134" s="511">
        <v>0</v>
      </c>
      <c r="K134" s="511">
        <v>0</v>
      </c>
    </row>
    <row r="135" spans="1:11" x14ac:dyDescent="0.25">
      <c r="A135" s="504">
        <v>124</v>
      </c>
      <c r="B135" s="504">
        <v>123</v>
      </c>
      <c r="C135" s="70" t="s">
        <v>282</v>
      </c>
      <c r="D135" s="31" t="s">
        <v>772</v>
      </c>
      <c r="E135" s="511">
        <v>0</v>
      </c>
      <c r="F135" s="511">
        <v>0</v>
      </c>
      <c r="G135" s="511">
        <v>0</v>
      </c>
      <c r="H135" s="511">
        <v>0</v>
      </c>
      <c r="I135" s="511">
        <v>0</v>
      </c>
      <c r="J135" s="511">
        <v>0</v>
      </c>
      <c r="K135" s="511">
        <v>0</v>
      </c>
    </row>
    <row r="136" spans="1:11" x14ac:dyDescent="0.25">
      <c r="A136" s="504">
        <v>125</v>
      </c>
      <c r="B136" s="504">
        <v>124</v>
      </c>
      <c r="C136" s="71" t="s">
        <v>283</v>
      </c>
      <c r="D136" s="31" t="s">
        <v>284</v>
      </c>
      <c r="E136" s="511">
        <v>3844</v>
      </c>
      <c r="F136" s="511">
        <v>230</v>
      </c>
      <c r="G136" s="511">
        <v>230</v>
      </c>
      <c r="H136" s="511">
        <v>69</v>
      </c>
      <c r="I136" s="511">
        <v>23</v>
      </c>
      <c r="J136" s="511">
        <v>23</v>
      </c>
      <c r="K136" s="511">
        <v>23</v>
      </c>
    </row>
    <row r="137" spans="1:11" x14ac:dyDescent="0.25">
      <c r="A137" s="504">
        <v>126</v>
      </c>
      <c r="B137" s="504">
        <v>125</v>
      </c>
      <c r="C137" s="72" t="s">
        <v>285</v>
      </c>
      <c r="D137" s="31" t="s">
        <v>728</v>
      </c>
      <c r="E137" s="511">
        <v>4882</v>
      </c>
      <c r="F137" s="511">
        <v>4</v>
      </c>
      <c r="G137" s="511">
        <v>4</v>
      </c>
      <c r="H137" s="511">
        <v>0</v>
      </c>
      <c r="I137" s="511">
        <v>0</v>
      </c>
      <c r="J137" s="511">
        <v>0</v>
      </c>
      <c r="K137" s="511">
        <v>0</v>
      </c>
    </row>
    <row r="138" spans="1:11" x14ac:dyDescent="0.25">
      <c r="A138" s="504">
        <v>127</v>
      </c>
      <c r="B138" s="504">
        <v>126</v>
      </c>
      <c r="C138" s="70" t="s">
        <v>286</v>
      </c>
      <c r="D138" s="31" t="s">
        <v>287</v>
      </c>
      <c r="E138" s="511">
        <v>0</v>
      </c>
      <c r="F138" s="511">
        <v>0</v>
      </c>
      <c r="G138" s="511">
        <v>0</v>
      </c>
      <c r="H138" s="511">
        <v>0</v>
      </c>
      <c r="I138" s="511">
        <v>0</v>
      </c>
      <c r="J138" s="511">
        <v>0</v>
      </c>
      <c r="K138" s="511">
        <v>0</v>
      </c>
    </row>
    <row r="139" spans="1:11" x14ac:dyDescent="0.25">
      <c r="A139" s="504">
        <v>128</v>
      </c>
      <c r="B139" s="504">
        <v>127</v>
      </c>
      <c r="C139" s="71" t="s">
        <v>288</v>
      </c>
      <c r="D139" s="31" t="s">
        <v>289</v>
      </c>
      <c r="E139" s="511">
        <v>0</v>
      </c>
      <c r="F139" s="511">
        <v>0</v>
      </c>
      <c r="G139" s="511">
        <v>0</v>
      </c>
      <c r="H139" s="511">
        <v>0</v>
      </c>
      <c r="I139" s="511">
        <v>0</v>
      </c>
      <c r="J139" s="511">
        <v>0</v>
      </c>
      <c r="K139" s="511">
        <v>0</v>
      </c>
    </row>
    <row r="140" spans="1:11" x14ac:dyDescent="0.25">
      <c r="A140" s="504">
        <v>129</v>
      </c>
      <c r="B140" s="504">
        <v>128</v>
      </c>
      <c r="C140" s="70" t="s">
        <v>290</v>
      </c>
      <c r="D140" s="31" t="s">
        <v>291</v>
      </c>
      <c r="E140" s="511">
        <v>0</v>
      </c>
      <c r="F140" s="511">
        <v>0</v>
      </c>
      <c r="G140" s="511">
        <v>0</v>
      </c>
      <c r="H140" s="511">
        <v>0</v>
      </c>
      <c r="I140" s="511">
        <v>0</v>
      </c>
      <c r="J140" s="511">
        <v>0</v>
      </c>
      <c r="K140" s="511">
        <v>0</v>
      </c>
    </row>
    <row r="141" spans="1:11" x14ac:dyDescent="0.25">
      <c r="A141" s="504">
        <v>130</v>
      </c>
      <c r="B141" s="504">
        <v>129</v>
      </c>
      <c r="C141" s="139" t="s">
        <v>292</v>
      </c>
      <c r="D141" s="140" t="s">
        <v>293</v>
      </c>
      <c r="E141" s="511">
        <v>0</v>
      </c>
      <c r="F141" s="511">
        <v>0</v>
      </c>
      <c r="G141" s="511">
        <v>0</v>
      </c>
      <c r="H141" s="511">
        <v>0</v>
      </c>
      <c r="I141" s="511">
        <v>0</v>
      </c>
      <c r="J141" s="511">
        <v>0</v>
      </c>
      <c r="K141" s="511">
        <v>0</v>
      </c>
    </row>
    <row r="142" spans="1:11" x14ac:dyDescent="0.25">
      <c r="A142" s="504">
        <v>131</v>
      </c>
      <c r="B142" s="504">
        <v>130</v>
      </c>
      <c r="C142" s="141" t="s">
        <v>294</v>
      </c>
      <c r="D142" s="142" t="s">
        <v>295</v>
      </c>
      <c r="E142" s="511">
        <v>0</v>
      </c>
      <c r="F142" s="511">
        <v>0</v>
      </c>
      <c r="G142" s="511">
        <v>0</v>
      </c>
      <c r="H142" s="511">
        <v>0</v>
      </c>
      <c r="I142" s="511">
        <v>0</v>
      </c>
      <c r="J142" s="511">
        <v>0</v>
      </c>
      <c r="K142" s="511">
        <v>0</v>
      </c>
    </row>
    <row r="143" spans="1:11" x14ac:dyDescent="0.25">
      <c r="A143" s="504">
        <v>132</v>
      </c>
      <c r="B143" s="504">
        <v>131</v>
      </c>
      <c r="C143" s="139" t="s">
        <v>296</v>
      </c>
      <c r="D143" s="73" t="s">
        <v>323</v>
      </c>
      <c r="E143" s="511">
        <v>0</v>
      </c>
      <c r="F143" s="511">
        <v>0</v>
      </c>
      <c r="G143" s="511">
        <v>0</v>
      </c>
      <c r="H143" s="511">
        <v>0</v>
      </c>
      <c r="I143" s="511">
        <v>0</v>
      </c>
      <c r="J143" s="511">
        <v>0</v>
      </c>
      <c r="K143" s="511">
        <v>0</v>
      </c>
    </row>
    <row r="144" spans="1:11" x14ac:dyDescent="0.25">
      <c r="A144" s="504">
        <v>133</v>
      </c>
      <c r="B144" s="504">
        <v>132</v>
      </c>
      <c r="C144" s="504" t="s">
        <v>298</v>
      </c>
      <c r="D144" s="143" t="s">
        <v>299</v>
      </c>
      <c r="E144" s="511">
        <v>0</v>
      </c>
      <c r="F144" s="511">
        <v>0</v>
      </c>
      <c r="G144" s="511">
        <v>0</v>
      </c>
      <c r="H144" s="511">
        <v>0</v>
      </c>
      <c r="I144" s="511">
        <v>0</v>
      </c>
      <c r="J144" s="511">
        <v>0</v>
      </c>
      <c r="K144" s="511">
        <v>0</v>
      </c>
    </row>
    <row r="145" spans="1:11" x14ac:dyDescent="0.25">
      <c r="A145" s="504">
        <v>134</v>
      </c>
      <c r="B145" s="504">
        <v>133</v>
      </c>
      <c r="C145" s="74" t="s">
        <v>300</v>
      </c>
      <c r="D145" s="143" t="s">
        <v>301</v>
      </c>
      <c r="E145" s="511">
        <v>0</v>
      </c>
      <c r="F145" s="511">
        <v>0</v>
      </c>
      <c r="G145" s="511">
        <v>0</v>
      </c>
      <c r="H145" s="511">
        <v>0</v>
      </c>
      <c r="I145" s="511">
        <v>0</v>
      </c>
      <c r="J145" s="511">
        <v>0</v>
      </c>
      <c r="K145" s="511">
        <v>0</v>
      </c>
    </row>
    <row r="146" spans="1:11" x14ac:dyDescent="0.25">
      <c r="A146" s="504">
        <v>135</v>
      </c>
      <c r="B146" s="504">
        <v>134</v>
      </c>
      <c r="C146" s="518" t="s">
        <v>302</v>
      </c>
      <c r="D146" s="519" t="s">
        <v>303</v>
      </c>
      <c r="E146" s="511">
        <v>0</v>
      </c>
      <c r="F146" s="511">
        <v>0</v>
      </c>
      <c r="G146" s="511">
        <v>0</v>
      </c>
      <c r="H146" s="511">
        <v>0</v>
      </c>
      <c r="I146" s="511">
        <v>0</v>
      </c>
      <c r="J146" s="511">
        <v>0</v>
      </c>
      <c r="K146" s="511">
        <v>0</v>
      </c>
    </row>
    <row r="147" spans="1:11" x14ac:dyDescent="0.25">
      <c r="A147" s="520"/>
      <c r="B147" s="504">
        <v>135</v>
      </c>
      <c r="C147" s="130" t="s">
        <v>304</v>
      </c>
      <c r="D147" s="118" t="s">
        <v>305</v>
      </c>
      <c r="E147" s="511">
        <v>0</v>
      </c>
      <c r="F147" s="511">
        <v>0</v>
      </c>
      <c r="G147" s="511">
        <v>0</v>
      </c>
      <c r="H147" s="511">
        <v>0</v>
      </c>
      <c r="I147" s="511">
        <v>0</v>
      </c>
      <c r="J147" s="511">
        <v>0</v>
      </c>
      <c r="K147" s="511">
        <v>0</v>
      </c>
    </row>
    <row r="148" spans="1:11" ht="57.75" customHeight="1" x14ac:dyDescent="0.25">
      <c r="A148" s="963" t="s">
        <v>324</v>
      </c>
      <c r="B148" s="963"/>
      <c r="C148" s="963"/>
      <c r="D148" s="963"/>
      <c r="E148" s="963"/>
      <c r="F148" s="963"/>
      <c r="G148" s="963"/>
      <c r="H148" s="963"/>
      <c r="I148" s="963"/>
      <c r="J148" s="963"/>
      <c r="K148" s="963"/>
    </row>
    <row r="149" spans="1:11" x14ac:dyDescent="0.25">
      <c r="A149" s="505"/>
      <c r="B149" s="505"/>
      <c r="C149" s="505"/>
      <c r="D149" s="521"/>
      <c r="E149" s="521"/>
      <c r="F149" s="521"/>
      <c r="G149" s="521"/>
      <c r="H149" s="521"/>
      <c r="I149" s="521"/>
      <c r="J149" s="521"/>
      <c r="K149" s="521"/>
    </row>
    <row r="152" spans="1:11" x14ac:dyDescent="0.25">
      <c r="E152" s="522"/>
      <c r="F152" s="522"/>
      <c r="G152" s="522"/>
      <c r="H152" s="522"/>
      <c r="I152" s="522"/>
      <c r="J152" s="522"/>
      <c r="K152" s="522"/>
    </row>
  </sheetData>
  <mergeCells count="17">
    <mergeCell ref="A148:K148"/>
    <mergeCell ref="H4:H5"/>
    <mergeCell ref="I4:K4"/>
    <mergeCell ref="A9:D9"/>
    <mergeCell ref="A90:A93"/>
    <mergeCell ref="B90:B93"/>
    <mergeCell ref="C90:C93"/>
    <mergeCell ref="C1:K1"/>
    <mergeCell ref="A2:A5"/>
    <mergeCell ref="B2:B5"/>
    <mergeCell ref="C2:C5"/>
    <mergeCell ref="D2:D5"/>
    <mergeCell ref="E2:K2"/>
    <mergeCell ref="E3:G3"/>
    <mergeCell ref="H3:K3"/>
    <mergeCell ref="E4:E5"/>
    <mergeCell ref="F4:G4"/>
  </mergeCells>
  <pageMargins left="0.31496062992125984" right="0.31496062992125984" top="0.35433070866141736" bottom="0.15748031496062992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18</vt:i4>
      </vt:variant>
    </vt:vector>
  </HeadingPairs>
  <TitlesOfParts>
    <vt:vector size="48" baseType="lpstr">
      <vt:lpstr>Объемы КС (Пр.8-26)</vt:lpstr>
      <vt:lpstr>ВМП КС (Пр.6-26)</vt:lpstr>
      <vt:lpstr>ВМП ДС (Пр.16-25)</vt:lpstr>
      <vt:lpstr>ДС (8-26)</vt:lpstr>
      <vt:lpstr>СМП (16-25)</vt:lpstr>
      <vt:lpstr>Обращения 8-26</vt:lpstr>
      <vt:lpstr>Мед.реаб.в АПУ 2026 8-26</vt:lpstr>
      <vt:lpstr>Проф.Свод (Пр.8-26)   </vt:lpstr>
      <vt:lpstr>Углуб.дисп.1 и 2 эт.(Пр.1-26)</vt:lpstr>
      <vt:lpstr>ДОРЗ 1 и 2 этап (Пр.16-25)</vt:lpstr>
      <vt:lpstr>Пос. по дисп.набл. (Пр.8-26) </vt:lpstr>
      <vt:lpstr>Раз.пос.(Пр.8-26) </vt:lpstr>
      <vt:lpstr>Пос. ср.мед.пер. (Пр.8-26)  </vt:lpstr>
      <vt:lpstr>Пос с др.целями(Пр.8-26)  </vt:lpstr>
      <vt:lpstr>Центры здор.взросл Пр.5-26 </vt:lpstr>
      <vt:lpstr>Компл.посещ. ДН (8-26)</vt:lpstr>
      <vt:lpstr>Дистанц. набл.(3-26)</vt:lpstr>
      <vt:lpstr>КТ, МРТ, КТПЭТ, ОФЭКТ(8-26)</vt:lpstr>
      <vt:lpstr>УЗИ ССС(8-26)</vt:lpstr>
      <vt:lpstr>ЭИ, ПАИ, МГИ(8-26)</vt:lpstr>
      <vt:lpstr>НИПТ, РНК геп С, Лаб.геп (8-26)</vt:lpstr>
      <vt:lpstr>ШХНИЗ, ШСД, ШБ (8-26)</vt:lpstr>
      <vt:lpstr>АПУ неотл.пом. (8-26)</vt:lpstr>
      <vt:lpstr>гемодиализ (8-26)</vt:lpstr>
      <vt:lpstr>Долечивание, кибер-нож (16-25)</vt:lpstr>
      <vt:lpstr>Венерология (16-25)</vt:lpstr>
      <vt:lpstr>Паллиатив. МП (8-26)</vt:lpstr>
      <vt:lpstr>Наркология (1-26)</vt:lpstr>
      <vt:lpstr>Психотерапия (16-25)</vt:lpstr>
      <vt:lpstr>Фтизиатрия (16-25)</vt:lpstr>
      <vt:lpstr>'АПУ неотл.пом. (8-26)'!Заголовки_для_печати</vt:lpstr>
      <vt:lpstr>'ВМП КС (Пр.6-26)'!Заголовки_для_печати</vt:lpstr>
      <vt:lpstr>'Дистанц. набл.(3-26)'!Заголовки_для_печати</vt:lpstr>
      <vt:lpstr>'КТ, МРТ, КТПЭТ, ОФЭКТ(8-26)'!Заголовки_для_печати</vt:lpstr>
      <vt:lpstr>'НИПТ, РНК геп С, Лаб.геп (8-26)'!Заголовки_для_печати</vt:lpstr>
      <vt:lpstr>'Обращения 8-26'!Заголовки_для_печати</vt:lpstr>
      <vt:lpstr>'Объемы КС (Пр.8-26)'!Заголовки_для_печати</vt:lpstr>
      <vt:lpstr>'Пос с др.целями(Пр.8-26)  '!Заголовки_для_печати</vt:lpstr>
      <vt:lpstr>'Пос. по дисп.набл. (Пр.8-26) '!Заголовки_для_печати</vt:lpstr>
      <vt:lpstr>'Пос. ср.мед.пер. (Пр.8-26)  '!Заголовки_для_печати</vt:lpstr>
      <vt:lpstr>'Проф.Свод (Пр.8-26)   '!Заголовки_для_печати</vt:lpstr>
      <vt:lpstr>'Раз.пос.(Пр.8-26) '!Заголовки_для_печати</vt:lpstr>
      <vt:lpstr>'СМП (16-25)'!Заголовки_для_печати</vt:lpstr>
      <vt:lpstr>'Углуб.дисп.1 и 2 эт.(Пр.1-26)'!Заголовки_для_печати</vt:lpstr>
      <vt:lpstr>'УЗИ ССС(8-26)'!Заголовки_для_печати</vt:lpstr>
      <vt:lpstr>'Центры здор.взросл Пр.5-26 '!Заголовки_для_печати</vt:lpstr>
      <vt:lpstr>'ШХНИЗ, ШСД, ШБ (8-26)'!Заголовки_для_печати</vt:lpstr>
      <vt:lpstr>'ЭИ, ПАИ, МГИ(8-26)'!Заголовки_для_печати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Галкова</dc:creator>
  <cp:lastModifiedBy>Ардеева Г.М.</cp:lastModifiedBy>
  <cp:lastPrinted>2026-05-21T09:21:35Z</cp:lastPrinted>
  <dcterms:created xsi:type="dcterms:W3CDTF">2025-10-22T09:33:22Z</dcterms:created>
  <dcterms:modified xsi:type="dcterms:W3CDTF">2026-06-30T11:36:43Z</dcterms:modified>
</cp:coreProperties>
</file>